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00" tabRatio="852" firstSheet="40"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 hidden="1">Проверка!$B$4:$D$5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Детализация'!$A$370:$A$370</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Детализация'!$F$370</definedName>
    <definedName name="pIns_IP_FIN_PLAN">'ИП. Финансовый план'!$Q$8</definedName>
    <definedName name="pIns_IP_MAIN">ИП!$G$17</definedName>
    <definedName name="pIns_IP_QRE">'ИП. КНЭ'!$F$27</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Детализация'!$AH$370</definedName>
    <definedName name="tblEnd_1_IP_FIN_PLAN">'ИП. Финансовый план'!$Q$58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 name="et_B_FHD20_1">et_union_hor!$127:$135</definedName>
    <definedName name="IP_MAIN_ip_5">ИП!#REF!</definedName>
    <definedName name="IP_QRE_ip_5">'ИП. КНЭ'!#REF!</definedName>
    <definedName name="IP_DETAILED_ip_5">'ИП. Детализация'!#REF!</definedName>
    <definedName name="IP_FIN_PLAN_ip_5">'ИП. Финансовый план'!#REF!</definedName>
    <definedName name="IP_MAIN_ip_51">ИП!$13:$14</definedName>
    <definedName name="IP_QRE_ip_51">'ИП. КНЭ'!$21:$23</definedName>
    <definedName name="IP_DETAILED_ip_51">'ИП. Детализация'!$14:$226</definedName>
    <definedName name="IP_FIN_PLAN_ip_51">'ИП. Финансовый план'!$K$11:$M$11</definedName>
    <definedName name="IP_MAIN_ip_511">ИП!$15:$16</definedName>
    <definedName name="IP_QRE_ip_511">'ИП. КНЭ'!$24:$26</definedName>
    <definedName name="IP_DETAILED_ip_511">'ИП. Детализация'!$227:$369</definedName>
    <definedName name="IP_FIN_PLAN_ip_511">'ИП. Финансовый план'!$N$11:$P$11</definedName>
    <definedName name="REESTR_INFR_RANGE">REESTR_OBJ_INFR!$A$2:$AL$337</definedName>
    <definedName name="REESTR_IP_RANGE">REESTR_IP!$A$2:$I$23</definedName>
    <definedName name="VD_LIST">REESTR_VED!$A$2:$B$11</definedName>
    <definedName name="VD_ID_LIST">REESTR_VED!$A$2:$A$11</definedName>
    <definedName name="VD_NAME_LIST">REESTR_VED!$B$2:$B$11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Author</author>
  </authors>
  <commentList>
    <comment ref="E37" authorId="0">
      <text>
        <r>
          <rPr>
            <sz val="9"/>
            <rFont val="Arial"/>
            <charset val="134"/>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rFont val="Tahoma"/>
            <charset val="134"/>
          </rPr>
          <t>Тип организации</t>
        </r>
      </text>
    </comment>
    <comment ref="L6" authorId="0">
      <text>
        <r>
          <rPr>
            <sz val="9"/>
            <rFont val="Tahoma"/>
            <charset val="134"/>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rFont val="Arial"/>
            <charset val="134"/>
          </rPr>
          <t>сюда же для некоторых формул может входить:
- VOTV
- HOTVSNA</t>
        </r>
      </text>
    </comment>
    <comment ref="U2" authorId="0">
      <text>
        <r>
          <rPr>
            <sz val="9"/>
            <rFont val="Arial"/>
            <charset val="134"/>
          </rPr>
          <t>сюда же для некоторых формул может входить:
- VOTV
- HOTVSNA</t>
        </r>
      </text>
    </comment>
  </commentList>
</comments>
</file>

<file path=xl/sharedStrings.xml><?xml version="1.0" encoding="utf-8"?>
<sst xmlns="http://schemas.openxmlformats.org/spreadsheetml/2006/main" count="32979" uniqueCount="7527">
  <si>
    <t xml:space="preserve"> (требуется обновление)</t>
  </si>
  <si>
    <t>Код отчёта: PP110.OPEN.INFO.INVEST.HEAT.EIAS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</si>
  <si>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</si>
  <si>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</si>
  <si>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</si>
  <si>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</si>
  <si>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</si>
  <si>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</si>
  <si>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</si>
  <si>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</si>
  <si>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</si>
  <si>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</si>
  <si>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
• Для каждого сообщения возможны 2 статуса: ошибка и предупреждение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</si>
  <si>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26457311</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</si>
  <si>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</si>
  <si>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</si>
  <si>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</si>
  <si>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</si>
  <si>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</si>
  <si>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</si>
  <si>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</si>
  <si>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
периода регулирования</t>
  </si>
  <si>
    <t/>
  </si>
  <si>
    <t>Как заполнить?</t>
  </si>
  <si>
    <t>Начало периода регулирования</t>
  </si>
  <si>
    <t>Окончание
периода регулирования</t>
  </si>
  <si>
    <t>Окончание периода регулирования</t>
  </si>
  <si>
    <t>ORG</t>
  </si>
  <si>
    <t>Дата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</si>
  <si>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</si>
  <si>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</si>
  <si>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</si>
  <si>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</si>
  <si>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</si>
  <si>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</si>
  <si>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</si>
  <si>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</si>
  <si>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</si>
  <si>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</si>
  <si>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</si>
  <si>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</si>
  <si>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</si>
  <si>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</si>
  <si>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</si>
  <si>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</si>
  <si>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</si>
  <si>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"Теплокоммунэнерго"</t>
  </si>
  <si>
    <t>Наименование (описание) обособленного подразделения</t>
  </si>
  <si>
    <t>ИНН</t>
  </si>
  <si>
    <t>6165199445</t>
  </si>
  <si>
    <t>КПП</t>
  </si>
  <si>
    <t>616501001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</si>
  <si>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</si>
  <si>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</si>
  <si>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</si>
  <si>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</si>
  <si>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</si>
  <si>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</si>
  <si>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</si>
  <si>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rPr>
        <sz val="9"/>
        <rFont val="Tahoma"/>
        <charset val="134"/>
      </rPr>
      <t xml:space="preserve">Тариф на горячую воду предлагается </t>
    </r>
    <r>
      <rPr>
        <b/>
        <sz val="9"/>
        <rFont val="Tahoma"/>
        <charset val="204"/>
      </rPr>
      <t>с (!)</t>
    </r>
    <r>
      <rPr>
        <sz val="9"/>
        <rFont val="Tahoma"/>
        <charset val="204"/>
      </rPr>
      <t xml:space="preserve"> разбивкой по поставщикам</t>
    </r>
  </si>
  <si>
    <r>
      <rPr>
        <sz val="9"/>
        <rFont val="Tahoma"/>
        <charset val="134"/>
      </rPr>
      <t xml:space="preserve">Тариф на горячую воду предлагается </t>
    </r>
    <r>
      <rPr>
        <b/>
        <sz val="9"/>
        <rFont val="Tahoma"/>
        <charset val="204"/>
      </rPr>
      <t>без (!)</t>
    </r>
    <r>
      <rPr>
        <sz val="9"/>
        <rFont val="Tahoma"/>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</si>
  <si>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</si>
  <si>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</si>
  <si>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</si>
  <si>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</si>
  <si>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</si>
  <si>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</si>
  <si>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</si>
  <si>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</si>
  <si>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</si>
  <si>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</si>
  <si>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пер. Неклиновский, 4/1б, г. Ростов-на-Дону, 344064</t>
  </si>
  <si>
    <t>Фамилия, имя, отчество руководителя</t>
  </si>
  <si>
    <t>Подгайнов Денис Викторович</t>
  </si>
  <si>
    <t>Ответственный за заполнение формы</t>
  </si>
  <si>
    <t>Фамилия, имя, отчество</t>
  </si>
  <si>
    <t>Спивак Юлия Александровна</t>
  </si>
  <si>
    <t>Должность</t>
  </si>
  <si>
    <t>Ведущий инженер отдела перспективного развития</t>
  </si>
  <si>
    <t>Контактный телефон</t>
  </si>
  <si>
    <t>8(863)285-06-66, доб. 24-01</t>
  </si>
  <si>
    <t>E-mail</t>
  </si>
  <si>
    <t>tke-opr@yandex.ru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</si>
  <si>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</si>
  <si>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</si>
  <si>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</si>
  <si>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</si>
  <si>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</si>
  <si>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</si>
  <si>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</si>
  <si>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</si>
  <si>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</si>
  <si>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</si>
  <si>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</si>
  <si>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</si>
  <si>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</si>
  <si>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</si>
  <si>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</si>
  <si>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</si>
  <si>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</si>
  <si>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</si>
  <si>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</si>
  <si>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</si>
  <si>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</si>
  <si>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</si>
  <si>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</si>
  <si>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</si>
  <si>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</si>
  <si>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</si>
  <si>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</si>
  <si>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</si>
  <si>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</si>
  <si>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</si>
  <si>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</si>
  <si>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</si>
  <si>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</si>
  <si>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</si>
  <si>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</si>
  <si>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</si>
  <si>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</si>
  <si>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</si>
  <si>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</si>
  <si>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
 МО (территориям)</t>
  </si>
  <si>
    <t>Дифференциация по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</si>
  <si>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</si>
  <si>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</si>
  <si>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</si>
  <si>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</si>
  <si>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</si>
  <si>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</si>
  <si>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</si>
  <si>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</si>
  <si>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</si>
  <si>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</si>
  <si>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</si>
  <si>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</si>
  <si>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</si>
  <si>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</si>
  <si>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</si>
  <si>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</si>
  <si>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</si>
  <si>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</si>
  <si>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</si>
  <si>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</si>
  <si>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</si>
  <si>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</si>
  <si>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</si>
  <si>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</si>
  <si>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</si>
  <si>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</si>
  <si>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</si>
  <si>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</si>
  <si>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</si>
  <si>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</si>
  <si>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</si>
  <si>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</si>
  <si>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</si>
  <si>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</si>
  <si>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</si>
  <si>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</si>
  <si>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</si>
  <si>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</si>
  <si>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</si>
  <si>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</si>
  <si>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</si>
  <si>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</si>
  <si>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</si>
  <si>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</si>
  <si>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</si>
  <si>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</si>
  <si>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</si>
  <si>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</si>
  <si>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</si>
  <si>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</si>
  <si>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</si>
  <si>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</si>
  <si>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</si>
  <si>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</si>
  <si>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</si>
  <si>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</si>
  <si>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</si>
  <si>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</si>
  <si>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</si>
  <si>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</si>
  <si>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</si>
  <si>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</si>
  <si>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</si>
  <si>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</si>
  <si>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</si>
  <si>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</si>
  <si>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</si>
  <si>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</si>
  <si>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</si>
  <si>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</si>
  <si>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</si>
  <si>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</si>
  <si>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</si>
  <si>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</si>
  <si>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</si>
  <si>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</si>
  <si>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</si>
  <si>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</si>
  <si>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</si>
  <si>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</si>
  <si>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</si>
  <si>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</si>
  <si>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</si>
  <si>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</si>
  <si>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</si>
  <si>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</si>
  <si>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</si>
  <si>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</si>
  <si>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</si>
  <si>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</si>
  <si>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</si>
  <si>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</si>
  <si>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</si>
  <si>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</si>
  <si>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</si>
  <si>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</si>
  <si>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</si>
  <si>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</si>
  <si>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</si>
  <si>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</si>
  <si>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</si>
  <si>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</si>
  <si>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</si>
  <si>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</si>
  <si>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</si>
  <si>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</si>
  <si>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</si>
  <si>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</si>
  <si>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</si>
  <si>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</si>
  <si>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</si>
  <si>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</si>
  <si>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</si>
  <si>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</si>
  <si>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</si>
  <si>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</si>
  <si>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</si>
  <si>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</si>
  <si>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</si>
  <si>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</si>
  <si>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</si>
  <si>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</si>
  <si>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</si>
  <si>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</si>
  <si>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</si>
  <si>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</si>
  <si>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</si>
  <si>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</si>
  <si>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</si>
  <si>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</si>
  <si>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</si>
  <si>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</si>
  <si>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</si>
  <si>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</si>
  <si>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</si>
  <si>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</si>
  <si>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</si>
  <si>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</si>
  <si>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</si>
  <si>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</si>
  <si>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</si>
  <si>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</si>
  <si>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</si>
  <si>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</si>
  <si>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</si>
  <si>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</si>
  <si>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</si>
  <si>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</si>
  <si>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</si>
  <si>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</si>
  <si>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</si>
  <si>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</si>
  <si>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</si>
  <si>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</si>
  <si>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</si>
  <si>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</si>
  <si>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</si>
  <si>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</si>
  <si>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</si>
  <si>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</si>
  <si>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</si>
  <si>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</si>
  <si>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</si>
  <si>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</si>
  <si>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</si>
  <si>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</si>
  <si>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</si>
  <si>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</si>
  <si>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</si>
  <si>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</si>
  <si>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</si>
  <si>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</si>
  <si>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</si>
  <si>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</si>
  <si>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</si>
  <si>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</si>
  <si>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</si>
  <si>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</si>
  <si>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</si>
  <si>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</si>
  <si>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</si>
  <si>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</si>
  <si>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</si>
  <si>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</si>
  <si>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</si>
  <si>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</si>
  <si>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</si>
  <si>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</si>
  <si>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</si>
  <si>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</si>
  <si>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</si>
  <si>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</si>
  <si>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</si>
  <si>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</si>
  <si>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</si>
  <si>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</si>
  <si>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</si>
  <si>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</si>
  <si>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</si>
  <si>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</si>
  <si>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</si>
  <si>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</si>
  <si>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</si>
  <si>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</si>
  <si>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</si>
  <si>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</si>
  <si>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</si>
  <si>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</si>
  <si>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</si>
  <si>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</si>
  <si>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</si>
  <si>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</si>
  <si>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</si>
  <si>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</si>
  <si>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</si>
  <si>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</si>
  <si>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</si>
  <si>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</si>
  <si>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</si>
  <si>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</si>
  <si>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</si>
  <si>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</si>
  <si>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</si>
  <si>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</si>
  <si>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</si>
  <si>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</si>
  <si>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</si>
  <si>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</si>
  <si>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</si>
  <si>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</si>
  <si>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</si>
  <si>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</si>
  <si>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</si>
  <si>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</si>
  <si>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</si>
  <si>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</si>
  <si>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</si>
  <si>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</si>
  <si>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</si>
  <si>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</si>
  <si>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</si>
  <si>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</si>
  <si>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</si>
  <si>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</si>
  <si>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</si>
  <si>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</si>
  <si>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</si>
  <si>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</si>
  <si>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</si>
  <si>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
В колонке "Единицы измерения" в блоке "Теплоэлектростанции" выбирается одно из значений: кВт*ч или МВт.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</si>
  <si>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
В случае отсутствия канализационных сетей, насосных станций, очистных сооружений в соответствующей колонке указывается значение 0.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</si>
  <si>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
В случае отсутствия водопроводных сетей, скважин, подкачивающих станций в соответствующей колонке указывается значение 0.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</si>
  <si>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
В случае отсутствия водопроводных сетей, центральных тепловых пунктов в соответствующей колонке указывается значение 0.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</si>
  <si>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</si>
  <si>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</si>
  <si>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</si>
  <si>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</si>
  <si>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</si>
  <si>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</si>
  <si>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
В случае оказания услуг по нескольким видам деятельности информация по каждому из них указывается отдельно.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</si>
  <si>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</si>
  <si>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</si>
  <si>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</si>
  <si>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</si>
  <si>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</si>
  <si>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</si>
  <si>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</si>
  <si>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</si>
  <si>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</si>
  <si>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</si>
  <si>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</si>
  <si>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</si>
  <si>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</si>
  <si>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</si>
  <si>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</si>
  <si>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</si>
  <si>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</si>
  <si>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</si>
  <si>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</si>
  <si>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</si>
  <si>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</si>
  <si>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</si>
  <si>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
Значение выбирается из перечня:
   - вода;
   - пар;
   - отборный пар, 1.2 – 2.5 кг/см2;
   - отборный пар, 2.5 – 7 кг/см2;
   - отборный пар, 7 – 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</si>
  <si>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</si>
  <si>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</si>
  <si>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</si>
  <si>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</si>
  <si>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</si>
  <si>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</si>
  <si>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</si>
  <si>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</si>
  <si>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</si>
  <si>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</si>
  <si>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</si>
  <si>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</si>
  <si>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</si>
  <si>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</si>
  <si>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</si>
  <si>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</si>
  <si>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</si>
  <si>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</si>
  <si>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
руб./Гкал</t>
  </si>
  <si>
    <t>Ставка за содержание тепловой мощности,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</si>
  <si>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</si>
  <si>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</si>
  <si>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</si>
  <si>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</si>
  <si>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</si>
  <si>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</si>
  <si>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</si>
  <si>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</si>
  <si>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</si>
  <si>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
руб./Гкал</t>
  </si>
  <si>
    <t>ставка за содержание тепловой мощности,
тыс. руб./Гкал/ч/мес</t>
  </si>
  <si>
    <t>дата начала</t>
  </si>
  <si>
    <t>дата окончания</t>
  </si>
  <si>
    <t>Добавить наименование тарифа</t>
  </si>
  <si>
    <t>Период действия</t>
  </si>
  <si>
    <t>Одноставочный тариф,
руб./куб.м</t>
  </si>
  <si>
    <t>В колонке «Параметр дифференциации тарифов» указывается вид теплоносителя.
Значение выбирается из перечня:
   - вода;
   - пар;
   - отборный пар, 1.2 – 2.5 кг/см2;
   - отборный пар, 2.5 – 7 кг/см2;
   - отборный пар, 7 – 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</si>
  <si>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Значение выбирается из перечня:
   - вода;
   - пар;
   - отборный пар, 1.2 – 2.5 кг/см2;
   - отборный пар, 2.5 – 7 кг/см2;
   - отборный пар, 7 – 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</si>
  <si>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</si>
  <si>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</si>
  <si>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
руб./куб. м</t>
  </si>
  <si>
    <t>Двухкомпонентный тариф на горячую воду</t>
  </si>
  <si>
    <t>Компонент на теплоноситель,
руб./куб. м</t>
  </si>
  <si>
    <t>Компонента на тепловую энергию</t>
  </si>
  <si>
    <t>Одноставочный компонент тарифа на тепловую энергию,
руб/Гкал</t>
  </si>
  <si>
    <t>Двухставочный компонент тарифа на тепловую энергию</t>
  </si>
  <si>
    <t>NUM_CONS</t>
  </si>
  <si>
    <t>ставка за потребление горячей воды,
руб./куб. м</t>
  </si>
  <si>
    <t>ставка за содержание тепловой мощности в компоненте на тепловую энергию,
тыс. руб./Гкал/ч в мес.</t>
  </si>
  <si>
    <t>В колонке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</si>
  <si>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</si>
  <si>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</si>
  <si>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</si>
  <si>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</si>
  <si>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</si>
  <si>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</si>
  <si>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</si>
  <si>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</si>
  <si>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</si>
  <si>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
Гкал/ч</t>
  </si>
  <si>
    <t>Тип прокладки тепловых сетей</t>
  </si>
  <si>
    <t>Диаметр тепловых сетей,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</si>
  <si>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</si>
  <si>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</si>
  <si>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</si>
  <si>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</si>
  <si>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</si>
  <si>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</si>
  <si>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</si>
  <si>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</si>
  <si>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</si>
  <si>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
Дифференциация тарифа осуществляется в соответствии с законодательством в сфере водоснабжения и водоотведения.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</si>
  <si>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</si>
  <si>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</si>
  <si>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</si>
  <si>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</si>
  <si>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</si>
  <si>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</si>
  <si>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</si>
  <si>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
руб./куб. м</t>
  </si>
  <si>
    <t>ставка платы за объем поданной воды,
руб./куб. м</t>
  </si>
  <si>
    <t>ставка платы за содержание мощности,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</si>
  <si>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</si>
  <si>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</si>
  <si>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</si>
  <si>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</si>
  <si>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</si>
  <si>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</si>
  <si>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</si>
  <si>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</si>
  <si>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</si>
  <si>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</si>
  <si>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</si>
  <si>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</si>
  <si>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</si>
  <si>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
куб. м/сут</t>
  </si>
  <si>
    <t>Диапазон диаметров водопроводной сети,
мм</t>
  </si>
  <si>
    <t>Протяженность водопроводной сети,
км</t>
  </si>
  <si>
    <t>Условия прокладки сетей</t>
  </si>
  <si>
    <t>Ставка тарифа за подключаемую нагрузку водопроводной сети,
тыс. руб./куб. м в сутки</t>
  </si>
  <si>
    <t>Ставка тарифа за протяженность водопроводной сети диаметром d,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</si>
  <si>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</si>
  <si>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</si>
  <si>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</si>
  <si>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</si>
  <si>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
руб./куб. м</t>
  </si>
  <si>
    <t>ставка платы за объем 
принятых сточных вод,
руб./куб. м</t>
  </si>
  <si>
    <t>pt_ist_te_17</t>
  </si>
  <si>
    <t>pt_ist_te_18</t>
  </si>
  <si>
    <t>Добавить протяженность сети</t>
  </si>
  <si>
    <t>Добавить диапазон диаметров</t>
  </si>
  <si>
    <t>Подключаемая нагрузка канализационной сети,
куб. м/сут</t>
  </si>
  <si>
    <t>Диапазон диаметров канализационной сети,
мм</t>
  </si>
  <si>
    <t>Протяженность канализационной  сети,
км</t>
  </si>
  <si>
    <t>Ставка тарифа за подключаемую нагрузку канализационной сети,
тыс. руб./куб. м в сутки</t>
  </si>
  <si>
    <t>Ставка тарифа за протяженность канализационной сети диаметром d,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</si>
  <si>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</si>
  <si>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</si>
  <si>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</si>
  <si>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</si>
  <si>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</si>
  <si>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</si>
  <si>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</si>
  <si>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</si>
  <si>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</si>
  <si>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</si>
  <si>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</si>
  <si>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</si>
  <si>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</si>
  <si>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</si>
  <si>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</si>
  <si>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</si>
  <si>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</si>
  <si>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</si>
  <si>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</si>
  <si>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</si>
  <si>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</si>
  <si>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</si>
  <si>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</si>
  <si>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</si>
  <si>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</si>
  <si>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</si>
  <si>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</si>
  <si>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</si>
  <si>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</si>
  <si>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</si>
  <si>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</si>
  <si>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</si>
  <si>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</si>
  <si>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</si>
  <si>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</si>
  <si>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</si>
  <si>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</si>
  <si>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</si>
  <si>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</si>
  <si>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</si>
  <si>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</si>
  <si>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</si>
  <si>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</si>
  <si>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</si>
  <si>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</si>
  <si>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</si>
  <si>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</si>
  <si>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</si>
  <si>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</si>
  <si>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</si>
  <si>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</si>
  <si>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</si>
  <si>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</si>
  <si>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</si>
  <si>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</si>
  <si>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</si>
  <si>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</si>
  <si>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</si>
  <si>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</si>
  <si>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</si>
  <si>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</si>
  <si>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</si>
  <si>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</si>
  <si>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</si>
  <si>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</si>
  <si>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</si>
  <si>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</si>
  <si>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</si>
  <si>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</si>
  <si>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</si>
  <si>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</si>
  <si>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</si>
  <si>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</si>
  <si>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</si>
  <si>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</si>
  <si>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</si>
  <si>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</si>
  <si>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</si>
  <si>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</si>
  <si>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</si>
  <si>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</si>
  <si>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</si>
  <si>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</si>
  <si>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</si>
  <si>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</si>
  <si>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</si>
  <si>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</si>
  <si>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</si>
  <si>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</si>
  <si>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</si>
  <si>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</si>
  <si>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</si>
  <si>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</si>
  <si>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</si>
  <si>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</si>
  <si>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</si>
  <si>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</si>
  <si>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</si>
  <si>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</si>
  <si>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</si>
  <si>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</si>
  <si>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</si>
  <si>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</si>
  <si>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</si>
  <si>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</si>
  <si>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</si>
  <si>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</si>
  <si>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</si>
  <si>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</si>
  <si>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</si>
  <si>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</si>
  <si>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</si>
  <si>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</si>
  <si>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</si>
  <si>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</si>
  <si>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</si>
  <si>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</si>
  <si>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</si>
  <si>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</si>
  <si>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</si>
  <si>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</si>
  <si>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</si>
  <si>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</si>
  <si>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</si>
  <si>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</si>
  <si>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</si>
  <si>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</si>
  <si>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</si>
  <si>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</si>
  <si>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</si>
  <si>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</si>
  <si>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</si>
  <si>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</si>
  <si>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</si>
  <si>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</si>
  <si>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</si>
  <si>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</si>
  <si>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</si>
  <si>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</si>
  <si>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</si>
  <si>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</si>
  <si>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</si>
  <si>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</si>
  <si>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</si>
  <si>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</si>
  <si>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</si>
  <si>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</si>
  <si>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</si>
  <si>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</si>
  <si>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</si>
  <si>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</si>
  <si>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</si>
  <si>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</si>
  <si>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</si>
  <si>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</si>
  <si>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</si>
  <si>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</si>
  <si>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</si>
  <si>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</si>
  <si>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</si>
  <si>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</si>
  <si>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</si>
  <si>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</si>
  <si>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</si>
  <si>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</si>
  <si>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</si>
  <si>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</si>
  <si>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</si>
  <si>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</si>
  <si>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</si>
  <si>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</si>
  <si>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</si>
  <si>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</si>
  <si>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</si>
  <si>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</si>
  <si>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</si>
  <si>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</si>
  <si>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</si>
  <si>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</si>
  <si>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</si>
  <si>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</si>
  <si>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</si>
  <si>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</si>
  <si>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</si>
  <si>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</si>
  <si>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</si>
  <si>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</si>
  <si>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</si>
  <si>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</si>
  <si>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</si>
  <si>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</si>
  <si>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</si>
  <si>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</si>
  <si>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</si>
  <si>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</si>
  <si>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</si>
  <si>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</si>
  <si>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</si>
  <si>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</si>
  <si>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</si>
  <si>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</si>
  <si>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</si>
  <si>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</si>
  <si>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</si>
  <si>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</si>
  <si>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</si>
  <si>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</si>
  <si>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</si>
  <si>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</si>
  <si>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</si>
  <si>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</si>
  <si>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</si>
  <si>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</si>
  <si>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</si>
  <si>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</si>
  <si>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</si>
  <si>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</si>
  <si>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</si>
  <si>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</si>
  <si>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</si>
  <si>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</si>
  <si>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</si>
  <si>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</si>
  <si>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</si>
  <si>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</si>
  <si>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</si>
  <si>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</si>
  <si>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</si>
  <si>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</si>
  <si>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</si>
  <si>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</si>
  <si>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</si>
  <si>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</si>
  <si>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</si>
  <si>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</si>
  <si>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</si>
  <si>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</si>
  <si>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</si>
  <si>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</si>
  <si>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</si>
  <si>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</si>
  <si>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</si>
  <si>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</si>
  <si>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</si>
  <si>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</si>
  <si>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</si>
  <si>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</si>
  <si>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</si>
  <si>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</si>
  <si>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</si>
  <si>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</si>
  <si>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</si>
  <si>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</si>
  <si>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</si>
  <si>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</si>
  <si>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</si>
  <si>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</si>
  <si>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</si>
  <si>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</si>
  <si>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</si>
  <si>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</si>
  <si>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</si>
  <si>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</si>
  <si>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</si>
  <si>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</si>
  <si>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</si>
  <si>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</si>
  <si>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</si>
  <si>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</si>
  <si>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</si>
  <si>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</si>
  <si>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</si>
  <si>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</si>
  <si>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</si>
  <si>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</si>
  <si>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</si>
  <si>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</si>
  <si>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</si>
  <si>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</si>
  <si>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</si>
  <si>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</si>
  <si>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</si>
  <si>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</si>
  <si>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</si>
  <si>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</si>
  <si>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</si>
  <si>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</si>
  <si>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</si>
  <si>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</si>
  <si>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</si>
  <si>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</si>
  <si>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</si>
  <si>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</si>
  <si>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</si>
  <si>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</si>
  <si>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</si>
  <si>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</si>
  <si>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</si>
  <si>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</si>
  <si>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</si>
  <si>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</si>
  <si>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</si>
  <si>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</si>
  <si>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</si>
  <si>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</si>
  <si>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</si>
  <si>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</si>
  <si>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</si>
  <si>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</si>
  <si>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</si>
  <si>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</si>
  <si>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</si>
  <si>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
В случае, если показатели не утверждены в колонке «Информация» указывается «Не утверждены».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</si>
  <si>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</si>
  <si>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</si>
  <si>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</si>
  <si>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</si>
  <si>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</si>
  <si>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</si>
  <si>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</si>
  <si>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</si>
  <si>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</si>
  <si>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</si>
  <si>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</si>
  <si>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</si>
  <si>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</si>
  <si>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</si>
  <si>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</si>
  <si>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</si>
  <si>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</si>
  <si>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</si>
  <si>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</si>
  <si>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</si>
  <si>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</si>
  <si>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</si>
  <si>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</si>
  <si>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</si>
  <si>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</si>
  <si>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</si>
  <si>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</si>
  <si>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</si>
  <si>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</si>
  <si>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</si>
  <si>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</si>
  <si>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</si>
  <si>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</si>
  <si>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</si>
  <si>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</si>
  <si>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</si>
  <si>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</si>
  <si>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</si>
  <si>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</si>
  <si>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</si>
  <si>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</si>
  <si>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</si>
  <si>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</si>
  <si>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</si>
  <si>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</si>
  <si>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</si>
  <si>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</si>
  <si>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</si>
  <si>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</si>
  <si>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</si>
  <si>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</si>
  <si>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</si>
  <si>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</si>
  <si>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</si>
  <si>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</si>
  <si>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</si>
  <si>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</si>
  <si>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</si>
  <si>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</si>
  <si>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</si>
  <si>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</si>
  <si>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</si>
  <si>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</si>
  <si>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</si>
  <si>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</si>
  <si>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</si>
  <si>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</si>
  <si>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</si>
  <si>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</si>
  <si>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</si>
  <si>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</si>
  <si>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</si>
  <si>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</si>
  <si>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</si>
  <si>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</si>
  <si>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</si>
  <si>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</si>
  <si>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</si>
  <si>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</si>
  <si>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</si>
  <si>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</si>
  <si>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</si>
  <si>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</si>
  <si>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</si>
  <si>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</si>
  <si>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</si>
  <si>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</si>
  <si>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</si>
  <si>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</si>
  <si>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</si>
  <si>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</si>
  <si>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</si>
  <si>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</si>
  <si>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</si>
  <si>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</si>
  <si>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</si>
  <si>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</si>
  <si>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</si>
  <si>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</si>
  <si>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</si>
  <si>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</si>
  <si>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</si>
  <si>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</si>
  <si>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</si>
  <si>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</si>
  <si>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</si>
  <si>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</si>
  <si>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</si>
  <si>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</si>
  <si>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</si>
  <si>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</si>
  <si>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</si>
  <si>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</si>
  <si>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</si>
  <si>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</si>
  <si>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</si>
  <si>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</si>
  <si>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</si>
  <si>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</si>
  <si>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</si>
  <si>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</si>
  <si>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</si>
  <si>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</si>
  <si>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</si>
  <si>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</si>
  <si>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</si>
  <si>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</si>
  <si>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</si>
  <si>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</si>
  <si>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</si>
  <si>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</si>
  <si>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</si>
  <si>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</si>
  <si>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</si>
  <si>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</si>
  <si>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</si>
  <si>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</si>
  <si>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
Указывается информация о случаях прекращения подачи тепловой энергии потребителям, предусмотренных законодательством в сфере теплоснабжения.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</si>
  <si>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</si>
  <si>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</si>
  <si>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</si>
  <si>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</si>
  <si>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</si>
  <si>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</si>
  <si>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</si>
  <si>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</si>
  <si>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</si>
  <si>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</si>
  <si>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</si>
  <si>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</si>
  <si>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</si>
  <si>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</si>
  <si>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</si>
  <si>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</si>
  <si>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</si>
  <si>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</si>
  <si>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</si>
  <si>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</si>
  <si>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</si>
  <si>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</si>
  <si>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147 от 30.10.2025 АО "ТЕПЛОКОММУНЭНЕРГО" в сфере теплоснабжения по строительству, реконструкции и модернизации систем теплоснабжения, на территории городского округа Ростов-на-Дону на 2026 год</t>
  </si>
  <si>
    <t>снижение аварийности; улучшение качества; повышение надёжности и энергетической эффективности</t>
  </si>
  <si>
    <t>Региональная служба по тарифам Ростовской области</t>
  </si>
  <si>
    <t>Администрация города Ростова-на-Дону</t>
  </si>
  <si>
    <t>01.01.2026</t>
  </si>
  <si>
    <t>31.12.2026</t>
  </si>
  <si>
    <t>Об утверждении инвестиционной программы АО "Теплокоммунэнерго" (ИНН 6165199445), г. Ростов-на-Дону, в сфере теплоснабжения (поставка тепловой энергии) на 2026 год</t>
  </si>
  <si>
    <t>Постановление</t>
  </si>
  <si>
    <t>ip_51</t>
  </si>
  <si>
    <t>Добавить реквизиты</t>
  </si>
  <si>
    <t>Инвестиционная программа № 148 от 30.10.2025 АО "ТЕПЛОКОММУНЭНЕРГО"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Ростов-на-Дону на 2026 год</t>
  </si>
  <si>
    <t>Об утверждении инвестиционной программы АО "Теплокоммунэнерго" (ИНН 6165199445), г. Ростов-на-Дону, в сфере теплоснабжения (передача тепловой энергии) на 2026 год</t>
  </si>
  <si>
    <t>ip_511</t>
  </si>
  <si>
    <t>Добавить инвестиционную программу</t>
  </si>
  <si>
    <t>Год реализации инвестиционной программы</t>
  </si>
  <si>
    <t>№ п/п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</si>
  <si>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</si>
  <si>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</si>
  <si>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</si>
  <si>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</si>
  <si>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</si>
  <si>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</si>
  <si>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</si>
  <si>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</si>
  <si>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</si>
  <si>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</si>
  <si>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</si>
  <si>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</si>
  <si>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</si>
  <si>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</si>
  <si>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</si>
  <si>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</si>
  <si>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</si>
  <si>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</si>
  <si>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</si>
  <si>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</si>
  <si>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</si>
  <si>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</si>
  <si>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</si>
  <si>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</si>
  <si>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</si>
  <si>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</si>
  <si>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</si>
  <si>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</si>
  <si>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</si>
  <si>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иных объектов теплоснабжения за исключением тепловых сетей в целях подключения потребителей</t>
  </si>
  <si>
    <t xml:space="preserve">Устройство индивидуального теплового пункта, расположенного по адресу: г. Ростов-на-Дону, пер. Братский, 36/5 </t>
  </si>
  <si>
    <t>Октябрь</t>
  </si>
  <si>
    <t>2026</t>
  </si>
  <si>
    <t>Котельная Братский, 36/5</t>
  </si>
  <si>
    <t>ТИ с сетями</t>
  </si>
  <si>
    <t>Город Ростов-на-Дону</t>
  </si>
  <si>
    <t>60701000</t>
  </si>
  <si>
    <t>г Ростов-на-Дону</t>
  </si>
  <si>
    <t>60701000001</t>
  </si>
  <si>
    <t>пер. Братский</t>
  </si>
  <si>
    <t>36/5</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</si>
  <si>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</si>
  <si>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</si>
  <si>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</si>
  <si>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Устройство центрального теплового пункта, расположенного по адресу: г. Ростов-на-Дону, ул. Б. Садовая, 43</t>
  </si>
  <si>
    <t>Котельная Б.Садовая, 43</t>
  </si>
  <si>
    <t>ул. Большая Садовая</t>
  </si>
  <si>
    <t>43</t>
  </si>
  <si>
    <t>Устройство центрального теплового пункта, расположенного по адресу: г. Ростов-на-Дону, пр. М. Нагибина, 36/1</t>
  </si>
  <si>
    <t>Котельная М. Нагибина, 36/1</t>
  </si>
  <si>
    <t>пр-кт. Михаила Нагибина</t>
  </si>
  <si>
    <t>36/1</t>
  </si>
  <si>
    <t>Устройство центрального теплового пункта, расположенного по адресу: г. Ростов-на-Дону, ул. Серафимовича, 41</t>
  </si>
  <si>
    <t>Котельная Серафимовича, 41</t>
  </si>
  <si>
    <t>ул. Серафимовича</t>
  </si>
  <si>
    <t>41</t>
  </si>
  <si>
    <t>Устройство индивидуального теплового пункта, расположенного по адресу: г. Ростов-на-Дону, ул. Красноармейская, 222</t>
  </si>
  <si>
    <t>Котельная Красноармейская 222</t>
  </si>
  <si>
    <t>ТИ</t>
  </si>
  <si>
    <t>ул. Красноармейская</t>
  </si>
  <si>
    <t>222</t>
  </si>
  <si>
    <t>Устройство индивидуального теплового пункта, расположенного по адресу: г. Ростов-на-Дону, ул. Вятская, 27б</t>
  </si>
  <si>
    <t>Котельная Вятская, 27б</t>
  </si>
  <si>
    <t>ул. Вятская</t>
  </si>
  <si>
    <t>27б</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</si>
  <si>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</si>
  <si>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Техническое перевооружение системы теплоснабжения опасного производственного объекта рег.№А29-00438-0001 от 05.06.2000 «Система теплоснабжения» III класса опасности, расположенного по адресу: Ростовская область, г. Ростов-на-Дону, ул. 28 линия, 13</t>
  </si>
  <si>
    <t>Котельная 28-я Линия, 13</t>
  </si>
  <si>
    <t>ул. 28-я Линия</t>
  </si>
  <si>
    <t>13 лит. Б</t>
  </si>
  <si>
    <t xml:space="preserve">  Прибыль направляемая на инвестиции</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</si>
  <si>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</si>
  <si>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 xml:space="preserve">Прокладка тепловой сети с целью закрытия подвальной газовой котельной по адресу: г. Ростов-на-Дону, пр. М. Нагибина, 36/1: Тепловая сеть диаметром 325 мм, протяженностью 85,5 тр. м и диаметром 89 мм, протяженностью 3,5 тр.м от котельной по пр. М.Нагибина, 36/1 </t>
  </si>
  <si>
    <t>Прокладка тепловой сети с целью закрытия подвальной газовой котельной по адресу: г. Ростов-на-Дону, ул. Б. Садовая, 43: Тепловая сеть диаметром диаметром 89 мм, протяженностью 100,5 тр.м от котельной по ул. Б.Садовая, 43</t>
  </si>
  <si>
    <t>Прокладка тепловой сети с целью закрытия подвальной газовой котельной по адресу: г. Ростов-на-Дону, пер. Братский, 36/5: Тепловая сеть диаметром диаметром 133 мм, протяженностью 194,5 тр.м от котельной по пер. Братский, 36/5</t>
  </si>
  <si>
    <t>Прокладка тепловой сети с целью закрытия подвальной газовой котельной по адресу: г. Ростов-на-Дону, пр. Шолохова, 128/1: Тепловая сеть диаметром диаметром 219 мм, протяженностью 422,5 тр.м от котельной по пр. Шолохова, 128/1</t>
  </si>
  <si>
    <t>Котельная Шолохова, 128/1</t>
  </si>
  <si>
    <t>пр-кт. Шолохова</t>
  </si>
  <si>
    <t>128/1</t>
  </si>
  <si>
    <t>Прокладка тепловой сети с целью закрытия подвальной газовой котельной по адресу: г. Ростов-на-Дону, пл. Базарная, 3/1: Тепловая сеть диаметром диаметром 159 мм, протяженностью 231 тр.м от котельной по пл. Базарная, 3/1</t>
  </si>
  <si>
    <t>Котельная Базарная, 3/1</t>
  </si>
  <si>
    <t>пл. Базарная</t>
  </si>
  <si>
    <t>3/1</t>
  </si>
  <si>
    <t>Прокладка тепловой сети с целью закрытия подвальной газовой котельной по адресу: г. Ростов-на-Дону, ул. Коммунаров, 33: Тепловая сеть диаметром диаметром 159 мм, протяженностью 150 тр.м от котельной по ул. Коммунаров, 33</t>
  </si>
  <si>
    <t>Котельная Коммунаров, 33</t>
  </si>
  <si>
    <t>ул. Коммунаров</t>
  </si>
  <si>
    <t>33</t>
  </si>
  <si>
    <t>Прокладка тепловой сети с целью закрытия подвальной газовой котельной по адресу: г. Ростов-на-Дону, ул. Серафимовича, 41: Тепловая сеть диаметром диаметром 108 мм, протяженностью 160 тр.м от котельной по ул. Серафимовича, 41</t>
  </si>
  <si>
    <t>15</t>
  </si>
  <si>
    <t>Прокладка тепловой сети с целью закрытия подвальной газовой котельной по адресу: г. Ростов-на-Дону, ул. Красноармейская, 222: Тепловая сеть диаметром диаметром 89 мм, протяженностью 100 тр.м от котельной по ул. Красноармейская, 222</t>
  </si>
  <si>
    <t>16</t>
  </si>
  <si>
    <t>Прокладка тепловой сети с целью закрытия подвальной газовой котельной по адресу: г. Ростов-на-Дону, ул. Вятская, 27б: Тепловая сеть диаметром диаметром 108 мм, протяженностью 110 тр.м от котельной по ул. Вятская, 27б</t>
  </si>
  <si>
    <t>HEAT_IP_EVENT_SUBGROUP_3_LIST</t>
  </si>
  <si>
    <t>17</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</si>
  <si>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</si>
  <si>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</si>
  <si>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Техническое перевооружение тепловой сети от котельной по ул. Таганрогская, 139/9: Т.сеть ТК 101 до ТК 271 А D=325 мм,L=556 тр.м. (Техническое перевооружение участка тепловой сети от ТК-271А до ТК 271Ж d=325 мм, L=437 тр. м) Инв. № 00030518</t>
  </si>
  <si>
    <t>Котельная Таганрогская, 139/9</t>
  </si>
  <si>
    <t>ул. Таганрогская</t>
  </si>
  <si>
    <t>139/9</t>
  </si>
  <si>
    <t>18</t>
  </si>
  <si>
    <t>Техническое перевооружение тепловой сети от котельной по ул. Гагринская, 11а: Т.сеть от котел. ул. Гагринская, 11 А ТК 202-ТК 219,d=530/426мм,L=772/167 тр.м.  (Техническое перевооружение от ТК-212 в сторону ТК-214 Д-530 мм, L=300 тр. м)  Инв. № 00030669</t>
  </si>
  <si>
    <t>Котельная Гагринская, 11А</t>
  </si>
  <si>
    <t>ул. Гагринская</t>
  </si>
  <si>
    <t>11 А</t>
  </si>
  <si>
    <t>19</t>
  </si>
  <si>
    <t>Техническое перевооружение тепловой сети от котельной по пр. Шолохова, 310: Т.трасса от котел. Шолохова, 310 ТК2- ТК3, d=600, L=182,5 тр.м (Техническое перевооружение участка тепловой сети от ТК 2А до ТК3, d=600 мм, протяженностью 85 тр. м) Инв. № 00030772</t>
  </si>
  <si>
    <t>Котельная Шолохова, 310</t>
  </si>
  <si>
    <t>310</t>
  </si>
  <si>
    <t>20</t>
  </si>
  <si>
    <t>Техническое перевооружение тепловой сети от котельной по пр. Шолохова, 310: Т.трасса ТК3- ТК4А, d=600, L=95 тр.м (Техническое перевооружение участка тепловой сети от ТК3 до ТК4, протяженность. 95 тр.м., Ду-600 мм) Инв. № 00030773</t>
  </si>
  <si>
    <t>21</t>
  </si>
  <si>
    <t>Техническое перевооружение тепловой сети от котельной по пр. Шолохова, 310: Т.трасса ТК13- ТК15,  d=500, L=149,8 тр.м (Техническое перевооружение участка протяженностью 70 тр.м.,  Ду-500 мм) Инв. № 00030790</t>
  </si>
  <si>
    <t>22</t>
  </si>
  <si>
    <t>Техническое перевооружение тепловой сети от котельной по ул. Вятская, 37/3: Теплотрасса от кот.Вятская, 37/3 по нечет стороне к ж/д Штахановского,1-25/100 прот.=1287,5 тр.м.  (Техническое перевооружение участка от ТК70 до ТК82 180 тр.м, Ду-300 мм) Инв. № 00037045</t>
  </si>
  <si>
    <t>Котельная Вятская, 37/3</t>
  </si>
  <si>
    <t>37/3</t>
  </si>
  <si>
    <t>23</t>
  </si>
  <si>
    <t>Техническое перевооружение тепловой сети от котельной по ул. Вятская, 37/3: Теплотрасса от кот.Вятская, 37/3  к ж/д Штахановского,24 прот.=1508 тр.м.  (Техническое перевооружение участка от ТК56 до ТК70 - 70 тр.м., Ду300 мм) Инв. № 00037048</t>
  </si>
  <si>
    <t>24</t>
  </si>
  <si>
    <t>Техническое перевооружение тепловой сети от котельной по ул. Вятская, 37/3: Теплотрасса от кот.Вятская, 37/3  к ж/д Вятская, 39/2-47/107 прот.=1094 тр.м.  (Техническое перевооружение - участок от опуска в землю в районе ж/д Вятская, 39/2 до ТК95 протяженностью 150 тр.м., Ду-300 мм) Инв. № 00037056</t>
  </si>
  <si>
    <t>25</t>
  </si>
  <si>
    <t>Техническое перевооружение тепловой сети от котельной по ул. 2-я Володарского, 76/23а: Техническое перевооружение теплового ввода к ж/д по адр.: Литвинова, 28 протяж.=150 тр/пм, диаметр = 100 мм Инв. № 00032841</t>
  </si>
  <si>
    <t>Котельная 2-я Володарского, 76</t>
  </si>
  <si>
    <t>ул. 2-я Володарского</t>
  </si>
  <si>
    <t>76</t>
  </si>
  <si>
    <t>26</t>
  </si>
  <si>
    <t>Техническое перевооружение тепловой сети от котельной по ул. Пановой, 35а: Тепловая трасса Нива-1 пр.Сельмаш,14 от ТК-241 до ТК-242 d=325мм, L=50тр.м, ГВС d=159мм, L=50тр.м. (замена участка трубопровода Ду-300 мм (отопление 25 тр.м) Инв. № 00034049</t>
  </si>
  <si>
    <t>котельная Пановой, 35а</t>
  </si>
  <si>
    <t>ул. Пановой ул</t>
  </si>
  <si>
    <t>35а</t>
  </si>
  <si>
    <t>27</t>
  </si>
  <si>
    <t>Техническое перевооружение тепловой сети от котельной по пр. 40-летия Победы, 308/5: Т.трасса ТК16-ТК17 d=426 мм, L=20тр.м Инв. № 00030206</t>
  </si>
  <si>
    <t>Котельная          40-летия Победы, 308/5</t>
  </si>
  <si>
    <t>пр-кт. 40-летия Победы</t>
  </si>
  <si>
    <t>308/5</t>
  </si>
  <si>
    <t>28</t>
  </si>
  <si>
    <t>Техническое перевооружение тепловой сети от котельной по пр. 40-летия Победы, 308/5: Т.трасса ТК8 - ТК103 d=377мм,L=59тр.м Инв. № 00030211</t>
  </si>
  <si>
    <t>29</t>
  </si>
  <si>
    <t>Техническое перевооружение тепловой сети от котельной по пр. 40-летия Победы, 308/5: Т.трасса котел - Т/к16 d 426/530 мм L=1003,6/53,4 тр. м в ППУ изоляции с СОДК (уч-к d=426 мм, L=72 тр. м, участок ТК9-ТК8 L=13 тр. м) Инв. № 00030196</t>
  </si>
  <si>
    <t>30</t>
  </si>
  <si>
    <t>Техническое перевооружение тепловой сети от котельной по пр. 40-летия Победы, 63/2: Разводящие тепловые сети по Пролетарскому району, протяженность =2129 тр.м. (Замена участка от ТК24-ТК134, Д-325 мм, L=80 тр. м) Инв. № 00030241</t>
  </si>
  <si>
    <t>Котельная 40-летия Победы, 63/2</t>
  </si>
  <si>
    <t>63/2</t>
  </si>
  <si>
    <t>31</t>
  </si>
  <si>
    <t>Техническое перевооружение тепловой сети от котельной по пр. 40-летия Победы, 63/2: Т.трасса ТК20 -ТК30 d=219мм L=289 тр.м (замена участка Д-219 мм, L=135 тр. м) Инв. № 00030198</t>
  </si>
  <si>
    <t>32</t>
  </si>
  <si>
    <t>Техническое перевооружение тепловой сети от котельной по пр. 40-летия Победы, 63/2: Разводящие тепловые сети по Пролетарскому району, протяженность =2129 тр.м. (Замена участка от ТК56-ТК58, Д-273 мм, L=20 тр. м) Инв. № 00030241</t>
  </si>
  <si>
    <t>Техническое перевооружение тепловой сети от котельной по пр. 40-летия Победы, 63/2: Разводящие тепловые сети по Пролетарскому району, протяженность =2129 тр.м. (Замена участка от ТК145-ТК40, Д-273 мм, L=30 тр. м) Инв. № 00030241</t>
  </si>
  <si>
    <t>34</t>
  </si>
  <si>
    <t>Техническое перевооружение тепловой сети от котельной по пр. 40-летия Победы, 63/2: Разводящие тепловые сети по Пролетарскому району, протяженность =2129 тр.м. (Замена участка от ТК24-ТК22, Д-273 мм, L=50 тр. м) Инв. № 00030241</t>
  </si>
  <si>
    <t>35</t>
  </si>
  <si>
    <t>реконструкция или модернизация существующих объектов теплоснабжения, за исключением тепловых сетей</t>
  </si>
  <si>
    <t>Техническое перевооружение системы теплоснабжения опасного производственного объекта рег.№А29-00438-0001 от 05.06.2000 «Система теплоснабжения» III класса опасности, расположенного по адресу: Ростовская область, г. Ростов-на-Дону, ул. Б. Садовая, 11 (Котлы наружного размещения)</t>
  </si>
  <si>
    <t>Котельная Б.Садовая, 11</t>
  </si>
  <si>
    <t>36</t>
  </si>
  <si>
    <t>Техническое перевооружение системы теплоснабжения опасного производственного объекта рег.№А29-00438-0001 от 05.06.2000 «Система теплоснабжения» III класса опасности, расположенного по адресу: Ростовская область, г. Ростов-на-Дону, ул. 21-я линия, 8 (Котлы наружного размещения)</t>
  </si>
  <si>
    <t>Котельная          21-я Линия, 8</t>
  </si>
  <si>
    <t>ул. 21-я Линия</t>
  </si>
  <si>
    <t>37</t>
  </si>
  <si>
    <t>Реконструкция системы теплоснабжения опасного производственного объекта рег.№А29-00438-0001 от 05.06.2000 «Система теплоснабжения» III класса опасности, расположенного по адресу: Ростовская область, г. Ростов-на-Дону, ул. Коммунаров, 33 (Блочно-модульная котельная)</t>
  </si>
  <si>
    <t>38</t>
  </si>
  <si>
    <t>Реконструкция системы теплоснабжения опасного производственного объекта рег.№А29-00438-0001 от 05.06.2000 «Система теплоснабжения» III класса опасности, расположенного по адресу: Ростовская область, г. Ростов-на-Дону, ул. 2 Володарского, 76/23а (Блочно-модульная котельная)</t>
  </si>
  <si>
    <t>39</t>
  </si>
  <si>
    <t>Ростовская область, г. Ростов-на-Дону, ул. Казахская,85/3 с демонтажем котла ТВГ-8М – опасного производственного объекта рег.№А29-00438-0003 от 11.07.2005 г. «Группа котельных» III класса опасности, и изменением режима работы трубопровода горячей воды 69.16/Т-29 - опасного производственного объекта рег.№А29-00438-0004 от 11.07.2005 г. «Участок трубопровода теплосети» III класса опасности, с исключением данных признаков опасности (Котельная)</t>
  </si>
  <si>
    <t>Котельная Казахская, 85/3</t>
  </si>
  <si>
    <t>ул. Казахская</t>
  </si>
  <si>
    <t>85/3</t>
  </si>
  <si>
    <t>40</t>
  </si>
  <si>
    <t>Реконструкция котельной, расположенной по адресу: 
Ростовская область, г. Ростов-на-Дону, ул. Туполева, 16С – опасного производственного объекта рег.№А29-00438-0003 от 11.07.2005 г. «Группа котельных» III класса опасности с демонтажом двух котлов ДКВр-10/13 № 1, 2 и монтажем котла Rossen RSD-10000 (Котельная)</t>
  </si>
  <si>
    <t>Котельная Туполева, 16с</t>
  </si>
  <si>
    <t>ул. Туполева</t>
  </si>
  <si>
    <t>16 с</t>
  </si>
  <si>
    <t>Техническое перевооружение опасного производственного объекта рег.№А29-00438-0001 от 05.06.2000 г. «Система теплоснабжения» III класса опасности, рег.№А29-00438-0003 от 11.07.2005 г. «Группа котельных» III класса опасности, рег.№А29-00438-0004 от 11.07.2005 г. «Участок трубопровода теплосети» III класса опасности, расположенного по адресу: Ростовская область, г. Ростов-на-Дону, ул. Тракторная, 50 Г (Котельная)</t>
  </si>
  <si>
    <t>Котельная Тракторная, 50 Г</t>
  </si>
  <si>
    <t>ул. Тракторная</t>
  </si>
  <si>
    <t>50 Г</t>
  </si>
  <si>
    <t>Добавить мероприятие</t>
  </si>
  <si>
    <t>Техническое перевооружение теплового ввода. Тепловая сеть от сетей ООО "РТС": Тепловой ввод к ж/д по адр.: Соколова,  7 протяж.= 40 тр/пм, диаметр= 89мм. Инв. № 00033163</t>
  </si>
  <si>
    <t>Техническое перевооружение теплового ввода. Тепловая сеть от сетей ООО "РТС": Т/ввод к ж/д Университетский, 70 б/к  L=66 тр.м.D=89мм. Инв. № 00032985</t>
  </si>
  <si>
    <t>Техническое перевооружение теплового ввода. Тепловая сеть от сетей ООО "РТС": Ввод,теп/  Верхненольная3 ТК  L=86трмd=100/89/50мм. Инв. № 00032362</t>
  </si>
  <si>
    <t>Техническое перевооружение теплового ввода. Тепловая сеть от сетей ООО "РТС": Тепловой ввод к ж/д по адр.: Пушкинская,108 протяж.= 20 тр/пм, диаметр= 50мм. Инв. № 00033054</t>
  </si>
  <si>
    <t>Техническое перевооружение теплового ввода. Тепловая сеть от сетей ООО "РТС": Тепловой ввод к ж/д по адр.: Чехова, 45 протяж.= 15 тр/пм, диаметр= 50мм. Инв. № 00033018</t>
  </si>
  <si>
    <t>Техническое перевооружение теплового ввода. Тепловая сеть от сетей ООО "РТС": Тепловой ввод к ж/д по адр.: Суворова , 9 протяж.= 20 тр/пм, диаметр= 89мм. Инв. № 00033173</t>
  </si>
  <si>
    <t>Техническое перевооружение теплового ввода. Тепловая сеть от сетей ООО "РТС": Тепловой ввод к ж/д по адр.: Суворова, 11 протяж.= 10 тр/пм, диаметр= 50мм. Инв. № 00037175</t>
  </si>
  <si>
    <t>Техническое перевооружение теплового ввода. Тепловая сеть от сетей ООО "РТС": Тепловой ввод к ж/д по адр.:Б.Садовая 65 протяж.= 20 тр/пм, диаметр= 50 мм. Инв. № 00037158</t>
  </si>
  <si>
    <t>Техническое перевооружение теплового ввода. Тепловая сеть от сетей ООО "РТС": Тепловой ввод к ж/д по адр.: Пушкинская,181 протяж.= 30 тр/пм, диаметр= 89мм. Инв. № 00033080</t>
  </si>
  <si>
    <t>Техническое перевооружение теплового ввода. Тепловая сеть от сетей ООО "РТС": Тепловой ввод к ж/д по адр.: Кировский,  90 протяж.= 290; 16 тр/пм, диаметр= 150; 50мм (Участок d=159/57 мм, L=10/15 тр.м, с переустройством ТК). Инв. № 00033104</t>
  </si>
  <si>
    <t>Техническое перевооружение теплового ввода. Тепловая сеть от сетей ООО "РТС": Тепловой ввод к ж/д по адр.: Журавлева,17 протяж.= 30; 10 тр/пм, диаметр= 76; 50мм, замена линейной части. Инв. № 00033233</t>
  </si>
  <si>
    <t>Техническое перевооружение теплового ввода. Тепловая сеть от сетей ООО "РТС": Тепловой ввод к ж/д по адр.: Журавлева,19 протяж.= 30; 11 тр/пм, диаметр= 76; 51мм, замена участка линейной части. Инв. № 00033356</t>
  </si>
  <si>
    <t>Техническое перевооружение теплового ввода. Тепловая сеть от сетей ООО "РТС": Тепловой ввод к ж/д по адр.: Чехова, 34 протяж.= 22,5 тр/пм, диаметр= 89мм., замена линейной части. Инв. № 00033308</t>
  </si>
  <si>
    <t>Техническое перевооружение теплового ввода. Тепловая сеть от сетей ООО "РТС": Тепловой ввод к ж/д по адр.: Новаторов,20 протяж.= 21 тр/пм, диаметр= 100мм. Инв. № 00031784</t>
  </si>
  <si>
    <t>Техническое перевооружение теплового ввода. Тепловая сеть от сетей ООО "РТС": Тепловой ввод к ж/д по адр.: Космонавтов,14/1 протяж.= 20 тр/пм, диаметр= 100мм. Инв. № 00032129</t>
  </si>
  <si>
    <t>Техническое перевооружение теплового ввода. Тепловая сеть от сетей ООО "РТС": Тепловой ввод к ж/д по адр.: Космонавтов,17/1 протяж.= 42 тр/пм, диаметр= 100мм. Инв. № 00032132</t>
  </si>
  <si>
    <t>Техническое перевооружение теплового ввода. Тепловая сеть от сетей ООО "РТС": Тепловой ввод к ж/д по адр.: Новаторов,8 протяж.= 18 тр/пм, диаметр= 89мм. Инв. № 00031800</t>
  </si>
  <si>
    <t>Техническое перевооружение теплового ввода. Тепловая сеть от сетей ООО "РТС": Тепловой ввод к ж/д Добровольского,14 L=80 тр.м, D= 100мм. Инв. № 00032081</t>
  </si>
  <si>
    <t>Техническое перевооружение теплового ввода. Тепловая сеть от сетей ООО "РТС": Тепловая трасса  от камеры №611/1, состоящая из 7 участков, общей протяженностью 152,5 тр.м.,  ул. Содружества,84,84/1 (Техническое перевооружение участка от ТК 612/2 до ТК 612/2-1, Д-108 мм, L=100 тр. м.). Инв. № 00035071</t>
  </si>
  <si>
    <t>Техническое перевооружение теплового ввода. Тепловая сеть от сетей ООО "РТС": Тепловая трасса от ТК 404, состоящая из 5 участков, общей протяженностью 85,3 тр. м ул. 2-я Краснодарская, 127, 127а, 129/1. (Техническое перевооружение участка от ТК 404 до ТК 404/3, Д-159 мм, L=38 тр. м.). Инв. № 00035059</t>
  </si>
  <si>
    <t>Техническое перевооружение теплового ввода. Тепловая сеть от сетей ООО "РТС": Тепловая трасса от камеры № 129, состоящая из 2 участков, общей протяженностью 69,5 тр. м  ул. Толмачева, 128. (Техническое перевооружение участка от ТК 129 до ТК 129/1, Д-159 мм, L=60 тр. м). Инв. № 00035039</t>
  </si>
  <si>
    <t>Техническое перевооружение теплового ввода. Тепловая сеть от сетей ООО "РТС": Тепловая трасса от камеры  № 628, состоящая из 12 участков, общей протяженностью 331,0 тр.м ул. Еременко, 85/4. (Техническое перевооружение участков: от ТК 628/6 до ТК 628/8, Д-159 мм, L=22 тр. м; от ТК 628/8 до ТК 628/10, Д-133 мм, L=58 тр. м; от ТК 628/10 до ТК 628/12, Д-133 мм, L=22 тр. м). Инв. № 00035120</t>
  </si>
  <si>
    <t>Техническое перевооружение теплового ввода. Тепловая сеть от сетей ООО "РТС": Тепловая трасса от ТК 613, состоящая из 20 участков, общей протяженностью  648,0 тр. м  Содружества, 41; 41/1; 43/1; 43/2. (Техническое перевооружение участка от ТК613/1 до ТК 613/1-2, Д-219 мм, L=60 тр.м; от ТК613/2 до ТК 613/1-6, Д-159 мм, L=143 тр.м; от ТК 613/1-5 до ТК 613/1-7, Д-159 мм, L=60 тр.м). Инв. № 00035089</t>
  </si>
  <si>
    <t>Техническое перевооружение теплового ввода. Тепловая сеть от сетей ООО "РТС": Техническое перевооружение теплвого ввода к ж/д по адр. Лелюшенко, 9 длина до стенки дома 19 тр.м. диаметр 89/89/89, кол-во труб 3. Инв. № 00033750</t>
  </si>
  <si>
    <t>Техническое перевооружение теплового ввода. Тепловая сеть от сетей ООО "РТС": Техническое перевооружение теплвого ввода к ж/д по адр. Лелюшенко, 9/1 длина до стенки дома 24 тр.м. диаметр 57/57/57, кол-во труб 3. Инв. № 00033748</t>
  </si>
  <si>
    <t>Техническое перевооружение теплового ввода. Тепловая сеть от сетей ООО "РТС": Техническое перевооружение теплвого ввода к ж/д по адр.: ул.Думено, 5: 1-ввод; 2-ввод длина до стенки дома =31,5; 29тр.м, диаметр=89/89/89; 76/76/76 мм,кол-во труб-3. Инв. № 00033765</t>
  </si>
  <si>
    <t>Техническое перевооружение тепловой сети по ул. Башкирская, 14 до ул. Герасименко: Тепловая трасса. Площадь: общая протяженность: 952,6500 тр. м. Инвентарный номер: 207/3., ул. Башкирская, 14 до ул. Герасименко (участок Ду-300 мм, протяженностью 307 тр. м). Инв. № 00034852</t>
  </si>
  <si>
    <r>
      <rPr>
        <vertAlign val="superscript"/>
        <sz val="9"/>
        <rFont val="Tahoma"/>
        <charset val="204"/>
      </rPr>
      <t>1</t>
    </r>
    <r>
      <rPr>
        <sz val="9"/>
        <rFont val="Tahoma"/>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</si>
  <si>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</si>
  <si>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</si>
  <si>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</si>
  <si>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</si>
  <si>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</si>
  <si>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</si>
  <si>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</si>
  <si>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</si>
  <si>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</si>
  <si>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</si>
  <si>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</si>
  <si>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</si>
  <si>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</si>
  <si>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</si>
  <si>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</si>
  <si>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</si>
  <si>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</si>
  <si>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</si>
  <si>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</si>
  <si>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</si>
  <si>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</si>
  <si>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</si>
  <si>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</si>
  <si>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</si>
  <si>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</si>
  <si>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</si>
  <si>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</si>
  <si>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</si>
  <si>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</si>
  <si>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</si>
  <si>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</si>
  <si>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</si>
  <si>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</si>
  <si>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</si>
  <si>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</si>
  <si>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</si>
  <si>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</si>
  <si>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</si>
  <si>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</si>
  <si>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</si>
  <si>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</si>
  <si>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</si>
  <si>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</si>
  <si>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</si>
  <si>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</si>
  <si>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</si>
  <si>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</si>
  <si>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</si>
  <si>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</si>
  <si>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</si>
  <si>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</si>
  <si>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</si>
  <si>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</si>
  <si>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</si>
  <si>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</si>
  <si>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</si>
  <si>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</si>
  <si>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</si>
  <si>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</si>
  <si>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</si>
  <si>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</si>
  <si>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</si>
  <si>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</si>
  <si>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</si>
  <si>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</si>
  <si>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</si>
  <si>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</si>
  <si>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</si>
  <si>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</si>
  <si>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</si>
  <si>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</si>
  <si>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</si>
  <si>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</si>
  <si>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</si>
  <si>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</si>
  <si>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</si>
  <si>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</si>
  <si>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</si>
  <si>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</si>
  <si>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</si>
  <si>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</si>
  <si>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</si>
  <si>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</si>
  <si>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</si>
  <si>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</si>
  <si>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</si>
  <si>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</si>
  <si>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</si>
  <si>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</si>
  <si>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
</t>
  </si>
  <si>
    <t xml:space="preserve">транспортировки питьевой воды, на единицу объёма транспортируемой воды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</si>
  <si>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</si>
  <si>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</si>
  <si>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</si>
  <si>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</si>
  <si>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</si>
  <si>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</si>
  <si>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</si>
  <si>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</si>
  <si>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 группам мероприятий</t>
  </si>
  <si>
    <t>В соответствии с постановлением от 16.05.2014 № 452 "Об утверждении Правил определения плановых и расчета фактических значений показателей надежности и энергетической эффективности объектов теплоснабжения, а также определения достижения организацией, осуществляющей регулируемые виды деятельности в сфере теплоснабжения, указанных плановых значений и о внесении изменения в постановление Правительства Российской Федерации от 15 мая 2010 г. N 340"</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</si>
  <si>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</si>
  <si>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</si>
  <si>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</si>
  <si>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</si>
  <si>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</si>
  <si>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</si>
  <si>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</si>
  <si>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
2) цены на теплоноситель в виде пара, поставляемый теплоснабжающими организациями потребителям, другим теплоснабжающим организациям;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
(часть 2.1 введена Федеральным законом от 01.12.2014 № 404-ФЗ)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</si>
  <si>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</si>
  <si>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</si>
  <si>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</si>
  <si>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</si>
  <si>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</si>
  <si>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</si>
  <si>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</si>
  <si>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</si>
  <si>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</si>
  <si>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</si>
  <si>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</si>
  <si>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</si>
  <si>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</si>
  <si>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</si>
  <si>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</si>
  <si>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</si>
  <si>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</si>
  <si>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</si>
  <si>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</si>
  <si>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</si>
  <si>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</si>
  <si>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</si>
  <si>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</si>
  <si>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</si>
  <si>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</si>
  <si>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</si>
  <si>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</si>
  <si>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</si>
  <si>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</si>
  <si>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</si>
  <si>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</si>
  <si>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</si>
  <si>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</si>
  <si>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</si>
  <si>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</si>
  <si>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</si>
  <si>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</si>
  <si>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</si>
  <si>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
В случае, если показатели надежности и качества не утверждены в колонке «Информация» указывается «Не утверждены».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</si>
  <si>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</si>
  <si>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</si>
  <si>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</si>
  <si>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</si>
  <si>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</si>
  <si>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</si>
  <si>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</si>
  <si>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</si>
  <si>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</si>
  <si>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</si>
  <si>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
(MONTH)</t>
  </si>
  <si>
    <t>Квартал
(QUARTER)</t>
  </si>
  <si>
    <t>Месяц
(kind_of_publication)</t>
  </si>
  <si>
    <t>НДС
/kind_of_NDS/</t>
  </si>
  <si>
    <t>Номер СЦХВ(СЦВО)
/SKI_number/</t>
  </si>
  <si>
    <t>Единица измерения объема оказываемых услуг ГВС
/kind_of_unit_GVS/</t>
  </si>
  <si>
    <t>Метод регулирования
/kind_of_control_method/</t>
  </si>
  <si>
    <t>Сколько раз встретилось</t>
  </si>
  <si>
    <t>Вид деятельности, на которую установлен тариф /kind_of_activity_WARM/</t>
  </si>
  <si>
    <t>Вид теплоносителя
(kind_of_heat_transfer)</t>
  </si>
  <si>
    <t>Тип данных
(kind_of_data_type)</t>
  </si>
  <si>
    <t>Схема подключения
(kind_of_scheme_in)
(kind_of_scheme_in2)</t>
  </si>
  <si>
    <t>Группы потребителей
(kind_of_cons)</t>
  </si>
  <si>
    <t>Тип прокладки тепловых сетей
(kind_of_nets)</t>
  </si>
  <si>
    <t>Диапазаны диаметров тепловых сетей
(kind_of_diameters)</t>
  </si>
  <si>
    <t>Подключаемая тепловая нагрузка
(kind_of_load)</t>
  </si>
  <si>
    <t>Форма 2, таблица Х</t>
  </si>
  <si>
    <t>виды тарифа
/kind_group_rates/</t>
  </si>
  <si>
    <t>Заголовок таблицы</t>
  </si>
  <si>
    <t>name_rates_4</t>
  </si>
  <si>
    <t>name_rates_8</t>
  </si>
  <si>
    <t>Подключаемая тепловая нагрузка
(kind_of_load3)</t>
  </si>
  <si>
    <t>Вид теплоносителя
(kind_of_heat_transfer2)</t>
  </si>
  <si>
    <t>Вид теплоносителя
(kind_of_heat_transfer3)</t>
  </si>
  <si>
    <t>Вид топлива
(kind_of_fuel)</t>
  </si>
  <si>
    <t>Способ закупки товаров
(kind_of_zak)</t>
  </si>
  <si>
    <t>виды тарифа
/kind_group_rates_load/</t>
  </si>
  <si>
    <t>виды тарифа
/kind_group_rates_load_filter/</t>
  </si>
  <si>
    <t>виды признаков дифференциации
/kind_of_diff/</t>
  </si>
  <si>
    <t>Диапазаны диаметров водопроводных сетей
(kind_of_diameters2)</t>
  </si>
  <si>
    <t>List_H</t>
  </si>
  <si>
    <t>List_M</t>
  </si>
  <si>
    <t>kind_of_org_type</t>
  </si>
  <si>
    <t>Виды топлива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</si>
  <si>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</si>
  <si>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</si>
  <si>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</si>
  <si>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</si>
  <si>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</si>
  <si>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</si>
  <si>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</si>
  <si>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</si>
  <si>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</si>
  <si>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</si>
  <si>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</si>
  <si>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</si>
  <si>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</si>
  <si>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</si>
  <si>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</si>
  <si>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</si>
  <si>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</si>
  <si>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</si>
  <si>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</si>
  <si>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</si>
  <si>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</si>
  <si>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</si>
  <si>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</si>
  <si>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</si>
  <si>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</si>
  <si>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</si>
  <si>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</si>
  <si>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</si>
  <si>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</si>
  <si>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</si>
  <si>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</si>
  <si>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</si>
  <si>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</si>
  <si>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</si>
  <si>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</si>
  <si>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</si>
  <si>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</si>
  <si>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</si>
  <si>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</si>
  <si>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</si>
  <si>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</si>
  <si>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</si>
  <si>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</si>
  <si>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</si>
  <si>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</si>
  <si>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</si>
  <si>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</si>
  <si>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</si>
  <si>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</si>
  <si>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</si>
  <si>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</si>
  <si>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</si>
  <si>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</si>
  <si>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</si>
  <si>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</si>
  <si>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</si>
  <si>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</si>
  <si>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</si>
  <si>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</si>
  <si>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</si>
  <si>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</si>
  <si>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</si>
  <si>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</si>
  <si>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</si>
  <si>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</si>
  <si>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</si>
  <si>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</si>
  <si>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</si>
  <si>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</si>
  <si>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</si>
  <si>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</si>
  <si>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</si>
  <si>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</si>
  <si>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</si>
  <si>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</si>
  <si>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</si>
  <si>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</si>
  <si>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</si>
  <si>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</si>
  <si>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</si>
  <si>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</si>
  <si>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</si>
  <si>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</si>
  <si>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</si>
  <si>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</si>
  <si>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</si>
  <si>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</si>
  <si>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</si>
  <si>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</si>
  <si>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</si>
  <si>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</si>
  <si>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</si>
  <si>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</si>
  <si>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</si>
  <si>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</si>
  <si>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</si>
  <si>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</si>
  <si>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</si>
  <si>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</si>
  <si>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</si>
  <si>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</si>
  <si>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</si>
  <si>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</si>
  <si>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</si>
  <si>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</si>
  <si>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</si>
  <si>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</si>
  <si>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</si>
  <si>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</si>
  <si>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</si>
  <si>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</si>
  <si>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</si>
  <si>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</si>
  <si>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</si>
  <si>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</si>
  <si>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</si>
  <si>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</si>
  <si>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</si>
  <si>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</si>
  <si>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</si>
  <si>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</si>
  <si>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</si>
  <si>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</si>
  <si>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</si>
  <si>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</si>
  <si>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</si>
  <si>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</si>
  <si>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</si>
  <si>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</si>
  <si>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</si>
  <si>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</si>
  <si>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</si>
  <si>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</si>
  <si>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</si>
  <si>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</si>
  <si>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</si>
  <si>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</si>
  <si>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</si>
  <si>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</si>
  <si>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</si>
  <si>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</si>
  <si>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</si>
  <si>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</si>
  <si>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</si>
  <si>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</si>
  <si>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</si>
  <si>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</si>
  <si>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</si>
  <si>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</si>
  <si>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</si>
  <si>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</si>
  <si>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</si>
  <si>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</si>
  <si>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</si>
  <si>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</si>
  <si>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</si>
  <si>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</si>
  <si>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</si>
  <si>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</si>
  <si>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</si>
  <si>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</si>
  <si>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</si>
  <si>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</si>
  <si>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</si>
  <si>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</si>
  <si>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</si>
  <si>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</si>
  <si>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</si>
  <si>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</si>
  <si>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</si>
  <si>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</si>
  <si>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</si>
  <si>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</si>
  <si>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</si>
  <si>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</si>
  <si>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</si>
  <si>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</si>
  <si>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</si>
  <si>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</si>
  <si>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</si>
  <si>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</si>
  <si>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
/kind_of_NDS_tariff/</t>
  </si>
  <si>
    <t>НДС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</si>
  <si>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</si>
  <si>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</si>
  <si>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</si>
  <si>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</si>
  <si>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</si>
  <si>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</si>
  <si>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</si>
  <si>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</si>
  <si>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</si>
  <si>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</si>
  <si>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</si>
  <si>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</si>
  <si>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</si>
  <si>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</si>
  <si>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</si>
  <si>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</si>
  <si>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</si>
  <si>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</si>
  <si>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</si>
  <si>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</si>
  <si>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</si>
  <si>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</si>
  <si>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</si>
  <si>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</si>
  <si>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</si>
  <si>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</si>
  <si>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</si>
  <si>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</si>
  <si>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</si>
  <si>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</si>
  <si>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</si>
  <si>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</si>
  <si>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</si>
  <si>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</si>
  <si>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</si>
  <si>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</si>
  <si>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</si>
  <si>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</si>
  <si>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</si>
  <si>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</si>
  <si>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</si>
  <si>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</si>
  <si>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</si>
  <si>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</si>
  <si>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</si>
  <si>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</si>
  <si>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</si>
  <si>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</si>
  <si>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</si>
  <si>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</si>
  <si>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</si>
  <si>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</si>
  <si>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</si>
  <si>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</si>
  <si>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</si>
  <si>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</si>
  <si>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</si>
  <si>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</si>
  <si>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</si>
  <si>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</si>
  <si>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</si>
  <si>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</si>
  <si>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</si>
  <si>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</si>
  <si>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</si>
  <si>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</si>
  <si>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</si>
  <si>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</si>
  <si>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</si>
  <si>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
/kind_of_NDS_tariff_people/</t>
  </si>
  <si>
    <t>НДС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</si>
  <si>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</si>
  <si>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</si>
  <si>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</si>
  <si>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</si>
  <si>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</si>
  <si>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</si>
  <si>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</si>
  <si>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</si>
  <si>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</si>
  <si>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</si>
  <si>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</si>
  <si>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</si>
  <si>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</si>
  <si>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</si>
  <si>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</si>
  <si>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</si>
  <si>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</si>
  <si>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</si>
  <si>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</si>
  <si>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</si>
  <si>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</si>
  <si>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</si>
  <si>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</si>
  <si>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</si>
  <si>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</si>
  <si>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</si>
  <si>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</si>
  <si>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</si>
  <si>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</si>
  <si>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</si>
  <si>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</si>
  <si>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</si>
  <si>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</si>
  <si>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</si>
  <si>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</si>
  <si>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</si>
  <si>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</si>
  <si>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</si>
  <si>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</si>
  <si>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</si>
  <si>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</si>
  <si>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</si>
  <si>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</si>
  <si>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</si>
  <si>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</si>
  <si>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</si>
  <si>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</si>
  <si>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</si>
  <si>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</si>
  <si>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</si>
  <si>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</si>
  <si>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</si>
  <si>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</si>
  <si>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</si>
  <si>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</si>
  <si>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</si>
  <si>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</si>
  <si>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</si>
  <si>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</si>
  <si>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</si>
  <si>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</si>
  <si>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</si>
  <si>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</si>
  <si>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</si>
  <si>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</si>
  <si>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</si>
  <si>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</si>
  <si>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</si>
  <si>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</si>
  <si>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</si>
  <si>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</si>
  <si>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</si>
  <si>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</si>
  <si>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</si>
  <si>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</si>
  <si>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</si>
  <si>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</si>
  <si>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</si>
  <si>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</si>
  <si>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</si>
  <si>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</si>
  <si>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</si>
  <si>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</si>
  <si>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</si>
  <si>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</si>
  <si>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</si>
  <si>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</si>
  <si>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</si>
  <si>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</si>
  <si>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</si>
  <si>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</si>
  <si>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</si>
  <si>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</si>
  <si>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</si>
  <si>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</si>
  <si>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</si>
  <si>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</si>
  <si>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</si>
  <si>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</si>
  <si>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</si>
  <si>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</si>
  <si>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</si>
  <si>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</si>
  <si>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</si>
  <si>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</si>
  <si>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</si>
  <si>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</si>
  <si>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</si>
  <si>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</si>
  <si>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</si>
  <si>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</si>
  <si>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</si>
  <si>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</si>
  <si>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</si>
  <si>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</si>
  <si>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</si>
  <si>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</si>
  <si>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</si>
  <si>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</si>
  <si>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</si>
  <si>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</si>
  <si>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</si>
  <si>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</si>
  <si>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</si>
  <si>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</si>
  <si>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</si>
  <si>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</si>
  <si>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</si>
  <si>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</si>
  <si>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</si>
  <si>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</si>
  <si>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</si>
  <si>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</si>
  <si>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</si>
  <si>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</si>
  <si>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</si>
  <si>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</si>
  <si>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</si>
  <si>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</si>
  <si>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</si>
  <si>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</si>
  <si>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</si>
  <si>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</si>
  <si>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</si>
  <si>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</si>
  <si>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</si>
  <si>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</si>
  <si>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</si>
  <si>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</si>
  <si>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</si>
  <si>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</si>
  <si>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</si>
  <si>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</si>
  <si>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</si>
  <si>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</si>
  <si>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</si>
  <si>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</si>
  <si>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</si>
  <si>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</si>
  <si>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</si>
  <si>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</si>
  <si>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</si>
  <si>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</si>
  <si>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</si>
  <si>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</si>
  <si>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</si>
  <si>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</si>
  <si>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</si>
  <si>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</si>
  <si>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</si>
  <si>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</si>
  <si>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</si>
  <si>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</si>
  <si>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</si>
  <si>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</si>
  <si>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</si>
  <si>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</si>
  <si>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</si>
  <si>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</si>
  <si>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</si>
  <si>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</si>
  <si>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</si>
  <si>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</si>
  <si>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</si>
  <si>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</si>
  <si>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</si>
  <si>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</si>
  <si>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</si>
  <si>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</si>
  <si>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</si>
  <si>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</si>
  <si>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</si>
  <si>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</si>
  <si>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</si>
  <si>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</si>
  <si>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</si>
  <si>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</si>
  <si>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</si>
  <si>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</si>
  <si>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</si>
  <si>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</si>
  <si>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</si>
  <si>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</si>
  <si>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</si>
  <si>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</si>
  <si>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</si>
  <si>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</si>
  <si>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</si>
  <si>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</si>
  <si>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</si>
  <si>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</si>
  <si>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</si>
  <si>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</si>
  <si>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</si>
  <si>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</si>
  <si>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</si>
  <si>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</si>
  <si>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</si>
  <si>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</si>
  <si>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</si>
  <si>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</si>
  <si>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</si>
  <si>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</si>
  <si>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</si>
  <si>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</si>
  <si>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</si>
  <si>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</si>
  <si>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</si>
  <si>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</si>
  <si>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</si>
  <si>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</si>
  <si>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</si>
  <si>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</si>
  <si>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</si>
  <si>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</si>
  <si>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</si>
  <si>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</si>
  <si>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</si>
  <si>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</si>
  <si>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</si>
  <si>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</si>
  <si>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</si>
  <si>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</si>
  <si>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</si>
  <si>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</si>
  <si>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</si>
  <si>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</si>
  <si>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</si>
  <si>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</si>
  <si>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</si>
  <si>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</si>
  <si>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</si>
  <si>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</si>
  <si>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</si>
  <si>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</si>
  <si>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</si>
  <si>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</si>
  <si>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</si>
  <si>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</si>
  <si>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</si>
  <si>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</si>
  <si>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</si>
  <si>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</si>
  <si>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</si>
  <si>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</si>
  <si>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</si>
  <si>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</si>
  <si>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</si>
  <si>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</si>
  <si>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</si>
  <si>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</si>
  <si>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</si>
  <si>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</si>
  <si>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</si>
  <si>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</si>
  <si>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</si>
  <si>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</si>
  <si>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</si>
  <si>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</si>
  <si>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</si>
  <si>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</si>
  <si>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</si>
  <si>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</si>
  <si>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</si>
  <si>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</si>
  <si>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</si>
  <si>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</si>
  <si>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</si>
  <si>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</si>
  <si>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</si>
  <si>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</si>
  <si>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</si>
  <si>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</si>
  <si>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</si>
  <si>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</si>
  <si>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</si>
  <si>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</si>
  <si>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</si>
  <si>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</si>
  <si>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</si>
  <si>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</si>
  <si>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</si>
  <si>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</si>
  <si>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</si>
  <si>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</si>
  <si>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</si>
  <si>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</si>
  <si>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</si>
  <si>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</si>
  <si>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</si>
  <si>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</si>
  <si>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</si>
  <si>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</si>
  <si>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</si>
  <si>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</si>
  <si>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</si>
  <si>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</si>
  <si>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</si>
  <si>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</si>
  <si>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</si>
  <si>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</si>
  <si>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</si>
  <si>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</si>
  <si>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</si>
  <si>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</si>
  <si>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</si>
  <si>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</si>
  <si>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</si>
  <si>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</si>
  <si>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</si>
  <si>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</si>
  <si>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</si>
  <si>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</si>
  <si>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</si>
  <si>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</si>
  <si>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</si>
  <si>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</si>
  <si>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</si>
  <si>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</si>
  <si>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</si>
  <si>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</si>
  <si>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</si>
  <si>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</si>
  <si>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</si>
  <si>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</si>
  <si>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</si>
  <si>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</si>
  <si>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</si>
  <si>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</si>
  <si>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</si>
  <si>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</si>
  <si>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</si>
  <si>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</si>
  <si>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</si>
  <si>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</si>
  <si>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</si>
  <si>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</si>
  <si>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</si>
  <si>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</si>
  <si>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</si>
  <si>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</si>
  <si>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</si>
  <si>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</si>
  <si>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</si>
  <si>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</si>
  <si>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</si>
  <si>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</si>
  <si>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</si>
  <si>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</si>
  <si>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</si>
  <si>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</si>
  <si>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</si>
  <si>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</si>
  <si>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</si>
  <si>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</si>
  <si>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</si>
  <si>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</si>
  <si>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</si>
  <si>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</si>
  <si>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</si>
  <si>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</si>
  <si>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</si>
  <si>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</si>
  <si>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</si>
  <si>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</si>
  <si>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</si>
  <si>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</si>
  <si>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</si>
  <si>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</si>
  <si>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</si>
  <si>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</si>
  <si>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</si>
  <si>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</si>
  <si>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</si>
  <si>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</si>
  <si>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</si>
  <si>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
В поле "Наименование организации" указывается наименование юридического лица согласно уставу организации
В поле "ИНН" указывается идентификационный номер налогоплательщика.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</si>
  <si>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rPr>
        <sz val="9"/>
        <rFont val="Tahoma"/>
        <charset val="134"/>
      </rP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</si>
  <si>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</si>
  <si>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</si>
  <si>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</si>
  <si>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</si>
  <si>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</si>
  <si>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charset val="204"/>
      </rPr>
      <t>2</t>
    </r>
    <r>
      <rPr>
        <sz val="9"/>
        <rFont val="Tahoma"/>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</si>
  <si>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</si>
  <si>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</si>
  <si>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</si>
  <si>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</si>
  <si>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</si>
  <si>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</si>
  <si>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</si>
  <si>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</si>
  <si>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</si>
  <si>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</si>
  <si>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</si>
  <si>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</si>
  <si>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</si>
  <si>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</si>
  <si>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</si>
  <si>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</si>
  <si>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</si>
  <si>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</si>
  <si>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</si>
  <si>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</si>
  <si>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</si>
  <si>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</si>
  <si>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</si>
  <si>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</si>
  <si>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</si>
  <si>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</si>
  <si>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</si>
  <si>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</si>
  <si>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</si>
  <si>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</si>
  <si>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</si>
  <si>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</si>
  <si>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</si>
  <si>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</si>
  <si>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</si>
  <si>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</si>
  <si>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</si>
  <si>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</si>
  <si>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</si>
  <si>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</si>
  <si>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</si>
  <si>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</si>
  <si>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</si>
  <si>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</si>
  <si>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</si>
  <si>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</si>
  <si>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</si>
  <si>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</si>
  <si>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</si>
  <si>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</si>
  <si>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</si>
  <si>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</si>
  <si>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</si>
  <si>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</si>
  <si>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</si>
  <si>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</si>
  <si>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</si>
  <si>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</si>
  <si>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</si>
  <si>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</si>
  <si>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
Т-ТЭ | &gt;=25МВт
Т-ТЭ | ТСО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</si>
  <si>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</si>
  <si>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
Т-ТН
Т-передача ТЭ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</si>
  <si>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</si>
  <si>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</si>
  <si>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</si>
  <si>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</si>
  <si>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</si>
  <si>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
Т-ТЭ | &gt;=25МВт
Т-ТЭ | ТСО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</si>
  <si>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</si>
  <si>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
Т-ТН
Т-передача ТЭ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</si>
  <si>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</si>
  <si>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</si>
  <si>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</si>
  <si>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</si>
  <si>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</si>
  <si>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
ХВС. Т-пит
ХВС. Т-тех
ХВС. Т-транс
ХВС. Т-подвоз</t>
  </si>
  <si>
    <t>Форма 2. Информация
о тарифах в сфере холодного водоснабжения на товары (услуги) организации холодного водоснабжения, подлежащих регулированию</t>
  </si>
  <si>
    <t>PRICE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</si>
  <si>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</si>
  <si>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
ХВС. Т-пит
ХВС. Т-тех
ХВС. Т-транс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</si>
  <si>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</si>
  <si>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</si>
  <si>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</si>
  <si>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
ГВС. Т-гор.вода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</si>
  <si>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</si>
  <si>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</si>
  <si>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</si>
  <si>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
ГВС. Т-гор.вода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</si>
  <si>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</si>
  <si>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</si>
  <si>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</si>
  <si>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
ВО. Т-во
ВО. Т-транс</t>
  </si>
  <si>
    <t>Форма 2. Информация о тарифах в сфере водоотведения на товары (услуги) организации водоотведения, подлежащих регулированию</t>
  </si>
  <si>
    <t>PRICE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</si>
  <si>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</si>
  <si>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
ВО. Т-во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</si>
  <si>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</si>
  <si>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</si>
  <si>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</si>
  <si>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</si>
  <si>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</si>
  <si>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</si>
  <si>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</si>
  <si>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</si>
  <si>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</si>
  <si>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</si>
  <si>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
ИП. Детализация
ИП. Финансовый план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</si>
  <si>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</si>
  <si>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</si>
  <si>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</si>
  <si>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</si>
  <si>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</si>
  <si>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</si>
  <si>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</si>
  <si>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</si>
  <si>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</si>
  <si>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</si>
  <si>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</si>
  <si>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</si>
  <si>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</si>
  <si>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</si>
  <si>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</si>
  <si>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</si>
  <si>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</si>
  <si>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</si>
  <si>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</si>
  <si>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</si>
  <si>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</si>
  <si>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</si>
  <si>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</si>
  <si>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</si>
  <si>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</si>
  <si>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</si>
  <si>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</si>
  <si>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</si>
  <si>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</si>
  <si>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</si>
  <si>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</si>
  <si>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</si>
  <si>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</si>
  <si>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</si>
  <si>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</si>
  <si>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</si>
  <si>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</si>
  <si>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</si>
  <si>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</si>
  <si>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</si>
  <si>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</si>
  <si>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</si>
  <si>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</si>
  <si>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</si>
  <si>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</si>
  <si>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</si>
  <si>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</si>
  <si>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</si>
  <si>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</si>
  <si>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</si>
  <si>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</si>
  <si>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</si>
  <si>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</si>
  <si>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</si>
  <si>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</si>
  <si>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</si>
  <si>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</si>
  <si>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</si>
  <si>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</si>
  <si>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</si>
  <si>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</si>
  <si>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</si>
  <si>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</si>
  <si>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</si>
  <si>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</si>
  <si>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</si>
  <si>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</si>
  <si>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</si>
  <si>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</si>
  <si>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</si>
  <si>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</si>
  <si>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</si>
  <si>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</si>
  <si>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</si>
  <si>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</si>
  <si>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</si>
  <si>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</si>
  <si>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</si>
  <si>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</si>
  <si>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</si>
  <si>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</si>
  <si>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</si>
  <si>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</si>
  <si>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</si>
  <si>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</si>
  <si>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</si>
  <si>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</si>
  <si>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</si>
  <si>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</si>
  <si>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</si>
  <si>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</si>
  <si>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</si>
  <si>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</si>
  <si>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</si>
  <si>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</si>
  <si>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</si>
  <si>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</si>
  <si>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</si>
  <si>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</si>
  <si>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</si>
  <si>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</si>
  <si>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</si>
  <si>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</si>
  <si>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</si>
  <si>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</si>
  <si>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</si>
  <si>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</si>
  <si>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</si>
  <si>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</si>
  <si>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</si>
  <si>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</si>
  <si>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</si>
  <si>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</si>
  <si>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</si>
  <si>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</si>
  <si>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</si>
  <si>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</si>
  <si>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</si>
  <si>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</si>
  <si>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</si>
  <si>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</si>
  <si>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</si>
  <si>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</si>
  <si>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</si>
  <si>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</si>
  <si>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</si>
  <si>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</si>
  <si>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</si>
  <si>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</si>
  <si>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</si>
  <si>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</si>
  <si>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</si>
  <si>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</si>
  <si>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</si>
  <si>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</si>
  <si>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</si>
  <si>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</si>
  <si>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</si>
  <si>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</si>
  <si>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</si>
  <si>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</si>
  <si>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</si>
  <si>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</si>
  <si>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</si>
  <si>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</si>
  <si>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</si>
  <si>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</si>
  <si>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</si>
  <si>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</si>
  <si>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</si>
  <si>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</si>
  <si>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</si>
  <si>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</si>
  <si>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</si>
  <si>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</si>
  <si>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</si>
  <si>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</si>
  <si>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</si>
  <si>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</si>
  <si>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</si>
  <si>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</si>
  <si>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</si>
  <si>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</si>
  <si>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</si>
  <si>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</si>
  <si>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</si>
  <si>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</si>
  <si>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</si>
  <si>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</si>
  <si>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</si>
  <si>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</si>
  <si>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</si>
  <si>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</si>
  <si>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</si>
  <si>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</si>
  <si>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</si>
  <si>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</si>
  <si>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</si>
  <si>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</si>
  <si>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</si>
  <si>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</si>
  <si>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</si>
  <si>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</si>
  <si>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</si>
  <si>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</si>
  <si>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</si>
  <si>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</si>
  <si>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</si>
  <si>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</si>
  <si>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</si>
  <si>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</si>
  <si>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</si>
  <si>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</si>
  <si>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</si>
  <si>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</si>
  <si>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</si>
  <si>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</si>
  <si>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</si>
  <si>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</si>
  <si>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</si>
  <si>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</si>
  <si>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</si>
  <si>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</si>
  <si>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</si>
  <si>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</si>
  <si>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</si>
  <si>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</si>
  <si>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</si>
  <si>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</si>
  <si>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</si>
  <si>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</si>
  <si>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</si>
  <si>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</si>
  <si>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</si>
  <si>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</si>
  <si>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</si>
  <si>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</si>
  <si>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</si>
  <si>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</si>
  <si>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</si>
  <si>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</si>
  <si>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</si>
  <si>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</si>
  <si>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</si>
  <si>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</si>
  <si>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</si>
  <si>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</si>
  <si>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</si>
  <si>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</si>
  <si>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</si>
  <si>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</si>
  <si>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</si>
  <si>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</si>
  <si>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</si>
  <si>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</si>
  <si>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</si>
  <si>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</si>
  <si>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</si>
  <si>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</si>
  <si>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</si>
  <si>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</si>
  <si>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</si>
  <si>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</si>
  <si>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</si>
  <si>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</si>
  <si>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</si>
  <si>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</si>
  <si>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</si>
  <si>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</si>
  <si>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</si>
  <si>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</si>
  <si>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</si>
  <si>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</si>
  <si>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</si>
  <si>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</si>
  <si>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</si>
  <si>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</si>
  <si>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781001001</t>
  </si>
  <si>
    <t>05-09-2006 00:00:00</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</si>
  <si>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</si>
  <si>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</si>
  <si>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</si>
  <si>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</si>
  <si>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</si>
  <si>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</si>
  <si>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</si>
  <si>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</si>
  <si>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</si>
  <si>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</si>
  <si>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</si>
  <si>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</si>
  <si>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230901001</t>
  </si>
  <si>
    <t>31062216</t>
  </si>
  <si>
    <t>АО "Ростоваэроинвест"</t>
  </si>
  <si>
    <t>6163123680</t>
  </si>
  <si>
    <t>610201001</t>
  </si>
  <si>
    <t>01-01-2018 00:00:00</t>
  </si>
  <si>
    <t>26436677</t>
  </si>
  <si>
    <t>АО "Ростовобувь"</t>
  </si>
  <si>
    <t>6152000503</t>
  </si>
  <si>
    <t>26382583</t>
  </si>
  <si>
    <t>АО "Сервис-ЖКХ"</t>
  </si>
  <si>
    <t>6126101985</t>
  </si>
  <si>
    <t>612601001</t>
  </si>
  <si>
    <t>14-12-2019 00:00:00</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</si>
  <si>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</si>
  <si>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</si>
  <si>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</si>
  <si>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</si>
  <si>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</si>
  <si>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</si>
  <si>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</si>
  <si>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</si>
  <si>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</si>
  <si>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</si>
  <si>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</si>
  <si>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</si>
  <si>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</si>
  <si>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</si>
  <si>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</si>
  <si>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</si>
  <si>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</si>
  <si>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</si>
  <si>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</si>
  <si>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</si>
  <si>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</si>
  <si>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</si>
  <si>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</si>
  <si>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</si>
  <si>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</si>
  <si>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</si>
  <si>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</si>
  <si>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</si>
  <si>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</si>
  <si>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</si>
  <si>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</si>
  <si>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</si>
  <si>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</si>
  <si>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</si>
  <si>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</si>
  <si>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</si>
  <si>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</si>
  <si>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</si>
  <si>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</si>
  <si>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</si>
  <si>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</si>
  <si>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</si>
  <si>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</si>
  <si>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</si>
  <si>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</si>
  <si>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</si>
  <si>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</si>
  <si>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</si>
  <si>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615250001</t>
  </si>
  <si>
    <t>26445869</t>
  </si>
  <si>
    <t>ЗАО "Корпорация "Глория Джинс"</t>
  </si>
  <si>
    <t>6166034397</t>
  </si>
  <si>
    <t>26449396</t>
  </si>
  <si>
    <t>ЗАО "Строительное управление - 5"</t>
  </si>
  <si>
    <t>6165006541</t>
  </si>
  <si>
    <t>16-09-2025 00:00:00</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</si>
  <si>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</si>
  <si>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</si>
  <si>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</si>
  <si>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</si>
  <si>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</si>
  <si>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</si>
  <si>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</si>
  <si>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</si>
  <si>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</si>
  <si>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</si>
  <si>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</si>
  <si>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</si>
  <si>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</si>
  <si>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</si>
  <si>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</si>
  <si>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</si>
  <si>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</si>
  <si>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</si>
  <si>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</si>
  <si>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</si>
  <si>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</si>
  <si>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</si>
  <si>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</si>
  <si>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</si>
  <si>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</si>
  <si>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</si>
  <si>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</si>
  <si>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</si>
  <si>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</si>
  <si>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</si>
  <si>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</si>
  <si>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</si>
  <si>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</si>
  <si>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</si>
  <si>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</si>
  <si>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</si>
  <si>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</si>
  <si>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</si>
  <si>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</si>
  <si>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</si>
  <si>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</si>
  <si>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</si>
  <si>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</si>
  <si>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</si>
  <si>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</si>
  <si>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</si>
  <si>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</si>
  <si>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</si>
  <si>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</si>
  <si>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</si>
  <si>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</si>
  <si>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</si>
  <si>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</si>
  <si>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</si>
  <si>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</si>
  <si>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</si>
  <si>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</si>
  <si>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</si>
  <si>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</si>
  <si>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</si>
  <si>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</si>
  <si>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</si>
  <si>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</si>
  <si>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</si>
  <si>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</si>
  <si>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</si>
  <si>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</si>
  <si>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</si>
  <si>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</si>
  <si>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</si>
  <si>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</si>
  <si>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</si>
  <si>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</si>
  <si>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</si>
  <si>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</si>
  <si>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</si>
  <si>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</si>
  <si>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</si>
  <si>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</si>
  <si>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</si>
  <si>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</si>
  <si>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</si>
  <si>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</si>
  <si>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</si>
  <si>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</si>
  <si>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</si>
  <si>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</si>
  <si>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</si>
  <si>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</si>
  <si>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</si>
  <si>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</si>
  <si>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</si>
  <si>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</si>
  <si>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</si>
  <si>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</si>
  <si>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</si>
  <si>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</si>
  <si>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</si>
  <si>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</si>
  <si>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</si>
  <si>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</si>
  <si>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</si>
  <si>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</si>
  <si>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</si>
  <si>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26455241</t>
  </si>
  <si>
    <t>МУП Зерноградского городского поселения "Зерноградское ПП ЖКХ"</t>
  </si>
  <si>
    <t>6111007517</t>
  </si>
  <si>
    <t>611101001</t>
  </si>
  <si>
    <t>11-10-2017 00:00:00</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</si>
  <si>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</si>
  <si>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</si>
  <si>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</si>
  <si>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</si>
  <si>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</si>
  <si>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</si>
  <si>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</si>
  <si>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</si>
  <si>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</si>
  <si>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</si>
  <si>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</si>
  <si>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</si>
  <si>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</si>
  <si>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</si>
  <si>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</si>
  <si>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</si>
  <si>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</si>
  <si>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</si>
  <si>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</si>
  <si>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</si>
  <si>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</si>
  <si>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</si>
  <si>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</si>
  <si>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</si>
  <si>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</si>
  <si>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</si>
  <si>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</si>
  <si>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</si>
  <si>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</si>
  <si>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</si>
  <si>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</si>
  <si>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</si>
  <si>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</si>
  <si>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</si>
  <si>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</si>
  <si>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</si>
  <si>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</si>
  <si>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</si>
  <si>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</si>
  <si>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</si>
  <si>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</si>
  <si>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</si>
  <si>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</si>
  <si>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</si>
  <si>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</si>
  <si>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</si>
  <si>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</si>
  <si>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</si>
  <si>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</si>
  <si>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</si>
  <si>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</si>
  <si>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</si>
  <si>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</si>
  <si>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</si>
  <si>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</si>
  <si>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</si>
  <si>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30420231</t>
  </si>
  <si>
    <t>ОАО "НПП КП "Квант"</t>
  </si>
  <si>
    <t>6152001056</t>
  </si>
  <si>
    <t>616801001</t>
  </si>
  <si>
    <t>26448939</t>
  </si>
  <si>
    <t>ОАО "Новочеркасскгоргаз"</t>
  </si>
  <si>
    <t>6150009405</t>
  </si>
  <si>
    <t>26448888</t>
  </si>
  <si>
    <t>ОАО "Резметкон"</t>
  </si>
  <si>
    <t>6141004383</t>
  </si>
  <si>
    <t>614101001</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</si>
  <si>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</si>
  <si>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</si>
  <si>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</si>
  <si>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</si>
  <si>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</si>
  <si>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</si>
  <si>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</si>
  <si>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</si>
  <si>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</si>
  <si>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</si>
  <si>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</si>
  <si>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</si>
  <si>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</si>
  <si>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</si>
  <si>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</si>
  <si>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</si>
  <si>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</si>
  <si>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</si>
  <si>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</si>
  <si>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</si>
  <si>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31803598</t>
  </si>
  <si>
    <t>ООО "Азовтеплоэнерго"</t>
  </si>
  <si>
    <t>6140015992</t>
  </si>
  <si>
    <t>24-01-2025 00:00:00</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</si>
  <si>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</si>
  <si>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</si>
  <si>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</si>
  <si>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</si>
  <si>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</si>
  <si>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</si>
  <si>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</si>
  <si>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</si>
  <si>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</si>
  <si>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</si>
  <si>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</si>
  <si>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</si>
  <si>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</si>
  <si>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</si>
  <si>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</si>
  <si>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</si>
  <si>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</si>
  <si>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</si>
  <si>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</si>
  <si>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</si>
  <si>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</si>
  <si>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</si>
  <si>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</si>
  <si>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</si>
  <si>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</si>
  <si>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</si>
  <si>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</si>
  <si>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</si>
  <si>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</si>
  <si>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</si>
  <si>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</si>
  <si>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</si>
  <si>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</si>
  <si>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</si>
  <si>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</si>
  <si>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</si>
  <si>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</si>
  <si>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</si>
  <si>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</si>
  <si>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</si>
  <si>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</si>
  <si>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</si>
  <si>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</si>
  <si>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</si>
  <si>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</si>
  <si>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</si>
  <si>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</si>
  <si>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</si>
  <si>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</si>
  <si>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</si>
  <si>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</si>
  <si>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</si>
  <si>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</si>
  <si>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</si>
  <si>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</si>
  <si>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</si>
  <si>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</si>
  <si>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</si>
  <si>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</si>
  <si>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</si>
  <si>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</si>
  <si>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</si>
  <si>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</si>
  <si>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</si>
  <si>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</si>
  <si>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</si>
  <si>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</si>
  <si>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</si>
  <si>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</si>
  <si>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</si>
  <si>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</si>
  <si>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</si>
  <si>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</si>
  <si>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</si>
  <si>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</si>
  <si>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</si>
  <si>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</si>
  <si>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</si>
  <si>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</si>
  <si>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</si>
  <si>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</si>
  <si>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</si>
  <si>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</si>
  <si>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</si>
  <si>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</si>
  <si>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</si>
  <si>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</si>
  <si>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</si>
  <si>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</si>
  <si>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</si>
  <si>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</si>
  <si>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</si>
  <si>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</si>
  <si>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</si>
  <si>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</si>
  <si>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</si>
  <si>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</si>
  <si>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</si>
  <si>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</si>
  <si>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</si>
  <si>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</si>
  <si>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</si>
  <si>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</si>
  <si>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</si>
  <si>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</si>
  <si>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</si>
  <si>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</si>
  <si>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</si>
  <si>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</si>
  <si>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</si>
  <si>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</si>
  <si>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</si>
  <si>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</si>
  <si>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</si>
  <si>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</si>
  <si>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616401001</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</si>
  <si>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</si>
  <si>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</si>
  <si>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</si>
  <si>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</si>
  <si>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</si>
  <si>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</si>
  <si>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</si>
  <si>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</si>
  <si>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</si>
  <si>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</si>
  <si>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</si>
  <si>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</si>
  <si>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</si>
  <si>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</si>
  <si>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</si>
  <si>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</si>
  <si>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</si>
  <si>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</si>
  <si>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</si>
  <si>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</si>
  <si>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</si>
  <si>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</si>
  <si>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</si>
  <si>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</si>
  <si>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</si>
  <si>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26-08-2025 00:00:00</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</si>
  <si>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</si>
  <si>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</si>
  <si>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</si>
  <si>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</si>
  <si>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</si>
  <si>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</si>
  <si>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</si>
  <si>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</si>
  <si>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</si>
  <si>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</si>
  <si>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</si>
  <si>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</si>
  <si>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</si>
  <si>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</si>
  <si>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</si>
  <si>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</si>
  <si>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</si>
  <si>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</si>
  <si>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</si>
  <si>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</si>
  <si>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</si>
  <si>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</si>
  <si>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</si>
  <si>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</si>
  <si>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</si>
  <si>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</si>
  <si>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</si>
  <si>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</si>
  <si>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</si>
  <si>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</si>
  <si>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</si>
  <si>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</si>
  <si>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</si>
  <si>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</si>
  <si>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11-07-2025 00:00:00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</si>
  <si>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</si>
  <si>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</si>
  <si>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</si>
  <si>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</si>
  <si>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</si>
  <si>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</si>
  <si>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</si>
  <si>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</si>
  <si>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</si>
  <si>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</si>
  <si>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</si>
  <si>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</si>
  <si>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</si>
  <si>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</si>
  <si>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</si>
  <si>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</si>
  <si>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</si>
  <si>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</si>
  <si>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</si>
  <si>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</si>
  <si>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</si>
  <si>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</si>
  <si>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</si>
  <si>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</si>
  <si>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</si>
  <si>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</si>
  <si>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</si>
  <si>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</si>
  <si>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</si>
  <si>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</si>
  <si>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</si>
  <si>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</si>
  <si>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</si>
  <si>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</si>
  <si>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</si>
  <si>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</si>
  <si>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</si>
  <si>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</si>
  <si>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</si>
  <si>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</si>
  <si>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</si>
  <si>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</si>
  <si>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</si>
  <si>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</si>
  <si>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</si>
  <si>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</si>
  <si>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</si>
  <si>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</si>
  <si>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</si>
  <si>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</si>
  <si>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</si>
  <si>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</si>
  <si>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</si>
  <si>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</si>
  <si>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</si>
  <si>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</si>
  <si>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</si>
  <si>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</si>
  <si>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</si>
  <si>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</si>
  <si>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</si>
  <si>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</si>
  <si>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</si>
  <si>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</si>
  <si>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</si>
  <si>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</si>
  <si>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</si>
  <si>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</si>
  <si>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</si>
  <si>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</si>
  <si>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</si>
  <si>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</si>
  <si>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</si>
  <si>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</si>
  <si>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</si>
  <si>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</si>
  <si>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</si>
  <si>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</si>
  <si>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</si>
  <si>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</si>
  <si>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</si>
  <si>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</si>
  <si>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</si>
  <si>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</si>
  <si>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</si>
  <si>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</si>
  <si>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</si>
  <si>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</si>
  <si>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</si>
  <si>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</si>
  <si>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</si>
  <si>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</si>
  <si>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</si>
  <si>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</si>
  <si>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</si>
  <si>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</si>
  <si>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</si>
  <si>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</si>
  <si>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</si>
  <si>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</si>
  <si>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</si>
  <si>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</si>
  <si>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</si>
  <si>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</si>
  <si>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</si>
  <si>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</si>
  <si>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</si>
  <si>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</si>
  <si>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</si>
  <si>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</si>
  <si>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</si>
  <si>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</si>
  <si>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</si>
  <si>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</si>
  <si>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</si>
  <si>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</si>
  <si>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</si>
  <si>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</si>
  <si>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</si>
  <si>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</si>
  <si>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</si>
  <si>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</si>
  <si>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</si>
  <si>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</si>
  <si>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</si>
  <si>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</si>
  <si>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</si>
  <si>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</si>
  <si>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</si>
  <si>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</si>
  <si>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</si>
  <si>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</si>
  <si>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</si>
  <si>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</si>
  <si>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</si>
  <si>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</si>
  <si>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</si>
  <si>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</si>
  <si>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</si>
  <si>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</si>
  <si>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</si>
  <si>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</si>
  <si>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</si>
  <si>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</si>
  <si>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</si>
  <si>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</si>
  <si>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</si>
  <si>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</si>
  <si>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</si>
  <si>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</si>
  <si>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</si>
  <si>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</si>
  <si>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</si>
  <si>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</si>
  <si>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</si>
  <si>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</si>
  <si>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</si>
  <si>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</si>
  <si>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</si>
  <si>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</si>
  <si>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</si>
  <si>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</si>
  <si>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</si>
  <si>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</si>
  <si>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</si>
  <si>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</si>
  <si>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</si>
  <si>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</si>
  <si>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</si>
  <si>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</si>
  <si>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</si>
  <si>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</si>
  <si>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</si>
  <si>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</si>
  <si>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</si>
  <si>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</si>
  <si>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</si>
  <si>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</si>
  <si>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</si>
  <si>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</si>
  <si>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</si>
  <si>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</si>
  <si>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</si>
  <si>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</si>
  <si>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</si>
  <si>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</si>
  <si>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</si>
  <si>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</si>
  <si>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</si>
  <si>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</si>
  <si>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</si>
  <si>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</si>
  <si>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</si>
  <si>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</si>
  <si>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</si>
  <si>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</si>
  <si>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</si>
  <si>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</si>
  <si>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</si>
  <si>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</si>
  <si>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</si>
  <si>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</si>
  <si>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</si>
  <si>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</si>
  <si>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</si>
  <si>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</si>
  <si>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</si>
  <si>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</si>
  <si>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</si>
  <si>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</si>
  <si>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</si>
  <si>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</si>
  <si>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</si>
  <si>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</si>
  <si>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</si>
  <si>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</si>
  <si>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</si>
  <si>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</si>
  <si>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</si>
  <si>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</si>
  <si>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</si>
  <si>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</si>
  <si>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</si>
  <si>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</si>
  <si>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</si>
  <si>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</si>
  <si>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</si>
  <si>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</si>
  <si>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</si>
  <si>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</si>
  <si>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</si>
  <si>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</si>
  <si>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</si>
  <si>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</si>
  <si>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</si>
  <si>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</si>
  <si>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</si>
  <si>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</si>
  <si>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</si>
  <si>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</si>
  <si>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</si>
  <si>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</si>
  <si>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</si>
  <si>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</si>
  <si>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</si>
  <si>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</si>
  <si>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</si>
  <si>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</si>
  <si>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</si>
  <si>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</si>
  <si>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</si>
  <si>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</si>
  <si>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</si>
  <si>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</si>
  <si>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</si>
  <si>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</si>
  <si>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</si>
  <si>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</si>
  <si>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</si>
  <si>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</si>
  <si>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</si>
  <si>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</si>
  <si>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</si>
  <si>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01-10-2025 00:00:00</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</si>
  <si>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</si>
  <si>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</si>
  <si>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</si>
  <si>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</si>
  <si>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</si>
  <si>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</si>
  <si>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</si>
  <si>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</si>
  <si>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</si>
  <si>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</si>
  <si>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</si>
  <si>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</si>
  <si>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</si>
  <si>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</si>
  <si>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</si>
  <si>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</si>
  <si>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</si>
  <si>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</si>
  <si>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</si>
  <si>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</si>
  <si>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</si>
  <si>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</si>
  <si>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</si>
  <si>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</si>
  <si>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</si>
  <si>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</si>
  <si>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</si>
  <si>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</si>
  <si>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</si>
  <si>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</si>
  <si>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</si>
  <si>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</si>
  <si>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</si>
  <si>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</si>
  <si>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</si>
  <si>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</si>
  <si>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</si>
  <si>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</si>
  <si>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</si>
  <si>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</si>
  <si>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</si>
  <si>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</si>
  <si>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</si>
  <si>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</si>
  <si>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</si>
  <si>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</si>
  <si>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</si>
  <si>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</si>
  <si>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</si>
  <si>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774301001</t>
  </si>
  <si>
    <t>30427450</t>
  </si>
  <si>
    <t>ПАО "ТАГМЕТ"</t>
  </si>
  <si>
    <t>6154011797</t>
  </si>
  <si>
    <t>26374716</t>
  </si>
  <si>
    <t>ПК "Родник"</t>
  </si>
  <si>
    <t>6153022732</t>
  </si>
  <si>
    <t>26374601</t>
  </si>
  <si>
    <t>СПК (колхоз) Колос"</t>
  </si>
  <si>
    <t>6119002743</t>
  </si>
  <si>
    <t>31838227</t>
  </si>
  <si>
    <t>ТСН "Управляющая компания "Ореховая роща"</t>
  </si>
  <si>
    <t>6161048928</t>
  </si>
  <si>
    <t>21-05-2025 00:00:00</t>
  </si>
  <si>
    <t>26452243</t>
  </si>
  <si>
    <t>УМП "Приморский водопровод"</t>
  </si>
  <si>
    <t>6101000150</t>
  </si>
  <si>
    <t>28857555</t>
  </si>
  <si>
    <t>АО "АБВК эко"</t>
  </si>
  <si>
    <t>6167146110</t>
  </si>
  <si>
    <t>28859417</t>
  </si>
  <si>
    <t>ГБУ РО "Дезинфекционная станция"</t>
  </si>
  <si>
    <t>6165034355</t>
  </si>
  <si>
    <t>31857642</t>
  </si>
  <si>
    <t>МСУП ПО РС и ЭИС</t>
  </si>
  <si>
    <t>6165029877</t>
  </si>
  <si>
    <t>30-03-1994 00:00:00</t>
  </si>
  <si>
    <t>26776286</t>
  </si>
  <si>
    <t>ООО "Азов ВКС ЮГ"</t>
  </si>
  <si>
    <t>6140030687</t>
  </si>
  <si>
    <t>31775088</t>
  </si>
  <si>
    <t>ООО "Благоустроитель"</t>
  </si>
  <si>
    <t>6125034197</t>
  </si>
  <si>
    <t>29-10-2024 00:00:00</t>
  </si>
  <si>
    <t>30905822</t>
  </si>
  <si>
    <t>ООО "Водные ресурсы"</t>
  </si>
  <si>
    <t>6166100113</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</si>
  <si>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</si>
  <si>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</si>
  <si>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</si>
  <si>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</si>
  <si>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</si>
  <si>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</si>
  <si>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</si>
  <si>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</si>
  <si>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</si>
  <si>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</si>
  <si>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</si>
  <si>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</si>
  <si>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</si>
  <si>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</si>
  <si>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</si>
  <si>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</si>
  <si>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</si>
  <si>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</si>
  <si>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</si>
  <si>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</si>
  <si>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</si>
  <si>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</si>
  <si>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</si>
  <si>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</si>
  <si>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</si>
  <si>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</si>
  <si>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</si>
  <si>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</si>
  <si>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</si>
  <si>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</si>
  <si>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</si>
  <si>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</si>
  <si>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</si>
  <si>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31827638</t>
  </si>
  <si>
    <t>МКУ "Чистый Город"</t>
  </si>
  <si>
    <t>6128015026</t>
  </si>
  <si>
    <t>612801502</t>
  </si>
  <si>
    <t>26382585</t>
  </si>
  <si>
    <t>МУП "Чистый город"</t>
  </si>
  <si>
    <t>6128004585</t>
  </si>
  <si>
    <t>14-01-2025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</si>
  <si>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</si>
  <si>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</si>
  <si>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</si>
  <si>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</si>
  <si>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</si>
  <si>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</si>
  <si>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</si>
  <si>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</si>
  <si>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</si>
  <si>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</si>
  <si>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</si>
  <si>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</si>
  <si>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</si>
  <si>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</si>
  <si>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</si>
  <si>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</si>
  <si>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</si>
  <si>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</si>
  <si>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31743233</t>
  </si>
  <si>
    <t>ООО "Гуковское спецавтохозяйство"</t>
  </si>
  <si>
    <t>6144023183</t>
  </si>
  <si>
    <t>614401001</t>
  </si>
  <si>
    <t>31772564</t>
  </si>
  <si>
    <t>ООО "Индустрия"</t>
  </si>
  <si>
    <t>6150071523</t>
  </si>
  <si>
    <t>31770799</t>
  </si>
  <si>
    <t>ООО "КХ"</t>
  </si>
  <si>
    <t>6146006176</t>
  </si>
  <si>
    <t>614601001</t>
  </si>
  <si>
    <t>26382600</t>
  </si>
  <si>
    <t>ООО "Комбинат коммунальных предприятий"</t>
  </si>
  <si>
    <t>6147005351</t>
  </si>
  <si>
    <t>31781286</t>
  </si>
  <si>
    <t>ООО "Коммунальщик"</t>
  </si>
  <si>
    <t>6147042610</t>
  </si>
  <si>
    <t>31704618</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</si>
  <si>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</si>
  <si>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</si>
  <si>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</si>
  <si>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</si>
  <si>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</si>
  <si>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</si>
  <si>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</si>
  <si>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</si>
  <si>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</si>
  <si>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</si>
  <si>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</si>
  <si>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</si>
  <si>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</si>
  <si>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</si>
  <si>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</si>
  <si>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</si>
  <si>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</si>
  <si>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</si>
  <si>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</si>
  <si>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</si>
  <si>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31816482</t>
  </si>
  <si>
    <t>ООО "Спецснаб-Юг"</t>
  </si>
  <si>
    <t>6168084940</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</si>
  <si>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</si>
  <si>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</si>
  <si>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</si>
  <si>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</si>
  <si>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</si>
  <si>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</si>
  <si>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</si>
  <si>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</si>
  <si>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</si>
  <si>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31772896</t>
  </si>
  <si>
    <t>ООО "ФОРУМ"</t>
  </si>
  <si>
    <t>6140024620</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</si>
  <si>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</si>
  <si>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</si>
  <si>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</si>
  <si>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</si>
  <si>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</si>
  <si>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</si>
  <si>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</si>
  <si>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</si>
  <si>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</si>
  <si>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</si>
  <si>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</si>
  <si>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</si>
  <si>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</si>
  <si>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</si>
  <si>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</si>
  <si>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</si>
  <si>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</si>
  <si>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</si>
  <si>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</si>
  <si>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</si>
  <si>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</si>
  <si>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</si>
  <si>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</si>
  <si>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</si>
  <si>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</si>
  <si>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</si>
  <si>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</si>
  <si>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</si>
  <si>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</si>
  <si>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</si>
  <si>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</si>
  <si>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</si>
  <si>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</si>
  <si>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</si>
  <si>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</si>
  <si>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</si>
  <si>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</si>
  <si>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</si>
  <si>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</si>
  <si>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</si>
  <si>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</si>
  <si>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</si>
  <si>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</si>
  <si>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</si>
  <si>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</si>
  <si>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</si>
  <si>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</si>
  <si>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</si>
  <si>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31701941</t>
  </si>
  <si>
    <t>ООО «М-Стандарт-Юг»</t>
  </si>
  <si>
    <t>6102061691</t>
  </si>
  <si>
    <t>31701923</t>
  </si>
  <si>
    <t>ООО «РОСТ-ЭКО»</t>
  </si>
  <si>
    <t>6166095270</t>
  </si>
  <si>
    <t>31701905</t>
  </si>
  <si>
    <t>ООО «ЮРО»</t>
  </si>
  <si>
    <t>6102065174</t>
  </si>
  <si>
    <t>610245001</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</si>
  <si>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</si>
  <si>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</si>
  <si>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</si>
  <si>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</si>
  <si>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</si>
  <si>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</si>
  <si>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</si>
  <si>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</si>
  <si>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</si>
  <si>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</si>
  <si>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</si>
  <si>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</si>
  <si>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</si>
  <si>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</si>
  <si>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</si>
  <si>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</si>
  <si>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</si>
  <si>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</si>
  <si>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</si>
  <si>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</si>
  <si>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</si>
  <si>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</si>
  <si>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</si>
  <si>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</si>
  <si>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</si>
  <si>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</si>
  <si>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</si>
  <si>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</si>
  <si>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</si>
  <si>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</si>
  <si>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</si>
  <si>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</si>
  <si>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</si>
  <si>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</si>
  <si>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</si>
  <si>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</si>
  <si>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</si>
  <si>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</si>
  <si>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</si>
  <si>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</si>
  <si>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</si>
  <si>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</si>
  <si>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</si>
  <si>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</si>
  <si>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</si>
  <si>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</si>
  <si>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</si>
  <si>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</si>
  <si>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</si>
  <si>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</si>
  <si>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</si>
  <si>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</si>
  <si>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</si>
  <si>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</si>
  <si>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</si>
  <si>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</si>
  <si>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</si>
  <si>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</si>
  <si>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</si>
  <si>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</si>
  <si>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</si>
  <si>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</si>
  <si>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</si>
  <si>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</si>
  <si>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</si>
  <si>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</si>
  <si>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</si>
  <si>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</si>
  <si>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</si>
  <si>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</si>
  <si>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</si>
  <si>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</si>
  <si>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</si>
  <si>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</si>
  <si>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</si>
  <si>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</si>
  <si>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</si>
  <si>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</si>
  <si>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</si>
  <si>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</si>
  <si>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</si>
  <si>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</si>
  <si>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</si>
  <si>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</si>
  <si>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</si>
  <si>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</si>
  <si>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</si>
  <si>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</si>
  <si>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</si>
  <si>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</si>
  <si>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</si>
  <si>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</si>
  <si>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</si>
  <si>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</si>
  <si>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</si>
  <si>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</si>
  <si>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</si>
  <si>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</si>
  <si>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</si>
  <si>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</si>
  <si>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</si>
  <si>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</si>
  <si>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</si>
  <si>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</si>
  <si>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</si>
  <si>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</si>
  <si>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</si>
  <si>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</si>
  <si>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</si>
  <si>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</si>
  <si>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</si>
  <si>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</si>
  <si>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</si>
  <si>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</si>
  <si>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</si>
  <si>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</si>
  <si>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</si>
  <si>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</si>
  <si>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</si>
  <si>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</si>
  <si>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</si>
  <si>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</si>
  <si>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</si>
  <si>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</si>
  <si>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</si>
  <si>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</si>
  <si>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</si>
  <si>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</si>
  <si>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</si>
  <si>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</si>
  <si>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</si>
  <si>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</si>
  <si>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</si>
  <si>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</si>
  <si>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</si>
  <si>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</si>
  <si>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</si>
  <si>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</si>
  <si>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</si>
  <si>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</si>
  <si>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</si>
  <si>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</si>
  <si>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</si>
  <si>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</si>
  <si>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</si>
  <si>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</si>
  <si>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</si>
  <si>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</si>
  <si>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</si>
  <si>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</si>
  <si>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</si>
  <si>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</si>
  <si>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</si>
  <si>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</si>
  <si>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</si>
  <si>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</si>
  <si>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</si>
  <si>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</si>
  <si>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</si>
  <si>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</si>
  <si>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</si>
  <si>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</si>
  <si>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</si>
  <si>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</si>
  <si>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</si>
  <si>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</si>
  <si>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</si>
  <si>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</si>
  <si>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</si>
  <si>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</si>
  <si>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</si>
  <si>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</si>
  <si>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</si>
  <si>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</si>
  <si>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</si>
  <si>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</si>
  <si>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</si>
  <si>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</si>
  <si>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</si>
  <si>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</si>
  <si>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</si>
  <si>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</si>
  <si>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</si>
  <si>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</si>
  <si>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</si>
  <si>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</si>
  <si>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</si>
  <si>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</si>
  <si>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</si>
  <si>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</si>
  <si>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</si>
  <si>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</si>
  <si>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</si>
  <si>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</si>
  <si>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</si>
  <si>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</si>
  <si>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</si>
  <si>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</si>
  <si>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</si>
  <si>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</si>
  <si>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</si>
  <si>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</si>
  <si>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</si>
  <si>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</si>
  <si>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</si>
  <si>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</si>
  <si>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</si>
  <si>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</si>
  <si>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</si>
  <si>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</si>
  <si>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</si>
  <si>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</si>
  <si>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</si>
  <si>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</si>
  <si>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</si>
  <si>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</si>
  <si>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</si>
  <si>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</si>
  <si>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</si>
  <si>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</si>
  <si>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</si>
  <si>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</si>
  <si>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</si>
  <si>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</si>
  <si>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</si>
  <si>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</si>
  <si>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</si>
  <si>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</si>
  <si>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</si>
  <si>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</si>
  <si>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</si>
  <si>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</si>
  <si>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</si>
  <si>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</si>
  <si>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</si>
  <si>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</si>
  <si>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</si>
  <si>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</si>
  <si>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</si>
  <si>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</si>
  <si>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</si>
  <si>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</si>
  <si>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</si>
  <si>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</si>
  <si>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</si>
  <si>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</si>
  <si>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</si>
  <si>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</si>
  <si>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</si>
  <si>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</si>
  <si>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</si>
  <si>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</si>
  <si>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</si>
  <si>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</si>
  <si>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</si>
  <si>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</si>
  <si>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</si>
  <si>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</si>
  <si>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</si>
  <si>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</si>
  <si>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</si>
  <si>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</si>
  <si>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</si>
  <si>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</si>
  <si>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</si>
  <si>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</si>
  <si>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</si>
  <si>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</si>
  <si>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</si>
  <si>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</si>
  <si>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</si>
  <si>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</si>
  <si>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</si>
  <si>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</si>
  <si>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</si>
  <si>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</si>
  <si>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</si>
  <si>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</si>
  <si>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</si>
  <si>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</si>
  <si>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</si>
  <si>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</si>
  <si>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</si>
  <si>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</si>
  <si>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</si>
  <si>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</si>
  <si>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</si>
  <si>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</si>
  <si>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</si>
  <si>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</si>
  <si>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</si>
  <si>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</si>
  <si>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</si>
  <si>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</si>
  <si>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</si>
  <si>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</si>
  <si>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</si>
  <si>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</si>
  <si>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</si>
  <si>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</si>
  <si>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</si>
  <si>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</si>
  <si>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</si>
  <si>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</si>
  <si>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</si>
  <si>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</si>
  <si>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</si>
  <si>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</si>
  <si>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</si>
  <si>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</si>
  <si>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</si>
  <si>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</si>
  <si>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</si>
  <si>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</si>
  <si>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</si>
  <si>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</si>
  <si>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</si>
  <si>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</si>
  <si>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</si>
  <si>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</si>
  <si>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</si>
  <si>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</si>
  <si>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</si>
  <si>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</si>
  <si>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</si>
  <si>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</si>
  <si>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</si>
  <si>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</si>
  <si>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</si>
  <si>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</si>
  <si>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</si>
  <si>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</si>
  <si>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</si>
  <si>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</si>
  <si>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</si>
  <si>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</si>
  <si>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</si>
  <si>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</si>
  <si>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</si>
  <si>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</si>
  <si>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</si>
  <si>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</si>
  <si>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</si>
  <si>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</si>
  <si>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</si>
  <si>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</si>
  <si>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</si>
  <si>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</si>
  <si>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</si>
  <si>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</si>
  <si>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</si>
  <si>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</si>
  <si>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</si>
  <si>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</si>
  <si>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</si>
  <si>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</si>
  <si>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</si>
  <si>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</si>
  <si>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</si>
  <si>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</si>
  <si>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</si>
  <si>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</si>
  <si>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</si>
  <si>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</si>
  <si>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</si>
  <si>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</si>
  <si>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</si>
  <si>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</si>
  <si>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</si>
  <si>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</si>
  <si>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</si>
  <si>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</si>
  <si>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</si>
  <si>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</si>
  <si>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</si>
  <si>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</si>
  <si>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</si>
  <si>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</si>
  <si>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</si>
  <si>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</si>
  <si>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</si>
  <si>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</si>
  <si>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</si>
  <si>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</si>
  <si>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</si>
  <si>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</si>
  <si>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</si>
  <si>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</si>
  <si>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</si>
  <si>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</si>
  <si>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</si>
  <si>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</si>
  <si>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</si>
  <si>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</si>
  <si>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</si>
  <si>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</si>
  <si>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</si>
  <si>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</si>
  <si>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</si>
  <si>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</si>
  <si>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</si>
  <si>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</si>
  <si>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</si>
  <si>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</si>
  <si>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</si>
  <si>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</si>
  <si>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</si>
  <si>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</si>
  <si>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</si>
  <si>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</si>
  <si>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</si>
  <si>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</si>
  <si>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</si>
  <si>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</si>
  <si>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</si>
  <si>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</si>
  <si>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</si>
  <si>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</si>
  <si>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</si>
  <si>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</si>
  <si>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</si>
  <si>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</si>
  <si>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</si>
  <si>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</si>
  <si>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</si>
  <si>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</si>
  <si>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</si>
  <si>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</si>
  <si>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</si>
  <si>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</si>
  <si>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</si>
  <si>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</si>
  <si>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</si>
  <si>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</si>
  <si>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</si>
  <si>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</si>
  <si>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</si>
  <si>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</si>
  <si>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</si>
  <si>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</si>
  <si>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</si>
  <si>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</si>
  <si>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</si>
  <si>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</si>
  <si>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</si>
  <si>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</si>
  <si>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</si>
  <si>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</si>
  <si>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</si>
  <si>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</si>
  <si>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</si>
  <si>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</si>
  <si>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</si>
  <si>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</si>
  <si>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</si>
  <si>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</si>
  <si>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</si>
  <si>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</si>
  <si>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</si>
  <si>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</si>
  <si>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</si>
  <si>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</si>
  <si>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</si>
  <si>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</si>
  <si>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</si>
  <si>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</si>
  <si>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</si>
  <si>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</si>
  <si>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</si>
  <si>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</si>
  <si>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</si>
  <si>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</si>
  <si>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</si>
  <si>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</si>
  <si>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</si>
  <si>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</si>
  <si>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</si>
  <si>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</si>
  <si>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</si>
  <si>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</si>
  <si>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</si>
  <si>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</si>
  <si>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</si>
  <si>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</si>
  <si>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</si>
  <si>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</si>
  <si>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</si>
  <si>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</si>
  <si>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</si>
  <si>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</si>
  <si>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</si>
  <si>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</si>
  <si>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</si>
  <si>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</si>
  <si>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</si>
  <si>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</si>
  <si>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</si>
  <si>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</si>
  <si>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</si>
  <si>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</si>
  <si>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</si>
  <si>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</si>
  <si>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</si>
  <si>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</si>
  <si>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</si>
  <si>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</si>
  <si>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</si>
  <si>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</si>
  <si>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</si>
  <si>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</si>
  <si>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</si>
  <si>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</si>
  <si>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</si>
  <si>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</si>
  <si>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</si>
  <si>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</si>
  <si>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</si>
  <si>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</si>
  <si>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</si>
  <si>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</si>
  <si>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</si>
  <si>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</si>
  <si>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</si>
  <si>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</si>
  <si>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</si>
  <si>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</si>
  <si>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</si>
  <si>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</si>
  <si>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</si>
  <si>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</si>
  <si>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</si>
  <si>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</si>
  <si>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</si>
  <si>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</si>
  <si>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</si>
  <si>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</si>
  <si>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</si>
  <si>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</si>
  <si>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</si>
  <si>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</si>
  <si>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</si>
  <si>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</si>
  <si>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</si>
  <si>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</si>
  <si>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</si>
  <si>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</si>
  <si>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</si>
  <si>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</si>
  <si>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</si>
  <si>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</si>
  <si>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</si>
  <si>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</si>
  <si>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</si>
  <si>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</si>
  <si>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</si>
  <si>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</si>
  <si>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</si>
  <si>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</si>
  <si>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</si>
  <si>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</si>
  <si>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</si>
  <si>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</si>
  <si>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</si>
  <si>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</si>
  <si>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</si>
  <si>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</si>
  <si>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</si>
  <si>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</si>
  <si>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</si>
  <si>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</si>
  <si>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</si>
  <si>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</si>
  <si>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</si>
  <si>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</si>
  <si>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</si>
  <si>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</si>
  <si>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</si>
  <si>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</si>
  <si>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</si>
  <si>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</si>
  <si>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</si>
  <si>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</si>
  <si>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</si>
  <si>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</si>
  <si>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</si>
  <si>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</si>
  <si>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</si>
  <si>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</si>
  <si>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</si>
  <si>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</si>
  <si>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</si>
  <si>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</si>
  <si>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</si>
  <si>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</si>
  <si>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</si>
  <si>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</si>
  <si>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</si>
  <si>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</si>
  <si>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</si>
  <si>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</si>
  <si>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</si>
  <si>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</si>
  <si>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</si>
  <si>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</si>
  <si>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</si>
  <si>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</si>
  <si>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</si>
  <si>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</si>
  <si>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</si>
  <si>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</si>
  <si>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</si>
  <si>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</si>
  <si>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</si>
  <si>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</si>
  <si>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</si>
  <si>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</si>
  <si>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</si>
  <si>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</si>
  <si>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</si>
  <si>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</si>
  <si>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</si>
  <si>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</si>
  <si>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</si>
  <si>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</si>
  <si>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</si>
  <si>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</si>
  <si>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</si>
  <si>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</si>
  <si>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</si>
  <si>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</si>
  <si>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</si>
  <si>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</si>
  <si>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</si>
  <si>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</si>
  <si>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</si>
  <si>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</si>
  <si>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</si>
  <si>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</si>
  <si>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</si>
  <si>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</si>
  <si>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</si>
  <si>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</si>
  <si>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</si>
  <si>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</si>
  <si>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</si>
  <si>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</si>
  <si>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</si>
  <si>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</si>
  <si>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</si>
  <si>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</si>
  <si>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</si>
  <si>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</si>
  <si>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</si>
  <si>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</si>
  <si>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</si>
  <si>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</si>
  <si>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</si>
  <si>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</si>
  <si>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</si>
  <si>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</si>
  <si>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</si>
  <si>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</si>
  <si>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</si>
  <si>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</si>
  <si>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</si>
  <si>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</si>
  <si>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</si>
  <si>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</si>
  <si>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</si>
  <si>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</si>
  <si>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</si>
  <si>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</si>
  <si>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</si>
  <si>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</si>
  <si>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</si>
  <si>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</si>
  <si>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</si>
  <si>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</si>
  <si>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</si>
  <si>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</si>
  <si>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</si>
  <si>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</si>
  <si>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</si>
  <si>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</si>
  <si>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</si>
  <si>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</si>
  <si>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</si>
  <si>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</si>
  <si>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</si>
  <si>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</si>
  <si>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</si>
  <si>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</si>
  <si>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</si>
  <si>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</si>
  <si>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</si>
  <si>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</si>
  <si>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</si>
  <si>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</si>
  <si>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</si>
  <si>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</si>
  <si>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</si>
  <si>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</si>
  <si>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</si>
  <si>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</si>
  <si>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</si>
  <si>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</si>
  <si>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</si>
  <si>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</si>
  <si>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</si>
  <si>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</si>
  <si>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</si>
  <si>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</si>
  <si>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</si>
  <si>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</si>
  <si>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</si>
  <si>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</si>
  <si>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</si>
  <si>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</si>
  <si>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</si>
  <si>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</si>
  <si>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</si>
  <si>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</si>
  <si>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</si>
  <si>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</si>
  <si>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</si>
  <si>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</si>
  <si>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</si>
  <si>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</si>
  <si>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</si>
  <si>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</si>
  <si>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</si>
  <si>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</si>
  <si>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</si>
  <si>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</si>
  <si>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</si>
  <si>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</si>
  <si>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</si>
  <si>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</si>
  <si>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</si>
  <si>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</si>
  <si>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</si>
  <si>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</si>
  <si>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</si>
  <si>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</si>
  <si>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</si>
  <si>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</si>
  <si>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</si>
  <si>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</si>
  <si>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</si>
  <si>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</si>
  <si>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</si>
  <si>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</si>
  <si>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</si>
  <si>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</si>
  <si>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</si>
  <si>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</si>
  <si>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</si>
  <si>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</si>
  <si>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</si>
  <si>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</si>
  <si>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</si>
  <si>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</si>
  <si>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</si>
  <si>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</si>
  <si>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</si>
  <si>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</si>
  <si>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</si>
  <si>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</si>
  <si>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</si>
  <si>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</si>
  <si>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</si>
  <si>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</si>
  <si>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</si>
  <si>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</si>
  <si>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</si>
  <si>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</si>
  <si>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</si>
  <si>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</si>
  <si>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</si>
  <si>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</si>
  <si>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</si>
  <si>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</si>
  <si>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</si>
  <si>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</si>
  <si>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</si>
  <si>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</si>
  <si>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</si>
  <si>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</si>
  <si>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</si>
  <si>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</si>
  <si>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</si>
  <si>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</si>
  <si>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</si>
  <si>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</si>
  <si>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</si>
  <si>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</si>
  <si>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</si>
  <si>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</si>
  <si>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</si>
  <si>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</si>
  <si>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</si>
  <si>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</si>
  <si>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</si>
  <si>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</si>
  <si>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</si>
  <si>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</si>
  <si>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</si>
  <si>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</si>
  <si>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</si>
  <si>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</si>
  <si>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</si>
  <si>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</si>
  <si>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</si>
  <si>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</si>
  <si>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</si>
  <si>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</si>
  <si>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</si>
  <si>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</si>
  <si>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</si>
  <si>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</si>
  <si>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</si>
  <si>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</si>
  <si>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</si>
  <si>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</si>
  <si>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</si>
  <si>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</si>
  <si>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</si>
  <si>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</si>
  <si>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</si>
  <si>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</si>
  <si>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</si>
  <si>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</si>
  <si>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</si>
  <si>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</si>
  <si>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</si>
  <si>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</si>
  <si>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</si>
  <si>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</si>
  <si>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</si>
  <si>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</si>
  <si>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</si>
  <si>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</si>
  <si>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</si>
  <si>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</si>
  <si>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</si>
  <si>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</si>
  <si>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</si>
  <si>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</si>
  <si>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</si>
  <si>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</si>
  <si>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</si>
  <si>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</si>
  <si>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</si>
  <si>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</si>
  <si>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</si>
  <si>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</si>
  <si>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</si>
  <si>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</si>
  <si>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</si>
  <si>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</si>
  <si>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</si>
  <si>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</si>
  <si>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</si>
  <si>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</si>
  <si>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</si>
  <si>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</si>
  <si>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</si>
  <si>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</si>
  <si>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</si>
  <si>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</si>
  <si>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</si>
  <si>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</si>
  <si>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</si>
  <si>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</si>
  <si>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</si>
  <si>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</si>
  <si>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</si>
  <si>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</si>
  <si>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</si>
  <si>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</si>
  <si>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</si>
  <si>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</si>
  <si>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</si>
  <si>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</si>
  <si>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</si>
  <si>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</si>
  <si>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</si>
  <si>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</si>
  <si>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</si>
  <si>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</si>
  <si>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</si>
  <si>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</si>
  <si>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</si>
  <si>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</si>
  <si>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</si>
  <si>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</si>
  <si>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</si>
  <si>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</si>
  <si>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</si>
  <si>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</si>
  <si>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</si>
  <si>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</si>
  <si>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</si>
  <si>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</si>
  <si>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</si>
  <si>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</si>
  <si>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</si>
  <si>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</si>
  <si>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</si>
  <si>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</si>
  <si>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</si>
  <si>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</si>
  <si>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</si>
  <si>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</si>
  <si>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</si>
  <si>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</si>
  <si>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</si>
  <si>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</si>
  <si>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</si>
  <si>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</si>
  <si>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</si>
  <si>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</si>
  <si>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</si>
  <si>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</si>
  <si>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</si>
  <si>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</si>
  <si>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</si>
  <si>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</si>
  <si>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</si>
  <si>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</si>
  <si>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</si>
  <si>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</si>
  <si>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</si>
  <si>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</si>
  <si>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</si>
  <si>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</si>
  <si>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</si>
  <si>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</si>
  <si>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</si>
  <si>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</si>
  <si>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</si>
  <si>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</si>
  <si>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</si>
  <si>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</si>
  <si>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</si>
  <si>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</si>
  <si>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</si>
  <si>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</si>
  <si>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</si>
  <si>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</si>
  <si>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</si>
  <si>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</si>
  <si>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</si>
  <si>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</si>
  <si>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</si>
  <si>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</si>
  <si>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</si>
  <si>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</si>
  <si>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</si>
  <si>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</si>
  <si>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</si>
  <si>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</si>
  <si>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</si>
  <si>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</si>
  <si>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</si>
  <si>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</si>
  <si>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</si>
  <si>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</si>
  <si>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</si>
  <si>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</si>
  <si>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</si>
  <si>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</si>
  <si>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</si>
  <si>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</si>
  <si>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</si>
  <si>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</si>
  <si>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</si>
  <si>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</si>
  <si>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</si>
  <si>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</si>
  <si>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</si>
  <si>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</si>
  <si>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</si>
  <si>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</si>
  <si>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</si>
  <si>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</si>
  <si>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</si>
  <si>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</si>
  <si>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</si>
  <si>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</si>
  <si>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</si>
  <si>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</si>
  <si>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</si>
  <si>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</si>
  <si>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</si>
  <si>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</si>
  <si>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</si>
  <si>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</si>
  <si>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</si>
  <si>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</si>
  <si>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</si>
  <si>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</si>
  <si>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</si>
  <si>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</si>
  <si>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</si>
  <si>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</si>
  <si>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</si>
  <si>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</si>
  <si>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</si>
  <si>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</si>
  <si>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</si>
  <si>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</si>
  <si>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</si>
  <si>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</si>
  <si>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</si>
  <si>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</si>
  <si>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</si>
  <si>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</si>
  <si>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</si>
  <si>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</si>
  <si>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</si>
  <si>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</si>
  <si>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</si>
  <si>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</si>
  <si>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</si>
  <si>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</si>
  <si>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</si>
  <si>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</si>
  <si>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</si>
  <si>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</si>
  <si>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</si>
  <si>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</si>
  <si>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</si>
  <si>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</si>
  <si>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</si>
  <si>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</si>
  <si>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</si>
  <si>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</si>
  <si>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</si>
  <si>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</si>
  <si>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</si>
  <si>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</si>
  <si>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</si>
  <si>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</si>
  <si>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</si>
  <si>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</si>
  <si>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</si>
  <si>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</si>
  <si>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</si>
  <si>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</si>
  <si>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</si>
  <si>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</si>
  <si>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</si>
  <si>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</si>
  <si>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</si>
  <si>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</si>
  <si>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</si>
  <si>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</si>
  <si>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</si>
  <si>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</si>
  <si>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</si>
  <si>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</si>
  <si>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</si>
  <si>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</si>
  <si>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</si>
  <si>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</si>
  <si>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</si>
  <si>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</si>
  <si>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</si>
  <si>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</si>
  <si>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</si>
  <si>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</si>
  <si>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</si>
  <si>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</si>
  <si>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</si>
  <si>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</si>
  <si>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</si>
  <si>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</si>
  <si>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</si>
  <si>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</si>
  <si>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</si>
  <si>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</si>
  <si>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</si>
  <si>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</si>
  <si>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</si>
  <si>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</si>
  <si>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</si>
  <si>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</si>
  <si>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</si>
  <si>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</si>
  <si>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</si>
  <si>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</si>
  <si>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</si>
  <si>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</si>
  <si>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</si>
  <si>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</si>
  <si>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</si>
  <si>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</si>
  <si>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</si>
  <si>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</si>
  <si>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</si>
  <si>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</si>
  <si>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</si>
  <si>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</si>
  <si>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</si>
  <si>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</si>
  <si>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</si>
  <si>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</si>
  <si>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</si>
  <si>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</si>
  <si>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</si>
  <si>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</si>
  <si>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</si>
  <si>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</si>
  <si>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</si>
  <si>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</si>
  <si>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</si>
  <si>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</si>
  <si>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</si>
  <si>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</si>
  <si>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</si>
  <si>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</si>
  <si>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</si>
  <si>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</si>
  <si>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</si>
  <si>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</si>
  <si>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</si>
  <si>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</si>
  <si>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</si>
  <si>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</si>
  <si>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</si>
  <si>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</si>
  <si>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</si>
  <si>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</si>
  <si>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</si>
  <si>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</si>
  <si>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</si>
  <si>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</si>
  <si>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</si>
  <si>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</si>
  <si>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</si>
  <si>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</si>
  <si>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</si>
  <si>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</si>
  <si>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</si>
  <si>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</si>
  <si>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</si>
  <si>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</si>
  <si>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</si>
  <si>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</si>
  <si>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</si>
  <si>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</si>
  <si>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</si>
  <si>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</si>
  <si>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</si>
  <si>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</si>
  <si>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</si>
  <si>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</si>
  <si>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</si>
  <si>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</si>
  <si>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</si>
  <si>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</si>
  <si>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</si>
  <si>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</si>
  <si>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</si>
  <si>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</si>
  <si>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</si>
  <si>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</si>
  <si>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</si>
  <si>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</si>
  <si>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</si>
  <si>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</si>
  <si>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</si>
  <si>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</si>
  <si>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</si>
  <si>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</si>
  <si>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</si>
  <si>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</si>
  <si>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</si>
  <si>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</si>
  <si>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</si>
  <si>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</si>
  <si>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</si>
  <si>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</si>
  <si>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</si>
  <si>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</si>
  <si>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</si>
  <si>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</si>
  <si>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</si>
  <si>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</si>
  <si>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</si>
  <si>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</si>
  <si>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</si>
  <si>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</si>
  <si>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</si>
  <si>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</si>
  <si>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</si>
  <si>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</si>
  <si>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</si>
  <si>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</si>
  <si>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</si>
  <si>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</si>
  <si>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</si>
  <si>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</si>
  <si>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</si>
  <si>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</si>
  <si>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</si>
  <si>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</si>
  <si>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</si>
  <si>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</si>
  <si>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</si>
  <si>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</si>
  <si>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</si>
  <si>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</si>
  <si>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</si>
  <si>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</si>
  <si>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</si>
  <si>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</si>
  <si>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</si>
  <si>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</si>
  <si>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</si>
  <si>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</si>
  <si>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</si>
  <si>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</si>
  <si>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</si>
  <si>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</si>
  <si>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</si>
  <si>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</si>
  <si>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</si>
  <si>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</si>
  <si>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</si>
  <si>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</si>
  <si>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</si>
  <si>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</si>
  <si>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</si>
  <si>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</si>
  <si>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</si>
  <si>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</si>
  <si>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</si>
  <si>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</si>
  <si>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</si>
  <si>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</si>
  <si>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</si>
  <si>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</si>
  <si>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</si>
  <si>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</si>
  <si>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</si>
  <si>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</si>
  <si>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</si>
  <si>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</si>
  <si>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</si>
  <si>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</si>
  <si>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</si>
  <si>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</si>
  <si>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</si>
  <si>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</si>
  <si>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</si>
  <si>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</si>
  <si>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</si>
  <si>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</si>
  <si>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</si>
  <si>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</si>
  <si>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</si>
  <si>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</si>
  <si>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</si>
  <si>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</si>
  <si>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</si>
  <si>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</si>
  <si>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</si>
  <si>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</si>
  <si>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</si>
  <si>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</si>
  <si>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</si>
  <si>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</si>
  <si>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</si>
  <si>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</si>
  <si>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</si>
  <si>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</si>
  <si>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</si>
  <si>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</si>
  <si>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</si>
  <si>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</si>
  <si>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</si>
  <si>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</si>
  <si>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</si>
  <si>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</si>
  <si>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</si>
  <si>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</si>
  <si>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</si>
  <si>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</si>
  <si>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</si>
  <si>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</si>
  <si>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</si>
  <si>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</si>
  <si>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</si>
  <si>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</si>
  <si>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</si>
  <si>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</si>
  <si>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</si>
  <si>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</si>
  <si>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</si>
  <si>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</si>
  <si>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</si>
  <si>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</si>
  <si>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</si>
  <si>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142 от 30.10.2025 АО "ЗЕРНОГРАДСКИЕ ТЕПЛОВЫЕ СЕТИ"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Зерноградский на 2026 год</t>
  </si>
  <si>
    <t>Инвестиционная программа № 143 от 30.10.2025 МУП "КРАСНОСУЛИНСКИЕ ГОРОДСКИЕ ТЕПЛОСЕТИ"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Красносулинское, Красносулинский район на 2026-2027 годы</t>
  </si>
  <si>
    <t>31.12.2027</t>
  </si>
  <si>
    <t>Инвестиционная программа № 144 от 30.10.2025 МУП "КРАСНОСУЛИНСКИЕ ГОРОДСКИЕ ТЕПЛОСЕТИ" в сфере теплоснабжения по реконструкции и модернизации существующих объектов систем теплоснабжения от котельных и тепловых сетей, на территории муниципального района Красносулинский на 2026-2027 годы</t>
  </si>
  <si>
    <t>Инвестиционная программа № 145 от 30.10.2025 МУП "ТЕПЛО МРЗ" в сфере теплоснабжения по реконструкции и модернизации тепловых сетей, на территории городского округа Каменск-Шахтинский на 2026 год</t>
  </si>
  <si>
    <t>Инвестиционная программа № 146 от 30.10.2025 ООО "ШАХТИНСКАЯ ГТЭС"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Шахты на 2026 год</t>
  </si>
  <si>
    <t>Инвестиционная программа № 149 от 30.10.2025 АО "КРАСНОДАРТЕПЛОСЕТЬ"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Ростов-на-Дону на 2026 год</t>
  </si>
  <si>
    <t>Инвестиционная программа № 150 от 30.10.2025 ООО "РСМЭ"; ООО "РОСТСЕЛЬМАШЭНЕРГО"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Ростов-на-Дону на 2026-2028 годы</t>
  </si>
  <si>
    <t>31.12.2028</t>
  </si>
  <si>
    <t>Инвестиционная программа № 151 от 30.10.2025 ООО "РГШ" в сфере теплоснабжения по строительству объектов, на территории городского округа Шахты на 2026-2027 годы</t>
  </si>
  <si>
    <t>Инвестиционная программа № 152 от 30.10.2025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2026-2027 годы</t>
  </si>
  <si>
    <t>Инвестиционная программа № 153 от 30.10.2025 ООО "РЕМСТРОЙ" в сфере теплоснабжения по строительству объектов, на территории городского округа Ростов-на-Дону на 2026-2027 годы</t>
  </si>
  <si>
    <t>Инвестиционная программа № 155 от 30.10.2025 ООО "ТЕПЛОСЕРВИС ЮГ" в сфере теплоснабжения по строительству систем центрального теплоснабжения (за исключением тепловых сетей), на территории городского округа Ростов-на-Дону на 2026-2027 годы</t>
  </si>
  <si>
    <t>Инвестиционная программа № 157 от 30.10.2025 МП "ККТС"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Новошахтинск на 2026-2027 годы</t>
  </si>
  <si>
    <t>Инвестиционная программа № 158 от 30.10.2025 МУП "ГОРОДСКОЕ ХОЗЯЙСТВО" в сфере теплоснабжения по строительству централизованных систем теплоснабжения, на территории городского округа Таганрог на 2026-2027 годы</t>
  </si>
  <si>
    <t>Инвестиционная программа № 160 от 30.10.2025 ООО "ДТС" в сфере теплоснабжения по строительству систем центрального теплоснабжения (за исключением тепловых сетей) на 2026 год</t>
  </si>
  <si>
    <t>Инвестиционная программа № 161 от 30.10.2025 ООО "ДТЭС" в сфере теплоснабжения по реконструкции и модернизации существующих объектов систем теплоснабжения, на территории городского поселения Миллеровское, Миллеровский район на 2026-2030 годы</t>
  </si>
  <si>
    <t>31.12.2030</t>
  </si>
  <si>
    <t>Инвестиционная программа № 162 от 30.10.2025 ООО "РОСТОВСКИЕ ТЕПЛОВЫЕ СЕТИ"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Ростов-на-Дону на 2026-2027 годы</t>
  </si>
  <si>
    <t>Инвестиционная программа № 163 от 30.10.2025 ООО "ВОЛГОДОНСКИЕ ТЕПЛОВЫЕ СЕТИ" в сфере теплоснабжения по реконструкции и модернизации существующих объектов тепловых сетей, на территории городского округа Волгодонск на 2026-2027 годы</t>
  </si>
  <si>
    <t>Инвестиционная программа № 164 от 30.10.2025 ООО "ЛУКОЙЛ-РОСТОВЭНЕРГО"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Ростов-на-Дону на 2026-2027 годы</t>
  </si>
  <si>
    <t>Инвестиционная программа № 165 от 30.10.2025 ООО "ЛУКОЙЛ-РОСТОВЭНЕРГО" в сфере теплоснабжения по реконструкции и модернизации существующих объектов тепловых сетей, на территории городского округа Волгодонск на 2026-2027 годы</t>
  </si>
  <si>
    <t>Инвестиционная программа № 359 от 29.10.2024 АО "ТЕПЛОКОММУНЭНЕРГО" в сфере теплоснабжения по реконструкции и модернизации тепловых сетей, на территории городского округа Ростов-на-Дону на 2025 год</t>
  </si>
  <si>
    <t>8198452975</t>
  </si>
  <si>
    <t>01.01.2025</t>
  </si>
  <si>
    <t>31.12.2025</t>
  </si>
  <si>
    <t>Об утверждении инвестиционной программы теплоснабжающей организации АО "ТЕПЛОККОМУНЭНЕРГО" на 2025 год</t>
  </si>
  <si>
    <t>постановление</t>
  </si>
  <si>
    <t>29.10.2024</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</si>
  <si>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</si>
  <si>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</si>
  <si>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</si>
  <si>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</si>
  <si>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</si>
  <si>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</si>
  <si>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</si>
  <si>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</si>
  <si>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</si>
  <si>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</si>
  <si>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</si>
  <si>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</si>
  <si>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</si>
  <si>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</si>
  <si>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</si>
  <si>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</si>
  <si>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</si>
  <si>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</si>
  <si>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</si>
  <si>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</si>
  <si>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</si>
  <si>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</si>
  <si>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</si>
  <si>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</si>
  <si>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</si>
  <si>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</si>
  <si>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</si>
  <si>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</si>
  <si>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</si>
  <si>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</si>
  <si>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</si>
  <si>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</si>
  <si>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31 линия, 4</t>
  </si>
  <si>
    <t>31 линия</t>
  </si>
  <si>
    <t>город Ростов-на-Дону</t>
  </si>
  <si>
    <t>муниципальное имущество</t>
  </si>
  <si>
    <t>аренда</t>
  </si>
  <si>
    <t>https://portal.eias.ru/Portal/DownloadPage.aspx?type=12&amp;guid=ed107615-c175-48ea-b520-0bec1aa1315e</t>
  </si>
  <si>
    <t>эксплуатируется</t>
  </si>
  <si>
    <t>договор</t>
  </si>
  <si>
    <t>59.30.02.11/872</t>
  </si>
  <si>
    <t>15.10.2024</t>
  </si>
  <si>
    <t>.86172</t>
  </si>
  <si>
    <t>.778</t>
  </si>
  <si>
    <t>[Газ природный]</t>
  </si>
  <si>
    <t>4-ий мкр. Жилого района "Левенцовский"</t>
  </si>
  <si>
    <t>ул. Жданова</t>
  </si>
  <si>
    <t>–</t>
  </si>
  <si>
    <t>частная собственность</t>
  </si>
  <si>
    <t>передаточный акт</t>
  </si>
  <si>
    <t>https://portal.eias.ru/Portal/DownloadPage.aspx?type=12&amp;guid=10be79dc-a7d9-4f8a-b6e2-7df2f5904866</t>
  </si>
  <si>
    <t>акт ввода в эксплуатацию</t>
  </si>
  <si>
    <t>собственность</t>
  </si>
  <si>
    <t>3006</t>
  </si>
  <si>
    <t>24.12.2014</t>
  </si>
  <si>
    <t>6.02</t>
  </si>
  <si>
    <t>3.394045</t>
  </si>
  <si>
    <t>собственное имущество</t>
  </si>
  <si>
    <t>https://portal.eias.ru/Portal/DownloadPage.aspx?type=12&amp;guid=a251b6e2-7b6d-4dbe-93b6-b097989f2543</t>
  </si>
  <si>
    <t>акт приёма-передачи</t>
  </si>
  <si>
    <t>31.10.2017</t>
  </si>
  <si>
    <t>https://portal.eias.ru/Portal/DownloadPage.aspx?type=12&amp;guid=3902b72f-d1b7-4f49-b23e-ea2bdb5b899e</t>
  </si>
  <si>
    <t>3.410318</t>
  </si>
  <si>
    <t>БМК установленная на крыше спортивного комплекса, пристроенного к строящемуся жилому дому №5 в 6А МКР СЖР по бульвару Комарова (Комарова, 1и)</t>
  </si>
  <si>
    <t>б-р. Комарова</t>
  </si>
  <si>
    <t>1и</t>
  </si>
  <si>
    <t>https://portal.eias.ru/Portal/DownloadPage.aspx?type=12&amp;guid=254d5756-ef14-4ef5-bde8-ec865b5fa041</t>
  </si>
  <si>
    <t>договор эксплуатации</t>
  </si>
  <si>
    <t>2.15</t>
  </si>
  <si>
    <t>2.137288</t>
  </si>
  <si>
    <t>договор по эксплуатации и техническому обслуживанию</t>
  </si>
  <si>
    <t>https://portal.eias.ru/Portal/DownloadPage.aspx?type=12&amp;guid=36ec9a8a-99d5-4bad-98a0-950b0f7563d9</t>
  </si>
  <si>
    <t>приказ</t>
  </si>
  <si>
    <t>05/12/2017</t>
  </si>
  <si>
    <t>2.136684</t>
  </si>
  <si>
    <t>Дачная, 2б</t>
  </si>
  <si>
    <t>ул. Дачная</t>
  </si>
  <si>
    <t>2б</t>
  </si>
  <si>
    <t>2.22</t>
  </si>
  <si>
    <t>3.253891</t>
  </si>
  <si>
    <t>выписка из ЕГРН</t>
  </si>
  <si>
    <t>61:44:0080801:444-61/040/2017-3</t>
  </si>
  <si>
    <t>11.10.2017</t>
  </si>
  <si>
    <t>https://portal.eias.ru/Portal/DownloadPage.aspx?type=12&amp;guid=6617b460-3902-4341-bf0a-cf896e7abe3c</t>
  </si>
  <si>
    <t>2.493227</t>
  </si>
  <si>
    <t>Котельная             35-я Линия, 9</t>
  </si>
  <si>
    <t>ул. 35-я Линия</t>
  </si>
  <si>
    <t>9 лит. А</t>
  </si>
  <si>
    <t>б/н</t>
  </si>
  <si>
    <t>16.03.2016</t>
  </si>
  <si>
    <t>https://portal.eias.ru/Portal/DownloadPage.aspx?type=12&amp;guid=172ed4f0-c1b9-4101-9dd6-2f22f7736db2</t>
  </si>
  <si>
    <t>.86</t>
  </si>
  <si>
    <t>.367979</t>
  </si>
  <si>
    <t>https://portal.eias.ru/Portal/DownloadPage.aspx?type=12&amp;guid=76d07951-add0-4dd0-91c8-22e8def0b7cb</t>
  </si>
  <si>
    <t>607556</t>
  </si>
  <si>
    <t>08.08.2013</t>
  </si>
  <si>
    <t>Котельная             Совхоз "Нива"</t>
  </si>
  <si>
    <t>ул. Совхозная</t>
  </si>
  <si>
    <t>Совхоз "Нива"</t>
  </si>
  <si>
    <t>2493</t>
  </si>
  <si>
    <t>18.06.2009</t>
  </si>
  <si>
    <t>1.032</t>
  </si>
  <si>
    <t>.994851</t>
  </si>
  <si>
    <t>.994694</t>
  </si>
  <si>
    <t>Котельная            19-я Линия, 21</t>
  </si>
  <si>
    <t>ул. 19-я Линия</t>
  </si>
  <si>
    <t>21 лит. А</t>
  </si>
  <si>
    <t>606453</t>
  </si>
  <si>
    <t>31.07.2013</t>
  </si>
  <si>
    <t>.12</t>
  </si>
  <si>
    <t>.062501</t>
  </si>
  <si>
    <t>.060598</t>
  </si>
  <si>
    <t>Котельная            38-я Линия, 93в</t>
  </si>
  <si>
    <t>ул. 38-я Линия</t>
  </si>
  <si>
    <t>93в</t>
  </si>
  <si>
    <t>583929</t>
  </si>
  <si>
    <t>19.08.2013</t>
  </si>
  <si>
    <t>.258</t>
  </si>
  <si>
    <t>.190849</t>
  </si>
  <si>
    <t>61-61/001-61/001/011/2016-9577/7</t>
  </si>
  <si>
    <t>06.05.2016</t>
  </si>
  <si>
    <t>https://portal.eias.ru/Portal/DownloadPage.aspx?type=12&amp;guid=fca57169-6634-48e1-a8d9-c3baf669979e</t>
  </si>
  <si>
    <t>.39</t>
  </si>
  <si>
    <t>.4</t>
  </si>
  <si>
    <t>Котельная          28-я Линия, 59/4</t>
  </si>
  <si>
    <t>59/4</t>
  </si>
  <si>
    <t>.708485</t>
  </si>
  <si>
    <t>Котельная          35-я Линия, 49</t>
  </si>
  <si>
    <t>411745</t>
  </si>
  <si>
    <t>22.05.2014</t>
  </si>
  <si>
    <t>1.257</t>
  </si>
  <si>
    <t>.977251</t>
  </si>
  <si>
    <t>61-61/011-61/001/055/2016-5185/3</t>
  </si>
  <si>
    <t>07.12.2016</t>
  </si>
  <si>
    <t>1.118</t>
  </si>
  <si>
    <t>.97707</t>
  </si>
  <si>
    <t>61-61/049-61/001/011/2016-10856/3</t>
  </si>
  <si>
    <t>19.05.2016</t>
  </si>
  <si>
    <t>43.05</t>
  </si>
  <si>
    <t>42.238498</t>
  </si>
  <si>
    <t>606499</t>
  </si>
  <si>
    <t>26.07.2013</t>
  </si>
  <si>
    <t>44.800526</t>
  </si>
  <si>
    <t>Котельная          40-летия Победы, 330</t>
  </si>
  <si>
    <t>61-61/001-61/001/052/2016-1870/3</t>
  </si>
  <si>
    <t>03.11.2016</t>
  </si>
  <si>
    <t>.869324</t>
  </si>
  <si>
    <t>487367</t>
  </si>
  <si>
    <t>15.04.2002</t>
  </si>
  <si>
    <t>.903705</t>
  </si>
  <si>
    <t>Котельная   Речная, 9</t>
  </si>
  <si>
    <t>ул. Речная</t>
  </si>
  <si>
    <t>https://portal.eias.ru/Portal/DownloadPage.aspx?type=12&amp;guid=380b8db6-47a3-4a3b-8724-55f98ebf3d8d</t>
  </si>
  <si>
    <t>506-7</t>
  </si>
  <si>
    <t>29.09.2020</t>
  </si>
  <si>
    <t>.88</t>
  </si>
  <si>
    <t>.453962</t>
  </si>
  <si>
    <t>Котельная   Речная, 9 (БМК-1,0)</t>
  </si>
  <si>
    <t>https://portal.eias.ru/Portal/DownloadPage.aspx?type=12&amp;guid=4dc73ee9-9d14-48e9-9115-31f3520bd8d3</t>
  </si>
  <si>
    <t>2718</t>
  </si>
  <si>
    <t>11.12.2013</t>
  </si>
  <si>
    <t>Котельная 1-я Баррикадная, 1</t>
  </si>
  <si>
    <t>ул. 1-я Баррикадная</t>
  </si>
  <si>
    <t>250501</t>
  </si>
  <si>
    <t>01.08.2011</t>
  </si>
  <si>
    <t>8.429</t>
  </si>
  <si>
    <t>7.703038</t>
  </si>
  <si>
    <t>8.43</t>
  </si>
  <si>
    <t>7.612327</t>
  </si>
  <si>
    <t>Котельная 14-я Линия, 74 А</t>
  </si>
  <si>
    <t>ул. 14-я Линия</t>
  </si>
  <si>
    <t>74 А</t>
  </si>
  <si>
    <t>344918</t>
  </si>
  <si>
    <t>22.07.2011</t>
  </si>
  <si>
    <t>1.747976</t>
  </si>
  <si>
    <t>1.567573</t>
  </si>
  <si>
    <t>Котельная 16-я Линия, 30</t>
  </si>
  <si>
    <t>ул. 16-я Линия</t>
  </si>
  <si>
    <t>30 лит. С</t>
  </si>
  <si>
    <t>2.58</t>
  </si>
  <si>
    <t>2.130821</t>
  </si>
  <si>
    <t>583927</t>
  </si>
  <si>
    <t>2.444181</t>
  </si>
  <si>
    <t>583934</t>
  </si>
  <si>
    <t>2.62</t>
  </si>
  <si>
    <t>1.317845</t>
  </si>
  <si>
    <t>61-61/001/055/2016-3182/3</t>
  </si>
  <si>
    <t>01.12.2016</t>
  </si>
  <si>
    <t>https://portal.eias.ru/Portal/DownloadPage.aspx?type=12&amp;guid=6f75eef2-76a9-4c58-b139-b6a1bbf6529f</t>
  </si>
  <si>
    <t>1.309819</t>
  </si>
  <si>
    <t>Котельная 23-я линия, 10/12</t>
  </si>
  <si>
    <t>ул. 23-я Линия</t>
  </si>
  <si>
    <t>10/12</t>
  </si>
  <si>
    <t>.660286</t>
  </si>
  <si>
    <t>.680565</t>
  </si>
  <si>
    <t>61-61/033-61/001/049/2016-1902/3</t>
  </si>
  <si>
    <t>04.10.2016</t>
  </si>
  <si>
    <t>3.544</t>
  </si>
  <si>
    <t>2.224557</t>
  </si>
  <si>
    <t>250773</t>
  </si>
  <si>
    <t>12.08.2011</t>
  </si>
  <si>
    <t>Котельная 28-я линия, 55</t>
  </si>
  <si>
    <t>1.754</t>
  </si>
  <si>
    <t>1.442773</t>
  </si>
  <si>
    <t>.294</t>
  </si>
  <si>
    <t>.3434</t>
  </si>
  <si>
    <t>Котельная 3-я Баррикадная, 81</t>
  </si>
  <si>
    <t>ул. 3-я Баррикадная</t>
  </si>
  <si>
    <t>81 лит. А</t>
  </si>
  <si>
    <t>61-61/027-61/001/049/2016-4436/3</t>
  </si>
  <si>
    <t>11.10.2016</t>
  </si>
  <si>
    <t>https://portal.eias.ru/Portal/DownloadPage.aspx?type=12&amp;guid=f16b3e1e-060b-4bee-982e-b0c3e6b2a058</t>
  </si>
  <si>
    <t>4.644</t>
  </si>
  <si>
    <t>3.026752</t>
  </si>
  <si>
    <t>592243</t>
  </si>
  <si>
    <t>28.03.2014</t>
  </si>
  <si>
    <t>3.057457</t>
  </si>
  <si>
    <t>61-61/001-61/001/036/2016-6722/3</t>
  </si>
  <si>
    <t>30.06.2016</t>
  </si>
  <si>
    <t>37.24</t>
  </si>
  <si>
    <t>30.407032</t>
  </si>
  <si>
    <t>719793</t>
  </si>
  <si>
    <t>05.05.2004</t>
  </si>
  <si>
    <t>31.6</t>
  </si>
  <si>
    <t>31.384238</t>
  </si>
  <si>
    <t>Котельная Абаканская, 20а</t>
  </si>
  <si>
    <t>ул. Абаканская</t>
  </si>
  <si>
    <t>20а</t>
  </si>
  <si>
    <t>https://portal.eias.ru/Portal/DownloadPage.aspx?type=12&amp;guid=b453c694-07cc-4228-9efa-2a5c2d74d520</t>
  </si>
  <si>
    <t>666773</t>
  </si>
  <si>
    <t>13.01.2015</t>
  </si>
  <si>
    <t>4.13</t>
  </si>
  <si>
    <t>5.98498</t>
  </si>
  <si>
    <t>61-61/022-61/001/045/2016-3077/3</t>
  </si>
  <si>
    <t>06.09.2016</t>
  </si>
  <si>
    <t>https://portal.eias.ru/Portal/DownloadPage.aspx?type=12&amp;guid=27b6a322-d3bf-47fe-a64f-fabe403f1ebc</t>
  </si>
  <si>
    <t>3.696811</t>
  </si>
  <si>
    <t>Котельная Аксайская, 6/1</t>
  </si>
  <si>
    <t>ул. Аксайская</t>
  </si>
  <si>
    <t>6/1 лит.Е</t>
  </si>
  <si>
    <t>61-61/045-61/001/045/2016-3063/3</t>
  </si>
  <si>
    <t>.913</t>
  </si>
  <si>
    <t>.434173</t>
  </si>
  <si>
    <t>.91</t>
  </si>
  <si>
    <t>607559</t>
  </si>
  <si>
    <t>.452121</t>
  </si>
  <si>
    <t>Котельная Амбулаторная, 95а</t>
  </si>
  <si>
    <t>ул. Амбулаторная</t>
  </si>
  <si>
    <t>95а</t>
  </si>
  <si>
    <t>61-61/001-61/001/055/2016-2504/3</t>
  </si>
  <si>
    <t>.916</t>
  </si>
  <si>
    <t>.8476</t>
  </si>
  <si>
    <t>632777</t>
  </si>
  <si>
    <t>09.12.2013</t>
  </si>
  <si>
    <t>.743</t>
  </si>
  <si>
    <t>.494875</t>
  </si>
  <si>
    <t>.4956</t>
  </si>
  <si>
    <t>Котельная Б.Садовая, 15/40</t>
  </si>
  <si>
    <t>15/40</t>
  </si>
  <si>
    <t>606500</t>
  </si>
  <si>
    <t>.83</t>
  </si>
  <si>
    <t>.275743</t>
  </si>
  <si>
    <t>61:44:0050521:1645-61/034/2017-2</t>
  </si>
  <si>
    <t>31.01.2017</t>
  </si>
  <si>
    <t>.623</t>
  </si>
  <si>
    <t>.1946</t>
  </si>
  <si>
    <t>Котельная Б.Садовая, 17</t>
  </si>
  <si>
    <t>.516</t>
  </si>
  <si>
    <t>.194198</t>
  </si>
  <si>
    <t>613</t>
  </si>
  <si>
    <t>31.12.2015</t>
  </si>
  <si>
    <t>https://portal.eias.ru/Portal/DownloadPage.aspx?type=12&amp;guid=7388d09b-c733-4b72-9d1a-e61cc86cd571</t>
  </si>
  <si>
    <t>.189808</t>
  </si>
  <si>
    <t>Котельная Б.Садовая, 23</t>
  </si>
  <si>
    <t>.48</t>
  </si>
  <si>
    <t>.599513</t>
  </si>
  <si>
    <t>.620472</t>
  </si>
  <si>
    <t>Котельная Б.Садовая, 34</t>
  </si>
  <si>
    <t>1.74</t>
  </si>
  <si>
    <t>1.261229</t>
  </si>
  <si>
    <t>Котельная Б.Садовая, 36</t>
  </si>
  <si>
    <t>.759044</t>
  </si>
  <si>
    <t>607337</t>
  </si>
  <si>
    <t>.891441</t>
  </si>
  <si>
    <t>Котельная Б.Садовая, 42</t>
  </si>
  <si>
    <t>.5</t>
  </si>
  <si>
    <t>.3967</t>
  </si>
  <si>
    <t>.376315</t>
  </si>
  <si>
    <t>1.28</t>
  </si>
  <si>
    <t>.390404</t>
  </si>
  <si>
    <t>.405113</t>
  </si>
  <si>
    <t>2.66</t>
  </si>
  <si>
    <t>1.929083</t>
  </si>
  <si>
    <t>30.06.1995</t>
  </si>
  <si>
    <t>2.578385</t>
  </si>
  <si>
    <t>Котельная Балакирева, 34а</t>
  </si>
  <si>
    <t>ул. Балакирева</t>
  </si>
  <si>
    <t>34а</t>
  </si>
  <si>
    <t>428408</t>
  </si>
  <si>
    <t>07.10.2011</t>
  </si>
  <si>
    <t>.50379</t>
  </si>
  <si>
    <t>61-61/045-61/001/052/2016-8721/3</t>
  </si>
  <si>
    <t>23.11.2016</t>
  </si>
  <si>
    <t>.485431</t>
  </si>
  <si>
    <t>Котельная Беломорский, 100</t>
  </si>
  <si>
    <t>пер. Беломорский</t>
  </si>
  <si>
    <t>https://portal.eias.ru/Portal/DownloadPage.aspx?type=12&amp;guid=38404d39-cf21-4a83-a8db-a6471e7dfd34</t>
  </si>
  <si>
    <t>233425</t>
  </si>
  <si>
    <t>02.09.2014</t>
  </si>
  <si>
    <t>72.5</t>
  </si>
  <si>
    <t>72.737256</t>
  </si>
  <si>
    <t>61-61/005-61/001/036/2016-6686/3</t>
  </si>
  <si>
    <t>50.152102</t>
  </si>
  <si>
    <t>767003</t>
  </si>
  <si>
    <t>29.08.2013</t>
  </si>
  <si>
    <t>.9</t>
  </si>
  <si>
    <t>.750387</t>
  </si>
  <si>
    <t>61:44:0050603:135-61/040/2017-3</t>
  </si>
  <si>
    <t>23.01.2017</t>
  </si>
  <si>
    <t>.713635</t>
  </si>
  <si>
    <t>Котельная Братский, 39</t>
  </si>
  <si>
    <t>.0707</t>
  </si>
  <si>
    <t>.06919</t>
  </si>
  <si>
    <t>Котельная Буденновский, 11</t>
  </si>
  <si>
    <t>пр-кт. Буденновский</t>
  </si>
  <si>
    <t>583939</t>
  </si>
  <si>
    <t>.74</t>
  </si>
  <si>
    <t>.648593</t>
  </si>
  <si>
    <t>Котельная Буденновский, 19</t>
  </si>
  <si>
    <t>583940</t>
  </si>
  <si>
    <t>.163</t>
  </si>
  <si>
    <t>.151192</t>
  </si>
  <si>
    <t>[Уголь антрацит]</t>
  </si>
  <si>
    <t>28.10.2022</t>
  </si>
  <si>
    <t>https://portal.eias.ru/Portal/DownloadPage.aspx?type=12&amp;guid=afb16955-c6ed-4bf8-99b6-f4e0adb6348a</t>
  </si>
  <si>
    <t>.150578</t>
  </si>
  <si>
    <t>[Электроэнергия]</t>
  </si>
  <si>
    <t>Котельная Буденновский, 51</t>
  </si>
  <si>
    <t>.62</t>
  </si>
  <si>
    <t>.153111</t>
  </si>
  <si>
    <t>.158732</t>
  </si>
  <si>
    <t>Котельная Буйнакская, 12</t>
  </si>
  <si>
    <t>ул. Буйнакская</t>
  </si>
  <si>
    <t>606450</t>
  </si>
  <si>
    <t>.898</t>
  </si>
  <si>
    <t>.5114</t>
  </si>
  <si>
    <t>Котельная Буйнакская, 33/14</t>
  </si>
  <si>
    <t>33/14 лит. А</t>
  </si>
  <si>
    <t>607558</t>
  </si>
  <si>
    <t>1.54</t>
  </si>
  <si>
    <t>1.23345</t>
  </si>
  <si>
    <t>1.173312</t>
  </si>
  <si>
    <t>Котельная Варфоломеева, 103</t>
  </si>
  <si>
    <t>ул. Варфоломеева</t>
  </si>
  <si>
    <t>.66</t>
  </si>
  <si>
    <t>.661302</t>
  </si>
  <si>
    <t>.664553</t>
  </si>
  <si>
    <t>Котельная Варфоломеева, 213 а</t>
  </si>
  <si>
    <t>213 а</t>
  </si>
  <si>
    <t>61-61/001-61/001/052/2016-497/3</t>
  </si>
  <si>
    <t>28.10.2016</t>
  </si>
  <si>
    <t>1.33</t>
  </si>
  <si>
    <t>1.235093</t>
  </si>
  <si>
    <t>719789</t>
  </si>
  <si>
    <t>1.235532</t>
  </si>
  <si>
    <t>Котельная Вересаева, 103 А</t>
  </si>
  <si>
    <t>ул. Вересаева</t>
  </si>
  <si>
    <t>103 А</t>
  </si>
  <si>
    <t>61:44:0030402:522-61/001/2019-11</t>
  </si>
  <si>
    <t>10.07.2019</t>
  </si>
  <si>
    <t>4.64</t>
  </si>
  <si>
    <t>5.141668</t>
  </si>
  <si>
    <t>КТ-1/580/19</t>
  </si>
  <si>
    <t>20.05.2019</t>
  </si>
  <si>
    <t>https://portal.eias.ru/Portal/DownloadPage.aspx?type=12&amp;guid=a102071c-95a8-4b4b-9371-8f86a0e93adb</t>
  </si>
  <si>
    <t>4.76558</t>
  </si>
  <si>
    <t>Котельная Вересаева, 104</t>
  </si>
  <si>
    <t>632921</t>
  </si>
  <si>
    <t>07.11.2013</t>
  </si>
  <si>
    <t>16.6</t>
  </si>
  <si>
    <t>15.290884</t>
  </si>
  <si>
    <t>61-61/005-61/001/036/2016-6681/3</t>
  </si>
  <si>
    <t>15.103778</t>
  </si>
  <si>
    <t>Котельная Веселый, 3б</t>
  </si>
  <si>
    <t>пер. Веселый</t>
  </si>
  <si>
    <t>3б</t>
  </si>
  <si>
    <t>61-61/003-61/001/052/2016-8782/3</t>
  </si>
  <si>
    <t>21.11.2016</t>
  </si>
  <si>
    <t>.172</t>
  </si>
  <si>
    <t>.1453</t>
  </si>
  <si>
    <t>632372</t>
  </si>
  <si>
    <t>Котельная Владиленская, 223/35</t>
  </si>
  <si>
    <t>ул. Владиленская</t>
  </si>
  <si>
    <t>223/35</t>
  </si>
  <si>
    <t>583933</t>
  </si>
  <si>
    <t>.103</t>
  </si>
  <si>
    <t>.2465</t>
  </si>
  <si>
    <t>61-61/001-61/001/055/2016-5438/3</t>
  </si>
  <si>
    <t>08.12.2016</t>
  </si>
  <si>
    <t>https://portal.eias.ru/Portal/DownloadPage.aspx?type=12&amp;guid=d0d4a51e-11b7-41ed-a3b1-f56b19f6b68a</t>
  </si>
  <si>
    <t>.244767</t>
  </si>
  <si>
    <t>Котельная Возрождения, 8</t>
  </si>
  <si>
    <t>ул. Возрождения</t>
  </si>
  <si>
    <t>.309743</t>
  </si>
  <si>
    <t>328910</t>
  </si>
  <si>
    <t>07.07.2014</t>
  </si>
  <si>
    <t>Котельная Вяземцева, 52 а</t>
  </si>
  <si>
    <t>ул. Вяземцева</t>
  </si>
  <si>
    <t>52 а</t>
  </si>
  <si>
    <t>.672109</t>
  </si>
  <si>
    <t>706187</t>
  </si>
  <si>
    <t>26.11.2014</t>
  </si>
  <si>
    <t>633914</t>
  </si>
  <si>
    <t>19.11.2013</t>
  </si>
  <si>
    <t>.862454</t>
  </si>
  <si>
    <t>61-61/001-61/001/049/2016-1795/3</t>
  </si>
  <si>
    <t>05.10.2016</t>
  </si>
  <si>
    <t>.83611</t>
  </si>
  <si>
    <t>898698</t>
  </si>
  <si>
    <t>13.02.2015</t>
  </si>
  <si>
    <t>41.5</t>
  </si>
  <si>
    <t>43.757136</t>
  </si>
  <si>
    <t>61-61/022-61/001/045/2016-3085/3</t>
  </si>
  <si>
    <t>33.076677</t>
  </si>
  <si>
    <t>https://portal.eias.ru/Portal/DownloadPage.aspx?type=12&amp;guid=5fd28ff6-7cb9-4344-b562-b1f9e41ae169</t>
  </si>
  <si>
    <t>288166</t>
  </si>
  <si>
    <t>10.07.2007</t>
  </si>
  <si>
    <t>88.125144</t>
  </si>
  <si>
    <t>61-61/001-61/001/011/2016-10932/3</t>
  </si>
  <si>
    <t>20.05.2016</t>
  </si>
  <si>
    <t>62.989513</t>
  </si>
  <si>
    <t>Котельная Гайдара, 27</t>
  </si>
  <si>
    <t>ул. Гайдара</t>
  </si>
  <si>
    <t>001373</t>
  </si>
  <si>
    <t>24.01.2005</t>
  </si>
  <si>
    <t>.9086</t>
  </si>
  <si>
    <t>.904975</t>
  </si>
  <si>
    <t>Котельная Гаккеля, 3/3</t>
  </si>
  <si>
    <t>ул. Гаккеля</t>
  </si>
  <si>
    <t>3/3</t>
  </si>
  <si>
    <t>228479</t>
  </si>
  <si>
    <t>03.10.2014</t>
  </si>
  <si>
    <t>.53</t>
  </si>
  <si>
    <t>.3817</t>
  </si>
  <si>
    <t>Котельная Гвардейский, 3</t>
  </si>
  <si>
    <t>пер. Гвардейский</t>
  </si>
  <si>
    <t>5.158</t>
  </si>
  <si>
    <t>5.796192</t>
  </si>
  <si>
    <t>61:44:0051003:905-61/001/2017-2</t>
  </si>
  <si>
    <t>10.02.2017</t>
  </si>
  <si>
    <t>4.252345</t>
  </si>
  <si>
    <t>Котельная Гвардейский,65А</t>
  </si>
  <si>
    <t>65а</t>
  </si>
  <si>
    <t>61:44:0051029:181-61/043/2017-3</t>
  </si>
  <si>
    <t>10.03.2017</t>
  </si>
  <si>
    <t>.096178</t>
  </si>
  <si>
    <t>410239</t>
  </si>
  <si>
    <t>16.04.2014</t>
  </si>
  <si>
    <t>.09856</t>
  </si>
  <si>
    <t>Котельная Дачная, 8а</t>
  </si>
  <si>
    <t>8а лит. Б</t>
  </si>
  <si>
    <t>607742</t>
  </si>
  <si>
    <t>05.08.2013</t>
  </si>
  <si>
    <t>.946</t>
  </si>
  <si>
    <t>.55045</t>
  </si>
  <si>
    <t>.945</t>
  </si>
  <si>
    <t>61-61/001-61/001/052/2016-8932/3</t>
  </si>
  <si>
    <t>.534883</t>
  </si>
  <si>
    <t>Котельная Деревянко, 44</t>
  </si>
  <si>
    <t>пер. Деревянко</t>
  </si>
  <si>
    <t>.439321</t>
  </si>
  <si>
    <t>606492</t>
  </si>
  <si>
    <t>.445684</t>
  </si>
  <si>
    <t>Котельная Джамбульский, 15в</t>
  </si>
  <si>
    <t>пер. Джамбульский</t>
  </si>
  <si>
    <t>15 в</t>
  </si>
  <si>
    <t>61-61/029-61/001/052/2016-1990/3</t>
  </si>
  <si>
    <t>31.10.2016</t>
  </si>
  <si>
    <t>1.29</t>
  </si>
  <si>
    <t>1.206024</t>
  </si>
  <si>
    <t>607339</t>
  </si>
  <si>
    <t>1.861291</t>
  </si>
  <si>
    <t>Котельная Джапаридзе, 12а</t>
  </si>
  <si>
    <t>ул. Джапаридзе</t>
  </si>
  <si>
    <t>12а</t>
  </si>
  <si>
    <t>61-61/001-61/001/052/2016-8673/3</t>
  </si>
  <si>
    <t>.774</t>
  </si>
  <si>
    <t>.617935</t>
  </si>
  <si>
    <t>428351</t>
  </si>
  <si>
    <t>06.10.2011</t>
  </si>
  <si>
    <t>.671374</t>
  </si>
  <si>
    <t>Котельная Днепропетровская, 8а</t>
  </si>
  <si>
    <t>ул. Днепропетровская</t>
  </si>
  <si>
    <t>8а</t>
  </si>
  <si>
    <t>61-61/043-61/001/040/2016-9479/3</t>
  </si>
  <si>
    <t>23.08.2016</t>
  </si>
  <si>
    <t>24.039</t>
  </si>
  <si>
    <t>13.755762</t>
  </si>
  <si>
    <t>667705</t>
  </si>
  <si>
    <t>12.01.2015</t>
  </si>
  <si>
    <t>24.6</t>
  </si>
  <si>
    <t>14.807086</t>
  </si>
  <si>
    <t>Котельная Доломановский, 7/6</t>
  </si>
  <si>
    <t>пер. Доломановский</t>
  </si>
  <si>
    <t>7/6</t>
  </si>
  <si>
    <t>1.72</t>
  </si>
  <si>
    <t>1.412958</t>
  </si>
  <si>
    <t>176, 177, 178</t>
  </si>
  <si>
    <t>30.04.2017</t>
  </si>
  <si>
    <t>https://portal.eias.ru/Portal/DownloadPage.aspx?type=12&amp;guid=fe933aad-993a-4b8e-9f0d-35166de3bfa8</t>
  </si>
  <si>
    <t>1.464144</t>
  </si>
  <si>
    <t>Котельная Дранко, 108 А</t>
  </si>
  <si>
    <t>ул. Дранко</t>
  </si>
  <si>
    <t>108 А</t>
  </si>
  <si>
    <t>607353</t>
  </si>
  <si>
    <t>30.358</t>
  </si>
  <si>
    <t>29.927585</t>
  </si>
  <si>
    <t>21.76</t>
  </si>
  <si>
    <t>61-61/045-61/001/036/2016-9177/3</t>
  </si>
  <si>
    <t>13.07.2016</t>
  </si>
  <si>
    <t>29.943443</t>
  </si>
  <si>
    <t>Котельная Евдокимова, 35 Л</t>
  </si>
  <si>
    <t>ул. Евдокимова</t>
  </si>
  <si>
    <t>35 Л</t>
  </si>
  <si>
    <t>61-61/034-61/001/040/2016-819/3</t>
  </si>
  <si>
    <t>21.07.2016</t>
  </si>
  <si>
    <t>25.162298</t>
  </si>
  <si>
    <t>328100</t>
  </si>
  <si>
    <t>25.06.2014</t>
  </si>
  <si>
    <t>23.123367</t>
  </si>
  <si>
    <t>Котельная Жлобинский, 19</t>
  </si>
  <si>
    <t>пер. Жлобинский</t>
  </si>
  <si>
    <t>19 г</t>
  </si>
  <si>
    <t>61-61/045-61/001/045/2016-9510/3</t>
  </si>
  <si>
    <t>27.09.2016</t>
  </si>
  <si>
    <t>4.73</t>
  </si>
  <si>
    <t>2.361926</t>
  </si>
  <si>
    <t>633916</t>
  </si>
  <si>
    <t>2.357903</t>
  </si>
  <si>
    <t>Котельная Загорская, 21а</t>
  </si>
  <si>
    <t>ул. Загорская</t>
  </si>
  <si>
    <t>21а</t>
  </si>
  <si>
    <t>3.44</t>
  </si>
  <si>
    <t>3.280674</t>
  </si>
  <si>
    <t>583935</t>
  </si>
  <si>
    <t>3.323308</t>
  </si>
  <si>
    <t>Котельная Закарпатский, 2</t>
  </si>
  <si>
    <t>пер. Закарпатский</t>
  </si>
  <si>
    <t>61-61/001-61/001/049/2016-1786/3</t>
  </si>
  <si>
    <t>.470006</t>
  </si>
  <si>
    <t>062575</t>
  </si>
  <si>
    <t>22.12.2000</t>
  </si>
  <si>
    <t>.483632</t>
  </si>
  <si>
    <t>Котельная Зоологическая,        26 Б</t>
  </si>
  <si>
    <t>ул. Зоологическая</t>
  </si>
  <si>
    <t>26 Б</t>
  </si>
  <si>
    <t>487180</t>
  </si>
  <si>
    <t>18.03.2002</t>
  </si>
  <si>
    <t>12.138</t>
  </si>
  <si>
    <t>7.008166</t>
  </si>
  <si>
    <t>61-61/045-61/001/045/2016-3044/3</t>
  </si>
  <si>
    <t>6.79584</t>
  </si>
  <si>
    <t>Котельная К.Маркса, 20</t>
  </si>
  <si>
    <t>пл. Карла Маркса</t>
  </si>
  <si>
    <t>.394287</t>
  </si>
  <si>
    <t>Котельная К.Маркса, 8а</t>
  </si>
  <si>
    <t>233213</t>
  </si>
  <si>
    <t>20.08.2014</t>
  </si>
  <si>
    <t>3.093</t>
  </si>
  <si>
    <t>2.479209</t>
  </si>
  <si>
    <t>61-61/006-61/001/055/2016-2460/3</t>
  </si>
  <si>
    <t>02.12.2016</t>
  </si>
  <si>
    <t>2.77404</t>
  </si>
  <si>
    <t>Котельная Кадровая, 13</t>
  </si>
  <si>
    <t>ул. Кадровая</t>
  </si>
  <si>
    <t>13 а лит.А.</t>
  </si>
  <si>
    <t>61-61/001-61/001/055/2016-3214/3</t>
  </si>
  <si>
    <t>.069</t>
  </si>
  <si>
    <t>.0212</t>
  </si>
  <si>
    <t>632934</t>
  </si>
  <si>
    <t>14.11.2013</t>
  </si>
  <si>
    <t>Котельная Кадровая, 45</t>
  </si>
  <si>
    <t>61-61/001-61/001/052/2016-8826/3</t>
  </si>
  <si>
    <t>.344</t>
  </si>
  <si>
    <t>.260588</t>
  </si>
  <si>
    <t>606452</t>
  </si>
  <si>
    <t>.264477</t>
  </si>
  <si>
    <t>Котельная Казахская, 78/4</t>
  </si>
  <si>
    <t>78/4</t>
  </si>
  <si>
    <t>607561</t>
  </si>
  <si>
    <t>15.18</t>
  </si>
  <si>
    <t>18.613254</t>
  </si>
  <si>
    <t>61-61/001-61/001/036/2016-4120/3</t>
  </si>
  <si>
    <t>16.06.2016</t>
  </si>
  <si>
    <t>16.34</t>
  </si>
  <si>
    <t>14.944164</t>
  </si>
  <si>
    <t>667669</t>
  </si>
  <si>
    <t>24.398</t>
  </si>
  <si>
    <t>20.177686</t>
  </si>
  <si>
    <t>24.4</t>
  </si>
  <si>
    <t>61-61/024-61/001/040/2016-9493/3</t>
  </si>
  <si>
    <t>9.764546</t>
  </si>
  <si>
    <t>Котельная Казачий, 31б</t>
  </si>
  <si>
    <t>пер. Казачий</t>
  </si>
  <si>
    <t>31б</t>
  </si>
  <si>
    <t>61-61/043-61/001/052/2016-8806/3</t>
  </si>
  <si>
    <t>21.12.2016</t>
  </si>
  <si>
    <t>2.156709</t>
  </si>
  <si>
    <t>632842</t>
  </si>
  <si>
    <t>20.11.2013</t>
  </si>
  <si>
    <t>2.1846</t>
  </si>
  <si>
    <t>Котельная Калинина, 25г/92а</t>
  </si>
  <si>
    <t>ул. Калинина</t>
  </si>
  <si>
    <t>25г/92а</t>
  </si>
  <si>
    <t>1.209184</t>
  </si>
  <si>
    <t>766834</t>
  </si>
  <si>
    <t>15.10.2013</t>
  </si>
  <si>
    <t>1.241949</t>
  </si>
  <si>
    <t>Котельная Книжная, 175б</t>
  </si>
  <si>
    <t>ул. Книжная</t>
  </si>
  <si>
    <t>175Б</t>
  </si>
  <si>
    <t>61-61/033-61/001/052/2016-1887/3</t>
  </si>
  <si>
    <t>01.11.2016</t>
  </si>
  <si>
    <t>.52</t>
  </si>
  <si>
    <t>.352</t>
  </si>
  <si>
    <t>428352</t>
  </si>
  <si>
    <t>Котельная Комарова, 38а</t>
  </si>
  <si>
    <t>38а</t>
  </si>
  <si>
    <t>719794</t>
  </si>
  <si>
    <t>24.9</t>
  </si>
  <si>
    <t>21.288393</t>
  </si>
  <si>
    <t>61-61/001-61/001/036/2016-4113/3</t>
  </si>
  <si>
    <t>15.06.2016</t>
  </si>
  <si>
    <t>21.075584</t>
  </si>
  <si>
    <t>61:44:0031409:177-61/041/2017-3</t>
  </si>
  <si>
    <t>27.01.2017</t>
  </si>
  <si>
    <t>1.71</t>
  </si>
  <si>
    <t>1.530465</t>
  </si>
  <si>
    <t>592121</t>
  </si>
  <si>
    <t>17.03.2014</t>
  </si>
  <si>
    <t>Котельная Коммунаров, 34</t>
  </si>
  <si>
    <t>.326</t>
  </si>
  <si>
    <t>.4767</t>
  </si>
  <si>
    <t>606155</t>
  </si>
  <si>
    <t>12.08.2013</t>
  </si>
  <si>
    <t>Котельная Комсомольская, 83А</t>
  </si>
  <si>
    <t>ул. Комсомольская</t>
  </si>
  <si>
    <t>83 А</t>
  </si>
  <si>
    <t>61-61/003-61/001/049/2016-1853/3</t>
  </si>
  <si>
    <t>3.339092</t>
  </si>
  <si>
    <t>344917</t>
  </si>
  <si>
    <t>3.4957</t>
  </si>
  <si>
    <t>Котельная Конституционная, 9а</t>
  </si>
  <si>
    <t>ул. Конституционная</t>
  </si>
  <si>
    <t>9а</t>
  </si>
  <si>
    <t>667704</t>
  </si>
  <si>
    <t>.0912</t>
  </si>
  <si>
    <t>61-61/044-61/001/049/2016-4466</t>
  </si>
  <si>
    <t>10.10.2016</t>
  </si>
  <si>
    <t>Котельная Кочубея, 13а</t>
  </si>
  <si>
    <t>ул. Кочубея</t>
  </si>
  <si>
    <t>13а</t>
  </si>
  <si>
    <t>61-61/020-61/001/055/2016-2443/3</t>
  </si>
  <si>
    <t>.514</t>
  </si>
  <si>
    <t>.400006</t>
  </si>
  <si>
    <t>766328</t>
  </si>
  <si>
    <t>29.10.2013</t>
  </si>
  <si>
    <t>.4148</t>
  </si>
  <si>
    <t>Котельная Красноармейская 106</t>
  </si>
  <si>
    <t>01.12.2017</t>
  </si>
  <si>
    <t>https://portal.eias.ru/Portal/DownloadPage.aspx?type=12&amp;guid=97be5c26-c4ab-4689-b789-58aedb2e7454</t>
  </si>
  <si>
    <t>.0602</t>
  </si>
  <si>
    <t>.023628</t>
  </si>
  <si>
    <t>Котельная Красноармейская 160</t>
  </si>
  <si>
    <t>.0859</t>
  </si>
  <si>
    <t>23.11.1994</t>
  </si>
  <si>
    <t>.1283</t>
  </si>
  <si>
    <t>.6</t>
  </si>
  <si>
    <t>.182791</t>
  </si>
  <si>
    <t>Котельная Красноармейская 70</t>
  </si>
  <si>
    <t>.34</t>
  </si>
  <si>
    <t>.116486</t>
  </si>
  <si>
    <t>.119724</t>
  </si>
  <si>
    <t>Котельная Красноармейская 92/93</t>
  </si>
  <si>
    <t>92/93</t>
  </si>
  <si>
    <t>10.12.2021</t>
  </si>
  <si>
    <t>https://portal.eias.ru/Portal/DownloadPage.aspx?type=12&amp;guid=7ce0d93c-919d-4412-a3be-f0db41d07055</t>
  </si>
  <si>
    <t>.061752</t>
  </si>
  <si>
    <t>.07</t>
  </si>
  <si>
    <t>428406</t>
  </si>
  <si>
    <t>.062044</t>
  </si>
  <si>
    <t>Котельная Краснополянская, 23</t>
  </si>
  <si>
    <t>ул. Краснополянская</t>
  </si>
  <si>
    <t>61-61/001-61/001/040/2016-5675/3</t>
  </si>
  <si>
    <t>11.08.2016</t>
  </si>
  <si>
    <t>4.8</t>
  </si>
  <si>
    <t>4.591703</t>
  </si>
  <si>
    <t>767847</t>
  </si>
  <si>
    <t>26.08.2013</t>
  </si>
  <si>
    <t>4.702341</t>
  </si>
  <si>
    <t>Котельная Кропоткина, 31</t>
  </si>
  <si>
    <t>ул. Кропоткина</t>
  </si>
  <si>
    <t>.608708</t>
  </si>
  <si>
    <t>[Газ доменный]</t>
  </si>
  <si>
    <t>.625</t>
  </si>
  <si>
    <t>Котельная Ленина, 175</t>
  </si>
  <si>
    <t>пр-кт. Ленина</t>
  </si>
  <si>
    <t>606495</t>
  </si>
  <si>
    <t>.445363</t>
  </si>
  <si>
    <t>31.08.2017</t>
  </si>
  <si>
    <t>https://portal.eias.ru/Portal/DownloadPage.aspx?type=12&amp;guid=5d0bba95-1864-4f31-b1ef-b79b6dfaebf5</t>
  </si>
  <si>
    <t>.437935</t>
  </si>
  <si>
    <t>Котельная Ленина, 210</t>
  </si>
  <si>
    <t>пр-кт Ленина</t>
  </si>
  <si>
    <t>632595</t>
  </si>
  <si>
    <t>11.11.2013</t>
  </si>
  <si>
    <t>1.609705</t>
  </si>
  <si>
    <t>61-61/049-61/001/052/2016-8955/3</t>
  </si>
  <si>
    <t>18.11.2016</t>
  </si>
  <si>
    <t>1.420271</t>
  </si>
  <si>
    <t>Котельная Ленина, 213 А</t>
  </si>
  <si>
    <t>213 А</t>
  </si>
  <si>
    <t>767010</t>
  </si>
  <si>
    <t>02.09.2013</t>
  </si>
  <si>
    <t>2.924</t>
  </si>
  <si>
    <t>2.117649</t>
  </si>
  <si>
    <t>31.08.2019</t>
  </si>
  <si>
    <t>https://portal.eias.ru/Portal/DownloadPage.aspx?type=12&amp;guid=8e967eea-c6a1-4e1e-aa0d-a582d5df3ad9</t>
  </si>
  <si>
    <t>2.114102</t>
  </si>
  <si>
    <t>Котельная Ленина, 217</t>
  </si>
  <si>
    <t>.623495</t>
  </si>
  <si>
    <t>.596088</t>
  </si>
  <si>
    <t>Котельная Ленина, 229/3</t>
  </si>
  <si>
    <t>229/3</t>
  </si>
  <si>
    <t>30.11.2020</t>
  </si>
  <si>
    <t>https://portal.eias.ru/Portal/DownloadPage.aspx?type=12&amp;guid=bf693905-cb8c-4503-a80a-b9ba72ef7903</t>
  </si>
  <si>
    <t>2.552042</t>
  </si>
  <si>
    <t>2.669677</t>
  </si>
  <si>
    <t>Котельная Ленина, 42а</t>
  </si>
  <si>
    <t>42а</t>
  </si>
  <si>
    <t>30.04.2020</t>
  </si>
  <si>
    <t>https://portal.eias.ru/Portal/DownloadPage.aspx?type=12&amp;guid=b8425834-af34-4733-b148-58b93a3ddcd9</t>
  </si>
  <si>
    <t>2.84</t>
  </si>
  <si>
    <t>2.339922</t>
  </si>
  <si>
    <t>2.432285</t>
  </si>
  <si>
    <t>61:44:0012246:62-61/001/2017-3</t>
  </si>
  <si>
    <t>07.02.2017</t>
  </si>
  <si>
    <t>1.057063</t>
  </si>
  <si>
    <t>607563</t>
  </si>
  <si>
    <t>1.069269</t>
  </si>
  <si>
    <t>Котельная М. Нагибина, 57</t>
  </si>
  <si>
    <t>20.02.2013</t>
  </si>
  <si>
    <t>.3268</t>
  </si>
  <si>
    <t>.174872</t>
  </si>
  <si>
    <t>.174024</t>
  </si>
  <si>
    <t>Котельная М.Горького, 111</t>
  </si>
  <si>
    <t>ул. Максима Горького</t>
  </si>
  <si>
    <t>.70613</t>
  </si>
  <si>
    <t>.696983</t>
  </si>
  <si>
    <t>Котельная М.Горького, 42</t>
  </si>
  <si>
    <t>30.09.2019</t>
  </si>
  <si>
    <t>https://portal.eias.ru/Portal/DownloadPage.aspx?type=12&amp;guid=d4372903-fe73-4ee6-8e9a-034b5ff33b57</t>
  </si>
  <si>
    <t>.1608</t>
  </si>
  <si>
    <t>.151055</t>
  </si>
  <si>
    <t>.156721</t>
  </si>
  <si>
    <t>Котельная М.Расковой, 28</t>
  </si>
  <si>
    <t>пер. Расковой</t>
  </si>
  <si>
    <t>.3871</t>
  </si>
  <si>
    <t>.381546</t>
  </si>
  <si>
    <t>Котельная Матросова, 37</t>
  </si>
  <si>
    <t>ул. Матросова</t>
  </si>
  <si>
    <t>37 лит. А</t>
  </si>
  <si>
    <t>606449</t>
  </si>
  <si>
    <t>.327</t>
  </si>
  <si>
    <t>.2648</t>
  </si>
  <si>
    <t>.264685</t>
  </si>
  <si>
    <t>Котельная Минераловодская, 10</t>
  </si>
  <si>
    <t>ул. Минераловодская</t>
  </si>
  <si>
    <t>01.04.2022</t>
  </si>
  <si>
    <t>https://portal.eias.ru/Portal/DownloadPage.aspx?type=12&amp;guid=e00792a6-9379-4e8e-9d09-dd21e57e15f7</t>
  </si>
  <si>
    <t>.082641</t>
  </si>
  <si>
    <t>583932</t>
  </si>
  <si>
    <t>.0857</t>
  </si>
  <si>
    <t>Котельная Монтажная, 3а</t>
  </si>
  <si>
    <t>ул. Монтажная</t>
  </si>
  <si>
    <t>3а</t>
  </si>
  <si>
    <t>583938</t>
  </si>
  <si>
    <t>5.16</t>
  </si>
  <si>
    <t>5.578048</t>
  </si>
  <si>
    <t>61-61/001-61/001/040/2016-5696/3</t>
  </si>
  <si>
    <t>12.08.2016</t>
  </si>
  <si>
    <t>5.398953</t>
  </si>
  <si>
    <t>Котельная Мурлычева, 13/9</t>
  </si>
  <si>
    <t>ул. Мурлычева</t>
  </si>
  <si>
    <t>13/9 лит. Б</t>
  </si>
  <si>
    <t>.166885</t>
  </si>
  <si>
    <t>Котельная Мурлычева, 72/27</t>
  </si>
  <si>
    <t>72/27</t>
  </si>
  <si>
    <t>582277</t>
  </si>
  <si>
    <t>.792</t>
  </si>
  <si>
    <t>.237347</t>
  </si>
  <si>
    <t>Котельная Н.Данченко, 76 А</t>
  </si>
  <si>
    <t>ул. Немировича-Данченко</t>
  </si>
  <si>
    <t>76 А</t>
  </si>
  <si>
    <t>719791</t>
  </si>
  <si>
    <t>17.48</t>
  </si>
  <si>
    <t>16.354706</t>
  </si>
  <si>
    <t>61-61/023-61/001/045/2016-9451/3</t>
  </si>
  <si>
    <t>28.09.2016</t>
  </si>
  <si>
    <t>16.052486</t>
  </si>
  <si>
    <t>Котельная Н.Ополчения, 61</t>
  </si>
  <si>
    <t>ул. Народного Ополчения</t>
  </si>
  <si>
    <t>.56</t>
  </si>
  <si>
    <t>.1373</t>
  </si>
  <si>
    <t>Котельная Нансена, 118а</t>
  </si>
  <si>
    <t>ул. Нансена</t>
  </si>
  <si>
    <t>118а</t>
  </si>
  <si>
    <t>61-61/012-61/001/036/2016-6701/3</t>
  </si>
  <si>
    <t>1.962963</t>
  </si>
  <si>
    <t>606238</t>
  </si>
  <si>
    <t>2.000947</t>
  </si>
  <si>
    <t>Котельная Нансена, 79 А</t>
  </si>
  <si>
    <t>79 лит. А</t>
  </si>
  <si>
    <t>607739</t>
  </si>
  <si>
    <t>.186444</t>
  </si>
  <si>
    <t>61:44:0082703:47-61/001/2017-3</t>
  </si>
  <si>
    <t>.145956</t>
  </si>
  <si>
    <t>Котельная Нефтегорская, 15</t>
  </si>
  <si>
    <t>ул. Нефтегорская</t>
  </si>
  <si>
    <t>61:44:0041015:82-61/001/2017-3</t>
  </si>
  <si>
    <t>.034</t>
  </si>
  <si>
    <t>.0255</t>
  </si>
  <si>
    <t>250598</t>
  </si>
  <si>
    <t>02.08.2011</t>
  </si>
  <si>
    <t>Котельная Обороны, 1</t>
  </si>
  <si>
    <t>ул. Обороны</t>
  </si>
  <si>
    <t>.1053</t>
  </si>
  <si>
    <t>Котельная Объединения, 80/1</t>
  </si>
  <si>
    <t>ул. Объединения</t>
  </si>
  <si>
    <t>80/1в</t>
  </si>
  <si>
    <t>528253</t>
  </si>
  <si>
    <t>25.08.2003</t>
  </si>
  <si>
    <t>.8345</t>
  </si>
  <si>
    <t>61-61/003-61/001/052/2016-8754/3</t>
  </si>
  <si>
    <t>22.11.2016</t>
  </si>
  <si>
    <t>.832237</t>
  </si>
  <si>
    <t>Котельная Орджоникидзе, 30</t>
  </si>
  <si>
    <t>ул. Орджоникидзе</t>
  </si>
  <si>
    <t>.751668</t>
  </si>
  <si>
    <t>1.03</t>
  </si>
  <si>
    <t>09.08.2022</t>
  </si>
  <si>
    <t>https://portal.eias.ru/Portal/DownloadPage.aspx?type=12&amp;guid=4f3e5090-3983-4bf8-bc7b-97e8c937a4be</t>
  </si>
  <si>
    <t>.745659</t>
  </si>
  <si>
    <t>Котельная Орская, 24</t>
  </si>
  <si>
    <t>ул. Орская</t>
  </si>
  <si>
    <t>3.01</t>
  </si>
  <si>
    <t>1.036111</t>
  </si>
  <si>
    <t>762551</t>
  </si>
  <si>
    <t>20.02.2012</t>
  </si>
  <si>
    <t>Котельная Островского, 42б</t>
  </si>
  <si>
    <t>пер. Островского</t>
  </si>
  <si>
    <t>42 б</t>
  </si>
  <si>
    <t>633952</t>
  </si>
  <si>
    <t>1.092482</t>
  </si>
  <si>
    <t>61-61/001-61/001/052/2016-1935/3</t>
  </si>
  <si>
    <t>.910245</t>
  </si>
  <si>
    <t>Котельная Пацаева, 5/6</t>
  </si>
  <si>
    <t>ул. Пацаева</t>
  </si>
  <si>
    <t>5/6</t>
  </si>
  <si>
    <t>125172</t>
  </si>
  <si>
    <t>09.06.2015</t>
  </si>
  <si>
    <t>40.868935</t>
  </si>
  <si>
    <t>61-61/007-61/001/036/2016-4108/3</t>
  </si>
  <si>
    <t>17.06.2016</t>
  </si>
  <si>
    <t>40.048838</t>
  </si>
  <si>
    <t>Котельная Пескова, 1/4, 1/5</t>
  </si>
  <si>
    <t>ул. Пескова</t>
  </si>
  <si>
    <t>1/5</t>
  </si>
  <si>
    <t>30.12.2016</t>
  </si>
  <si>
    <t>https://portal.eias.ru/Portal/DownloadPage.aspx?type=12&amp;guid=755b6a89-6d1e-4221-acc5-ce71eef556be</t>
  </si>
  <si>
    <t>.418556</t>
  </si>
  <si>
    <t>607553</t>
  </si>
  <si>
    <t>.427473</t>
  </si>
  <si>
    <t>Котельная Петрашевского, 20</t>
  </si>
  <si>
    <t>ул. Петрашевского</t>
  </si>
  <si>
    <t>1.87</t>
  </si>
  <si>
    <t>1.505041</t>
  </si>
  <si>
    <t>17.01.2023</t>
  </si>
  <si>
    <t>https://portal.eias.ru/Portal/DownloadPage.aspx?type=12&amp;guid=8c220878-ae0f-4d59-9af9-5dc4200ab49a</t>
  </si>
  <si>
    <t>1.679851</t>
  </si>
  <si>
    <t>Котельная Петрашевского, 34</t>
  </si>
  <si>
    <t>34 лит. А</t>
  </si>
  <si>
    <t>344915</t>
  </si>
  <si>
    <t>.2034</t>
  </si>
  <si>
    <t>Котельная Погодина, 20/4</t>
  </si>
  <si>
    <t>ул. Погодина</t>
  </si>
  <si>
    <t>20/4</t>
  </si>
  <si>
    <t>2.263</t>
  </si>
  <si>
    <t>2.070883</t>
  </si>
  <si>
    <t>31.10.2019</t>
  </si>
  <si>
    <t>https://portal.eias.ru/Portal/DownloadPage.aspx?type=12&amp;guid=0882aade-c8f3-464c-8b2b-5be18eb40b75</t>
  </si>
  <si>
    <t>2.011831</t>
  </si>
  <si>
    <t>Котельная Портовая, 150а</t>
  </si>
  <si>
    <t>ул. Портовая</t>
  </si>
  <si>
    <t>150а лит.А</t>
  </si>
  <si>
    <t>607550</t>
  </si>
  <si>
    <t>1.64288</t>
  </si>
  <si>
    <t>31.10.2018</t>
  </si>
  <si>
    <t>https://portal.eias.ru/Portal/DownloadPage.aspx?type=12&amp;guid=3f22d9cb-ee9e-43c0-8a88-19c3f87a8505</t>
  </si>
  <si>
    <t>1.578244</t>
  </si>
  <si>
    <t>Котельная Портовая, 248</t>
  </si>
  <si>
    <t>.714743</t>
  </si>
  <si>
    <t>https://portal.eias.ru/Portal/DownloadPage.aspx?type=12&amp;guid=c3526a59-1dbb-4688-94e9-0b05e31a6cb7</t>
  </si>
  <si>
    <t>.695232</t>
  </si>
  <si>
    <t>Котельная Профсоюзная, 136в</t>
  </si>
  <si>
    <t>ул. Профсоюзная</t>
  </si>
  <si>
    <t>136 в</t>
  </si>
  <si>
    <t>61-61/043-61/001/040/2016-9465/3</t>
  </si>
  <si>
    <t>.193336</t>
  </si>
  <si>
    <t>582281</t>
  </si>
  <si>
    <t>Котельная Рахманинова, 24</t>
  </si>
  <si>
    <t>ул. Рахманинова</t>
  </si>
  <si>
    <t>291859</t>
  </si>
  <si>
    <t>10.10.2001</t>
  </si>
  <si>
    <t>1.135104</t>
  </si>
  <si>
    <t>61-61/001-61/001/052/2016-8905/3</t>
  </si>
  <si>
    <t>.464562</t>
  </si>
  <si>
    <t>Котельная Республиканская, 136</t>
  </si>
  <si>
    <t>ул. Республиканская</t>
  </si>
  <si>
    <t>61-61/001-61/001/056/2016-5675/3</t>
  </si>
  <si>
    <t>9.89</t>
  </si>
  <si>
    <t>7.68178</t>
  </si>
  <si>
    <t>583936</t>
  </si>
  <si>
    <t>7.821313</t>
  </si>
  <si>
    <t>Котельная Русская, 15</t>
  </si>
  <si>
    <t>ул. Русская</t>
  </si>
  <si>
    <t>.43</t>
  </si>
  <si>
    <t>.235547</t>
  </si>
  <si>
    <t>569, 570</t>
  </si>
  <si>
    <t>31.10.2022</t>
  </si>
  <si>
    <t>https://portal.eias.ru/Portal/DownloadPage.aspx?type=12&amp;guid=fb960e7e-f1a9-4715-82a3-ea466b8eef47</t>
  </si>
  <si>
    <t>.234979</t>
  </si>
  <si>
    <t>Котельная Рыбный, 34</t>
  </si>
  <si>
    <t>пер. Рыбный</t>
  </si>
  <si>
    <t>https://portal.eias.ru/Portal/DownloadPage.aspx?type=12&amp;guid=11082804-7d14-4d7f-9b6f-10627f9b74cf</t>
  </si>
  <si>
    <t>.275167</t>
  </si>
  <si>
    <t>.688</t>
  </si>
  <si>
    <t>.2846</t>
  </si>
  <si>
    <t>.69</t>
  </si>
  <si>
    <t>Котельная Рябышева, 105а</t>
  </si>
  <si>
    <t>ул. Рябышева</t>
  </si>
  <si>
    <t>105а</t>
  </si>
  <si>
    <t>606451</t>
  </si>
  <si>
    <t>3.612</t>
  </si>
  <si>
    <t>2.317008</t>
  </si>
  <si>
    <t>61-61/001-61/001/049/2016-1864/3</t>
  </si>
  <si>
    <t>2.896253</t>
  </si>
  <si>
    <t>Котельная Самаркандская, 70/1</t>
  </si>
  <si>
    <t>ул. Самаркандская</t>
  </si>
  <si>
    <t>70/1</t>
  </si>
  <si>
    <t>344916</t>
  </si>
  <si>
    <t>2.064</t>
  </si>
  <si>
    <t>2.356447</t>
  </si>
  <si>
    <t>2.06</t>
  </si>
  <si>
    <t>61-61/045-61/001/045/2016-9424/3</t>
  </si>
  <si>
    <t>1.894259</t>
  </si>
  <si>
    <t>Котельная Сарьяна, 85/38</t>
  </si>
  <si>
    <t>ул. Сарьяна</t>
  </si>
  <si>
    <t>85/38</t>
  </si>
  <si>
    <t>61-61/015-61/001/055/2016-5232/3</t>
  </si>
  <si>
    <t>.917439</t>
  </si>
  <si>
    <t>103369</t>
  </si>
  <si>
    <t>20.06.2005</t>
  </si>
  <si>
    <t>1.1205</t>
  </si>
  <si>
    <t>Котельная Сейнерная, 35а</t>
  </si>
  <si>
    <t>ул. Сейнерная</t>
  </si>
  <si>
    <t>61-61/033-61/001/049/2016-1880/3</t>
  </si>
  <si>
    <t>.672934</t>
  </si>
  <si>
    <t>583922</t>
  </si>
  <si>
    <t>.6872</t>
  </si>
  <si>
    <t>Котельная Серафимовича, 40</t>
  </si>
  <si>
    <t>.327324</t>
  </si>
  <si>
    <t>.32477</t>
  </si>
  <si>
    <t>.67</t>
  </si>
  <si>
    <t>.313887</t>
  </si>
  <si>
    <t>.303483</t>
  </si>
  <si>
    <t>Котельная Соборный, 94</t>
  </si>
  <si>
    <t>пер. Соборный</t>
  </si>
  <si>
    <t>94б</t>
  </si>
  <si>
    <t>61-61/001-61/001/052/2016-8612/3</t>
  </si>
  <si>
    <t>3.621386</t>
  </si>
  <si>
    <t>428481</t>
  </si>
  <si>
    <t>3.726849</t>
  </si>
  <si>
    <t>Котельная Советская, 16</t>
  </si>
  <si>
    <t>ул. Советская</t>
  </si>
  <si>
    <t>632140</t>
  </si>
  <si>
    <t>03.12.2013</t>
  </si>
  <si>
    <t>.16</t>
  </si>
  <si>
    <t>.2276</t>
  </si>
  <si>
    <t>61-61/001-61/001/055/2016-5395/3</t>
  </si>
  <si>
    <t>09.12.2016</t>
  </si>
  <si>
    <t>Котельная Стачки, 3</t>
  </si>
  <si>
    <t>пр-кт. Стачки</t>
  </si>
  <si>
    <t>583925</t>
  </si>
  <si>
    <t>.926756</t>
  </si>
  <si>
    <t>30.04.2021</t>
  </si>
  <si>
    <t>https://portal.eias.ru/Portal/DownloadPage.aspx?type=12&amp;guid=350e8aca-109b-409a-8ab7-1fcd1b0ceda3</t>
  </si>
  <si>
    <t>.914318</t>
  </si>
  <si>
    <t>Котельная Стр.Советов, 22а</t>
  </si>
  <si>
    <t>пл. Страны Советов</t>
  </si>
  <si>
    <t>22а</t>
  </si>
  <si>
    <t>61-61/001-61/001/052/2016-486/3</t>
  </si>
  <si>
    <t>1.184193</t>
  </si>
  <si>
    <t>428480</t>
  </si>
  <si>
    <t>1.201976</t>
  </si>
  <si>
    <t>Котельная Таганрогская, 132/6</t>
  </si>
  <si>
    <t>132/6</t>
  </si>
  <si>
    <t>1282/1-0/14</t>
  </si>
  <si>
    <t>10.10.2014</t>
  </si>
  <si>
    <t>.207268</t>
  </si>
  <si>
    <t>https://portal.eias.ru/Portal/DownloadPage.aspx?type=12&amp;guid=e71bd40f-9722-4f9b-a521-08b03f4abb7f</t>
  </si>
  <si>
    <t>61:44:0080307:87-61/197/2024-25</t>
  </si>
  <si>
    <t>21.06.2024</t>
  </si>
  <si>
    <t>.189262</t>
  </si>
  <si>
    <t>61-61/048-61/001/036/2016-9196/3</t>
  </si>
  <si>
    <t>14.07.2016</t>
  </si>
  <si>
    <t>24.92</t>
  </si>
  <si>
    <t>7.676406</t>
  </si>
  <si>
    <t>593090</t>
  </si>
  <si>
    <t>14.358099</t>
  </si>
  <si>
    <t>Котельная Тельмана, 49/68</t>
  </si>
  <si>
    <t>ул. Тельмана</t>
  </si>
  <si>
    <t>49/68</t>
  </si>
  <si>
    <t>345868</t>
  </si>
  <si>
    <t>1.44</t>
  </si>
  <si>
    <t>.703917</t>
  </si>
  <si>
    <t>61-61/020-61/001/055/2016-5312/3</t>
  </si>
  <si>
    <t>.703191</t>
  </si>
  <si>
    <t>Котельная Тихий, 4</t>
  </si>
  <si>
    <t>пер. Тихий</t>
  </si>
  <si>
    <t>61-61/031-61/001/045/2016-9576/3</t>
  </si>
  <si>
    <t>26.09.2016</t>
  </si>
  <si>
    <t>10.523901</t>
  </si>
  <si>
    <t>583923</t>
  </si>
  <si>
    <t>8.948942</t>
  </si>
  <si>
    <t>Котельная Толстого, 3-5</t>
  </si>
  <si>
    <t>пл. Толстого</t>
  </si>
  <si>
    <t>3-5</t>
  </si>
  <si>
    <t>618357</t>
  </si>
  <si>
    <t>09.01.2004</t>
  </si>
  <si>
    <t>.951422</t>
  </si>
  <si>
    <t>61-61/006-61/001/055/2016-2477/3</t>
  </si>
  <si>
    <t>.844681</t>
  </si>
  <si>
    <t>Котельная Тоннельная, 13</t>
  </si>
  <si>
    <t>ул. Тоннельная</t>
  </si>
  <si>
    <t>960321</t>
  </si>
  <si>
    <t>24.03.2015</t>
  </si>
  <si>
    <t>.253467</t>
  </si>
  <si>
    <t>.33</t>
  </si>
  <si>
    <t>139, 140</t>
  </si>
  <si>
    <t>https://portal.eias.ru/Portal/DownloadPage.aspx?type=12&amp;guid=3529c63d-148e-44e4-be9f-3dfab580171c</t>
  </si>
  <si>
    <t>.244082</t>
  </si>
  <si>
    <t>61-61/012-61/001/045/2016-9470/3</t>
  </si>
  <si>
    <t>3.12</t>
  </si>
  <si>
    <t>606446</t>
  </si>
  <si>
    <t>2.087725</t>
  </si>
  <si>
    <t>Котельная Троллейбусная, 2</t>
  </si>
  <si>
    <t>ул. Троллейбусная</t>
  </si>
  <si>
    <t>61-61/015-61/001/049/2016-4443/3</t>
  </si>
  <si>
    <t>4.643</t>
  </si>
  <si>
    <t>2.883005</t>
  </si>
  <si>
    <t>667702</t>
  </si>
  <si>
    <t>6.344</t>
  </si>
  <si>
    <t>3.451687</t>
  </si>
  <si>
    <t>61:44:0000000:41866-61/183/2022-2</t>
  </si>
  <si>
    <t>19.10.2022</t>
  </si>
  <si>
    <t>77.5</t>
  </si>
  <si>
    <t>31.633595</t>
  </si>
  <si>
    <t>https://portal.eias.ru/Portal/DownloadPage.aspx?type=12&amp;guid=1509229f-83ed-432a-90fe-e9ec723a584d</t>
  </si>
  <si>
    <t>1782</t>
  </si>
  <si>
    <t>11.10.2022</t>
  </si>
  <si>
    <t>35.973204</t>
  </si>
  <si>
    <t>Котельная Урицкого, 65</t>
  </si>
  <si>
    <t>пер. Урицкого</t>
  </si>
  <si>
    <t>61:44:0061202:677-61/001/2017-3</t>
  </si>
  <si>
    <t>.645</t>
  </si>
  <si>
    <t>.3633</t>
  </si>
  <si>
    <t>345887</t>
  </si>
  <si>
    <t>03.08.2011</t>
  </si>
  <si>
    <t>.7514</t>
  </si>
  <si>
    <t>Котельная Урожайная, 2/179</t>
  </si>
  <si>
    <t>ул. Урожайная</t>
  </si>
  <si>
    <t>2/179</t>
  </si>
  <si>
    <t>61-61/029-61/001/049/2016-1937/3</t>
  </si>
  <si>
    <t>1.253226</t>
  </si>
  <si>
    <t>667666</t>
  </si>
  <si>
    <t>1.369033</t>
  </si>
  <si>
    <t>Котельная Фурмановская, 82</t>
  </si>
  <si>
    <t>ул. Фурмановская</t>
  </si>
  <si>
    <t>.189131</t>
  </si>
  <si>
    <t>.1973</t>
  </si>
  <si>
    <t>Котельная Чаленко, 21</t>
  </si>
  <si>
    <t>ул. Чаленко</t>
  </si>
  <si>
    <t>1111</t>
  </si>
  <si>
    <t>26.03.2019</t>
  </si>
  <si>
    <t>https://portal.eias.ru/Portal/DownloadPage.aspx?type=12&amp;guid=7da57ec2-aaf1-4a77-9939-921e883809c6</t>
  </si>
  <si>
    <t>8.942</t>
  </si>
  <si>
    <t>6.022472</t>
  </si>
  <si>
    <t>8.94</t>
  </si>
  <si>
    <t>31.12.2019</t>
  </si>
  <si>
    <t>https://portal.eias.ru/Portal/DownloadPage.aspx?type=12&amp;guid=69b0063d-079e-4321-9b41-48a594f6443c</t>
  </si>
  <si>
    <t>8.732615</t>
  </si>
  <si>
    <t>Котельная Ченцова, 71б</t>
  </si>
  <si>
    <t>ул. Ченцова</t>
  </si>
  <si>
    <t>71б</t>
  </si>
  <si>
    <t>61-61/032-61/001/036/2016-9172/3</t>
  </si>
  <si>
    <t>11.07.2016</t>
  </si>
  <si>
    <t>13.76</t>
  </si>
  <si>
    <t>9.763996</t>
  </si>
  <si>
    <t>961192</t>
  </si>
  <si>
    <t>26.03.2015</t>
  </si>
  <si>
    <t>10.47668</t>
  </si>
  <si>
    <t>Котельная Чехова, 6-8</t>
  </si>
  <si>
    <t>ул. Чехова</t>
  </si>
  <si>
    <t>6-8</t>
  </si>
  <si>
    <t>61-61/020-61/001/055/2016-2430/3</t>
  </si>
  <si>
    <t>.51</t>
  </si>
  <si>
    <t>.346331</t>
  </si>
  <si>
    <t>077203</t>
  </si>
  <si>
    <t>14.05.2015</t>
  </si>
  <si>
    <t>.34681</t>
  </si>
  <si>
    <t>Котельная Шеболдаева, 4д</t>
  </si>
  <si>
    <t>ул. Шеболдаева</t>
  </si>
  <si>
    <t>4д</t>
  </si>
  <si>
    <t>147335</t>
  </si>
  <si>
    <t>24.06.2005</t>
  </si>
  <si>
    <t>3.813992</t>
  </si>
  <si>
    <t>61-61/001-61/001/052/2016-8587/3</t>
  </si>
  <si>
    <t>5.358362</t>
  </si>
  <si>
    <t>Котельная Шеболдаева, 97</t>
  </si>
  <si>
    <t>3294</t>
  </si>
  <si>
    <t>22.11.2005</t>
  </si>
  <si>
    <t>.75</t>
  </si>
  <si>
    <t>.422852</t>
  </si>
  <si>
    <t>5.59</t>
  </si>
  <si>
    <t>.640712</t>
  </si>
  <si>
    <t>61-61/015-61/001/055/2016-5218/3</t>
  </si>
  <si>
    <t>2.188552</t>
  </si>
  <si>
    <t>487309</t>
  </si>
  <si>
    <t>12.04.2002</t>
  </si>
  <si>
    <t>2.473501</t>
  </si>
  <si>
    <t>Котельная Шолохова, 214</t>
  </si>
  <si>
    <t>.2788</t>
  </si>
  <si>
    <t>61-61/043-61/001/011/2016-10928/3</t>
  </si>
  <si>
    <t>69.51</t>
  </si>
  <si>
    <t>28.432205</t>
  </si>
  <si>
    <t>309418</t>
  </si>
  <si>
    <t>11.05.2001</t>
  </si>
  <si>
    <t>36.295285</t>
  </si>
  <si>
    <t>Котельная Штахановского, 23</t>
  </si>
  <si>
    <t>ул. Штахановского</t>
  </si>
  <si>
    <t>61-61/001-61/001/055/2016-5279/3</t>
  </si>
  <si>
    <t>.644387</t>
  </si>
  <si>
    <t>125173</t>
  </si>
  <si>
    <t>.6584</t>
  </si>
  <si>
    <t>Котельная листопадова, 42</t>
  </si>
  <si>
    <t>ул. Листопадова</t>
  </si>
  <si>
    <t>1.06</t>
  </si>
  <si>
    <t>.662005</t>
  </si>
  <si>
    <t>.7058</t>
  </si>
  <si>
    <t>Котельная пл. Рабочая, 16</t>
  </si>
  <si>
    <t>пл. Рабочая</t>
  </si>
  <si>
    <t>https://portal.eias.ru/Portal/DownloadPage.aspx?type=12&amp;guid=26ec9863-7e42-4dc4-9f95-c967fd26f760</t>
  </si>
  <si>
    <t>59.30-02-11/877</t>
  </si>
  <si>
    <t>02.11.2024</t>
  </si>
  <si>
    <t>7.544</t>
  </si>
  <si>
    <t>6.874666</t>
  </si>
  <si>
    <t>398-3</t>
  </si>
  <si>
    <t>02.08.2019</t>
  </si>
  <si>
    <t>https://portal.eias.ru/Portal/DownloadPage.aspx?type=12&amp;guid=14096b4e-b127-41c8-9d1d-ef47faec8cca</t>
  </si>
  <si>
    <t>6.45</t>
  </si>
  <si>
    <t>8.143181</t>
  </si>
  <si>
    <t>Котельная с вытяжной башней пр. 40-летия Победы, 13а литер Б</t>
  </si>
  <si>
    <t>пр-кт 40-летия Победы</t>
  </si>
  <si>
    <t>13а лит. Б</t>
  </si>
  <si>
    <t>61:44:0030402:1036-61/001/2018-2</t>
  </si>
  <si>
    <t>05.02.2018</t>
  </si>
  <si>
    <t>6.16</t>
  </si>
  <si>
    <t>5.443257</t>
  </si>
  <si>
    <t>6.911685</t>
  </si>
  <si>
    <t>Левобережная,4а</t>
  </si>
  <si>
    <t>ул. Левобережная</t>
  </si>
  <si>
    <t>4а</t>
  </si>
  <si>
    <t>16.77</t>
  </si>
  <si>
    <t>12.104</t>
  </si>
  <si>
    <t>61:44:0041316:90-61/001/2017-1</t>
  </si>
  <si>
    <t>16.11.2017</t>
  </si>
  <si>
    <t>4.71</t>
  </si>
  <si>
    <t>Передвижная дизельная котельная</t>
  </si>
  <si>
    <t>[Дизельное топливо Е (межсезонное)]</t>
  </si>
  <si>
    <t>[Дизельное топливо З (зимнее)]</t>
  </si>
  <si>
    <t>Тепловые сети от Генерации ООО "Ростесельмашэнерго"</t>
  </si>
  <si>
    <t>сеть</t>
  </si>
  <si>
    <t>тепловые сети пос. Сельмаш</t>
  </si>
  <si>
    <t>8.215619</t>
  </si>
  <si>
    <t>8.086798</t>
  </si>
  <si>
    <t>Территория бывшего аэродрома ДОСААФ (9.сп.19)</t>
  </si>
  <si>
    <t>б-р. Платова</t>
  </si>
  <si>
    <t>1.668</t>
  </si>
  <si>
    <t>1.489146</t>
  </si>
  <si>
    <t>03.04.217</t>
  </si>
  <si>
    <t>https://portal.eias.ru/Portal/DownloadPage.aspx?type=12&amp;guid=dc7c656a-742d-4acd-a938-87886c01645b</t>
  </si>
  <si>
    <t>Энергетиков, 3а</t>
  </si>
  <si>
    <t>пер. Энергетиков</t>
  </si>
  <si>
    <t>.387</t>
  </si>
  <si>
    <t>.413483</t>
  </si>
  <si>
    <t>507</t>
  </si>
  <si>
    <t>23.12.2016</t>
  </si>
  <si>
    <t>https://portal.eias.ru/Portal/DownloadPage.aspx?type=12&amp;guid=a7f03292-b0d9-4ec0-9be5-aeda54c83bc6</t>
  </si>
  <si>
    <t>.397855</t>
  </si>
  <si>
    <t>котельная 27-я линия, 18а</t>
  </si>
  <si>
    <t>27 линия</t>
  </si>
  <si>
    <t>18а</t>
  </si>
  <si>
    <t>61-61/027-61/001/039/2016-7237/2</t>
  </si>
  <si>
    <t>13.09.2016</t>
  </si>
  <si>
    <t>2.228</t>
  </si>
  <si>
    <t>1.565391</t>
  </si>
  <si>
    <t>05.09.2016</t>
  </si>
  <si>
    <t>2.115</t>
  </si>
  <si>
    <t>3.070587</t>
  </si>
  <si>
    <t>61:44:0021017:287-61/033/2018-8</t>
  </si>
  <si>
    <t>24.12.2018</t>
  </si>
  <si>
    <t>59.96</t>
  </si>
  <si>
    <t>58.336439</t>
  </si>
  <si>
    <t>https://portal.eias.ru/Portal/DownloadPage.aspx?type=12&amp;guid=3a7299d9-9549-433a-b537-b5ccf279816f</t>
  </si>
  <si>
    <t>19.12.2018</t>
  </si>
  <si>
    <t>51.6</t>
  </si>
  <si>
    <t>73.411408</t>
  </si>
  <si>
    <t>котельная Стрелковая, 61 Б</t>
  </si>
  <si>
    <t>ул. Стрелковая</t>
  </si>
  <si>
    <t>61 Б</t>
  </si>
  <si>
    <t>20.64</t>
  </si>
  <si>
    <t>24.845083</t>
  </si>
  <si>
    <t>https://portal.eias.ru/Portal/DownloadPage.aspx?type=12&amp;guid=62b326ee-ee5d-4c32-bb24-b2152f6b9f31</t>
  </si>
  <si>
    <t>440-7</t>
  </si>
  <si>
    <t>08.11.2019</t>
  </si>
  <si>
    <t>24.436</t>
  </si>
  <si>
    <t>21.385086</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</si>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</sst>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r9="http://schemas.microsoft.com/office/spreadsheetml/2016/revision9" mc:Ignorable="xr9">
  <numFmts count="14">
    <numFmt numFmtId="176" formatCode="_-* #\ ##0.00\ _₽_-;\-* #\ ##0.00\ _₽_-;_-* &quot;-&quot;??\ _₽_-;_-@_-"/>
    <numFmt numFmtId="177" formatCode="_-* #\ ##0.00\ &quot;₽&quot;_-;\-* #\ ##0.00\ &quot;₽&quot;_-;_-* &quot;-&quot;??\ &quot;₽&quot;_-;_-@_-"/>
    <numFmt numFmtId="178" formatCode="_-* #\ ##0\ _₽_-;\-* #\ ##0\ _₽_-;_-* &quot;-&quot;\ _₽_-;_-@_-"/>
    <numFmt numFmtId="179" formatCode="_-* #\ ##0\ &quot;₽&quot;_-;\-* #\ ##0\ &quot;₽&quot;_-;_-* &quot;-&quot;\ &quot;₽&quot;_-;_-@_-"/>
    <numFmt numFmtId="180" formatCode="_-* #\ ##0.00[$€-1]_-;\-* #\ ##0.00[$€-1]_-;_-* &quot;-&quot;??[$€-1]_-"/>
    <numFmt numFmtId="181" formatCode="#\ ##0;[Red]\-#\ ##0"/>
    <numFmt numFmtId="182" formatCode="#\ ##0.0"/>
    <numFmt numFmtId="183" formatCode="#\ ##0.000"/>
    <numFmt numFmtId="184" formatCode="#\ ##0.0000"/>
    <numFmt numFmtId="185" formatCode="#\ ##0.00"/>
    <numFmt numFmtId="186" formatCode="dd\.mm\.yyyy"/>
    <numFmt numFmtId="187" formatCode="#\ ##0"/>
    <numFmt numFmtId="188" formatCode="000000"/>
    <numFmt numFmtId="189" formatCode="h:mm;@"/>
  </numFmts>
  <fonts count="132">
    <font>
      <sz val="9"/>
      <color rgb="FF000000"/>
      <name val="Tahoma"/>
      <charset val="134"/>
    </font>
    <font>
      <b/>
      <u/>
      <sz val="9"/>
      <name val="Tahoma"/>
      <charset val="134"/>
    </font>
    <font>
      <sz val="10"/>
      <name val="Tahoma"/>
      <charset val="134"/>
    </font>
    <font>
      <b/>
      <sz val="9"/>
      <name val="Tahoma"/>
      <charset val="134"/>
    </font>
    <font>
      <sz val="9"/>
      <name val="Tahoma"/>
      <charset val="134"/>
    </font>
    <font>
      <sz val="10"/>
      <name val="Arial Cyr"/>
      <charset val="134"/>
    </font>
    <font>
      <sz val="11"/>
      <color theme="1"/>
      <name val="Calibri"/>
      <charset val="134"/>
      <scheme val="minor"/>
    </font>
    <font>
      <sz val="1"/>
      <name val="Tahoma"/>
      <charset val="134"/>
    </font>
    <font>
      <sz val="9"/>
      <color theme="0"/>
      <name val="Tahoma"/>
      <charset val="134"/>
    </font>
    <font>
      <sz val="11"/>
      <name val="Webdings2"/>
      <charset val="134"/>
    </font>
    <font>
      <sz val="1"/>
      <color theme="0"/>
      <name val="Tahoma"/>
      <charset val="134"/>
    </font>
    <font>
      <sz val="11"/>
      <color rgb="FFBCBCBC"/>
      <name val="Wingdings 2"/>
      <charset val="134"/>
    </font>
    <font>
      <sz val="1"/>
      <name val="Webdings2"/>
      <charset val="134"/>
    </font>
    <font>
      <sz val="1"/>
      <color theme="0"/>
      <name val="Webdings2"/>
      <charset val="134"/>
    </font>
    <font>
      <sz val="1"/>
      <color rgb="FFBCBCBC"/>
      <name val="Tahoma"/>
      <charset val="134"/>
    </font>
    <font>
      <sz val="11"/>
      <name val="Wingdings 2"/>
      <charset val="134"/>
    </font>
    <font>
      <b/>
      <sz val="9"/>
      <color rgb="FF000080"/>
      <name val="Tahoma"/>
      <charset val="134"/>
    </font>
    <font>
      <sz val="9"/>
      <color rgb="FF000080"/>
      <name val="Tahoma"/>
      <charset val="134"/>
    </font>
    <font>
      <b/>
      <sz val="1"/>
      <color rgb="FF000080"/>
      <name val="Tahoma"/>
      <charset val="134"/>
    </font>
    <font>
      <sz val="1"/>
      <color rgb="FF000080"/>
      <name val="Tahoma"/>
      <charset val="134"/>
    </font>
    <font>
      <sz val="9"/>
      <color rgb="FFFFFFFF"/>
      <name val="Tahoma"/>
      <charset val="134"/>
    </font>
    <font>
      <sz val="1"/>
      <color rgb="FF000000"/>
      <name val="Tahoma"/>
      <charset val="134"/>
    </font>
    <font>
      <sz val="15"/>
      <color rgb="FF000000"/>
      <name val="Tahoma"/>
      <charset val="134"/>
    </font>
    <font>
      <sz val="8"/>
      <name val="Tahoma"/>
      <charset val="134"/>
    </font>
    <font>
      <sz val="7"/>
      <color rgb="FF000000"/>
      <name val="Tahoma"/>
      <charset val="134"/>
    </font>
    <font>
      <sz val="7"/>
      <name val="Tahoma"/>
      <charset val="134"/>
    </font>
    <font>
      <sz val="3"/>
      <name val="Tahoma"/>
      <charset val="134"/>
    </font>
    <font>
      <sz val="9"/>
      <color rgb="FFBCBCBC"/>
      <name val="Tahoma"/>
      <charset val="134"/>
    </font>
    <font>
      <sz val="12"/>
      <name val="Marlett"/>
      <charset val="134"/>
    </font>
    <font>
      <sz val="18"/>
      <color rgb="FF000000"/>
      <name val="Tahoma"/>
      <charset val="134"/>
    </font>
    <font>
      <sz val="9"/>
      <color rgb="FF333399"/>
      <name val="Tahoma"/>
      <charset val="134"/>
    </font>
    <font>
      <sz val="5"/>
      <color rgb="FFFF0000"/>
      <name val="Tahoma"/>
      <charset val="134"/>
    </font>
    <font>
      <sz val="9"/>
      <color theme="1"/>
      <name val="Tahoma"/>
      <charset val="134"/>
    </font>
    <font>
      <b/>
      <sz val="9"/>
      <color rgb="FF0070C0"/>
      <name val="Tahoma"/>
      <charset val="134"/>
    </font>
    <font>
      <sz val="12"/>
      <color theme="0"/>
      <name val="Tahoma"/>
      <charset val="134"/>
    </font>
    <font>
      <sz val="12"/>
      <color rgb="FF000000"/>
      <name val="Tahoma"/>
      <charset val="134"/>
    </font>
    <font>
      <b/>
      <sz val="9"/>
      <color rgb="FF000000"/>
      <name val="Tahoma"/>
      <charset val="134"/>
    </font>
    <font>
      <sz val="8"/>
      <color rgb="FFFFFFFF"/>
      <name val="Tahoma"/>
      <charset val="134"/>
    </font>
    <font>
      <sz val="8"/>
      <color theme="0"/>
      <name val="Tahoma"/>
      <charset val="134"/>
    </font>
    <font>
      <b/>
      <sz val="8"/>
      <color theme="0"/>
      <name val="Wingdings 2"/>
      <charset val="134"/>
    </font>
    <font>
      <b/>
      <sz val="8"/>
      <color rgb="FFC0C0C0"/>
      <name val="Wingdings 2"/>
      <charset val="134"/>
    </font>
    <font>
      <sz val="8"/>
      <color rgb="FF000080"/>
      <name val="Tahoma"/>
      <charset val="134"/>
    </font>
    <font>
      <sz val="11"/>
      <color theme="0"/>
      <name val="Tahoma"/>
      <charset val="134"/>
    </font>
    <font>
      <sz val="18"/>
      <name val="Tahoma"/>
      <charset val="134"/>
    </font>
    <font>
      <b/>
      <sz val="9"/>
      <color rgb="FFFFFFFF"/>
      <name val="Tahoma"/>
      <charset val="134"/>
    </font>
    <font>
      <u/>
      <sz val="9"/>
      <color rgb="FF333399"/>
      <name val="Tahoma"/>
      <charset val="134"/>
    </font>
    <font>
      <b/>
      <u/>
      <sz val="9"/>
      <color rgb="FF000080"/>
      <name val="Tahoma"/>
      <charset val="134"/>
    </font>
    <font>
      <sz val="18"/>
      <color theme="0"/>
      <name val="Tahoma"/>
      <charset val="134"/>
    </font>
    <font>
      <u/>
      <sz val="9"/>
      <name val="Tahoma"/>
      <charset val="134"/>
    </font>
    <font>
      <sz val="8"/>
      <color rgb="FFBCBCBC"/>
      <name val="Tahoma"/>
      <charset val="134"/>
    </font>
    <font>
      <sz val="3"/>
      <color rgb="FF000000"/>
      <name val="Tahoma"/>
      <charset val="134"/>
    </font>
    <font>
      <sz val="14"/>
      <color rgb="FFBCBCBC"/>
      <name val="Calibri"/>
      <charset val="134"/>
    </font>
    <font>
      <b/>
      <sz val="3"/>
      <name val="Tahoma"/>
      <charset val="134"/>
    </font>
    <font>
      <sz val="7"/>
      <color theme="0" tint="-0.5"/>
      <name val="Tahoma"/>
      <charset val="134"/>
    </font>
    <font>
      <sz val="15"/>
      <color theme="0"/>
      <name val="Tahoma"/>
      <charset val="134"/>
    </font>
    <font>
      <b/>
      <sz val="10"/>
      <name val="Tahoma"/>
      <charset val="134"/>
    </font>
    <font>
      <sz val="10"/>
      <color rgb="FF000000"/>
      <name val="Arial"/>
      <charset val="134"/>
    </font>
    <font>
      <sz val="9"/>
      <color rgb="FFFF0000"/>
      <name val="Tahoma"/>
      <charset val="134"/>
    </font>
    <font>
      <sz val="12"/>
      <name val="Tahoma"/>
      <charset val="134"/>
    </font>
    <font>
      <sz val="15"/>
      <name val="Tahoma"/>
      <charset val="134"/>
    </font>
    <font>
      <u/>
      <sz val="1"/>
      <color rgb="FF333399"/>
      <name val="Tahoma"/>
      <charset val="134"/>
    </font>
    <font>
      <sz val="19"/>
      <color theme="0"/>
      <name val="Tahoma"/>
      <charset val="134"/>
    </font>
    <font>
      <b/>
      <sz val="1"/>
      <color theme="0"/>
      <name val="Tahoma"/>
      <charset val="134"/>
    </font>
    <font>
      <sz val="1"/>
      <color rgb="FFFFFFFF"/>
      <name val="Tahoma"/>
      <charset val="134"/>
    </font>
    <font>
      <b/>
      <sz val="9"/>
      <color rgb="FFCC0000"/>
      <name val="Tahoma"/>
      <charset val="134"/>
    </font>
    <font>
      <b/>
      <sz val="1"/>
      <name val="Tahoma"/>
      <charset val="134"/>
    </font>
    <font>
      <sz val="1"/>
      <color rgb="FFFF0000"/>
      <name val="Tahoma"/>
      <charset val="134"/>
    </font>
    <font>
      <sz val="11"/>
      <color theme="0"/>
      <name val="Webdings2"/>
      <charset val="134"/>
    </font>
    <font>
      <sz val="11"/>
      <color theme="0"/>
      <name val="Wingdings 2"/>
      <charset val="134"/>
    </font>
    <font>
      <sz val="1"/>
      <color theme="0"/>
      <name val="Wingdings 2"/>
      <charset val="134"/>
    </font>
    <font>
      <sz val="9"/>
      <color theme="0"/>
      <name val="Webdings2"/>
      <charset val="134"/>
    </font>
    <font>
      <sz val="3"/>
      <color rgb="FFFFFFFF"/>
      <name val="Tahoma"/>
      <charset val="134"/>
    </font>
    <font>
      <sz val="3"/>
      <color rgb="FFBCBCBC"/>
      <name val="Tahoma"/>
      <charset val="134"/>
    </font>
    <font>
      <sz val="3"/>
      <color theme="0"/>
      <name val="Tahoma"/>
      <charset val="134"/>
    </font>
    <font>
      <sz val="9"/>
      <color rgb="FF0066CC"/>
      <name val="Tahoma"/>
      <charset val="134"/>
    </font>
    <font>
      <b/>
      <sz val="10"/>
      <color theme="1"/>
      <name val="Tahoma"/>
      <charset val="134"/>
    </font>
    <font>
      <sz val="10"/>
      <color theme="1"/>
      <name val="Tahoma"/>
      <charset val="134"/>
    </font>
    <font>
      <sz val="9"/>
      <name val="Wingdings 2"/>
      <charset val="134"/>
    </font>
    <font>
      <sz val="9"/>
      <color rgb="FFFFFFFF"/>
      <name val="Wingdings 2"/>
      <charset val="134"/>
    </font>
    <font>
      <b/>
      <sz val="11"/>
      <color rgb="FF000000"/>
      <name val="Calibri"/>
      <charset val="134"/>
    </font>
    <font>
      <b/>
      <sz val="1"/>
      <color theme="0"/>
      <name val="Calibri"/>
      <charset val="134"/>
    </font>
    <font>
      <sz val="11"/>
      <color rgb="FF000000"/>
      <name val="Calibri"/>
      <charset val="134"/>
    </font>
    <font>
      <b/>
      <sz val="11"/>
      <color theme="0"/>
      <name val="Calibri"/>
      <charset val="134"/>
    </font>
    <font>
      <b/>
      <sz val="9"/>
      <name val="Calibri"/>
      <charset val="134"/>
    </font>
    <font>
      <sz val="9"/>
      <color rgb="FFBCBCBC"/>
      <name val="Wingdings 2"/>
      <charset val="134"/>
    </font>
    <font>
      <sz val="5"/>
      <color theme="0"/>
      <name val="Tahoma"/>
      <charset val="134"/>
    </font>
    <font>
      <sz val="9"/>
      <color rgb="FFCC0000"/>
      <name val="Tahoma"/>
      <charset val="134"/>
    </font>
    <font>
      <sz val="11"/>
      <color rgb="FF000000"/>
      <name val="Tahoma"/>
      <charset val="134"/>
    </font>
    <font>
      <sz val="3"/>
      <color rgb="FFCC0000"/>
      <name val="Tahoma"/>
      <charset val="134"/>
    </font>
    <font>
      <sz val="16"/>
      <name val="Tahoma"/>
      <charset val="134"/>
    </font>
    <font>
      <sz val="3"/>
      <color rgb="FF993300"/>
      <name val="Tahoma"/>
      <charset val="134"/>
    </font>
    <font>
      <sz val="16"/>
      <color rgb="FFFFFFFF"/>
      <name val="Tahoma"/>
      <charset val="134"/>
    </font>
    <font>
      <u/>
      <sz val="9"/>
      <color rgb="FF000080"/>
      <name val="Tahoma"/>
      <charset val="134"/>
    </font>
    <font>
      <sz val="7"/>
      <color rgb="FFFFFFFF"/>
      <name val="Tahoma"/>
      <charset val="134"/>
    </font>
    <font>
      <b/>
      <sz val="9"/>
      <color theme="0"/>
      <name val="Tahoma"/>
      <charset val="134"/>
    </font>
    <font>
      <u/>
      <sz val="9"/>
      <color theme="10"/>
      <name val="Tahoma"/>
      <charset val="134"/>
    </font>
    <font>
      <b/>
      <u/>
      <sz val="11"/>
      <color rgb="FF0000FF"/>
      <name val="Tahoma"/>
      <charset val="134"/>
    </font>
    <font>
      <u/>
      <sz val="20"/>
      <color rgb="FF003366"/>
      <name val="Tahoma"/>
      <charset val="134"/>
    </font>
    <font>
      <b/>
      <sz val="10"/>
      <color rgb="FF000000"/>
      <name val="Tahoma"/>
      <charset val="134"/>
    </font>
    <font>
      <sz val="10"/>
      <color rgb="FF000000"/>
      <name val="Tahoma"/>
      <charset val="134"/>
    </font>
    <font>
      <sz val="11"/>
      <color rgb="FFFFFFFF"/>
      <name val="Tahoma"/>
      <charset val="134"/>
    </font>
    <font>
      <sz val="11"/>
      <color rgb="FF000000"/>
      <name val="Marlett"/>
      <charset val="134"/>
    </font>
    <font>
      <sz val="11"/>
      <color indexed="0"/>
      <name val="Calibri"/>
      <charset val="134"/>
    </font>
    <font>
      <u/>
      <sz val="9"/>
      <color theme="11"/>
      <name val="Tahoma"/>
      <charset val="134"/>
    </font>
    <font>
      <sz val="11"/>
      <color rgb="FFFF0000"/>
      <name val="Calibri"/>
      <charset val="134"/>
      <scheme val="minor"/>
    </font>
    <font>
      <sz val="18"/>
      <color theme="3"/>
      <name val="Cambria"/>
      <charset val="134"/>
      <scheme val="major"/>
    </font>
    <font>
      <i/>
      <sz val="11"/>
      <color rgb="FF7F7F7F"/>
      <name val="Calibri"/>
      <charset val="134"/>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134"/>
      <scheme val="minor"/>
    </font>
    <font>
      <b/>
      <sz val="11"/>
      <color rgb="FF3F3F3F"/>
      <name val="Calibri"/>
      <charset val="134"/>
      <scheme val="minor"/>
    </font>
    <font>
      <b/>
      <sz val="11"/>
      <color rgb="FFFA7D00"/>
      <name val="Calibri"/>
      <charset val="134"/>
      <scheme val="minor"/>
    </font>
    <font>
      <b/>
      <sz val="11"/>
      <color theme="0"/>
      <name val="Calibri"/>
      <charset val="134"/>
      <scheme val="minor"/>
    </font>
    <font>
      <sz val="11"/>
      <color rgb="FFFA7D00"/>
      <name val="Calibri"/>
      <charset val="134"/>
      <scheme val="minor"/>
    </font>
    <font>
      <b/>
      <sz val="11"/>
      <color theme="1"/>
      <name val="Calibri"/>
      <charset val="134"/>
      <scheme val="minor"/>
    </font>
    <font>
      <sz val="11"/>
      <color rgb="FF006100"/>
      <name val="Calibri"/>
      <charset val="134"/>
      <scheme val="minor"/>
    </font>
    <font>
      <sz val="11"/>
      <color rgb="FF9C0006"/>
      <name val="Calibri"/>
      <charset val="134"/>
      <scheme val="minor"/>
    </font>
    <font>
      <sz val="11"/>
      <color rgb="FF9C5700"/>
      <name val="Calibri"/>
      <charset val="134"/>
      <scheme val="minor"/>
    </font>
    <font>
      <sz val="11"/>
      <color theme="0"/>
      <name val="Calibri"/>
      <charset val="134"/>
      <scheme val="minor"/>
    </font>
    <font>
      <sz val="12"/>
      <name val="Arial"/>
      <charset val="134"/>
    </font>
    <font>
      <sz val="10"/>
      <name val="Helv"/>
      <charset val="134"/>
    </font>
    <font>
      <sz val="8"/>
      <name val="Arial"/>
      <charset val="134"/>
    </font>
    <font>
      <sz val="8"/>
      <name val="Palatino"/>
      <charset val="134"/>
    </font>
    <font>
      <u/>
      <sz val="10"/>
      <color rgb="FF800080"/>
      <name val="Arial Cyr"/>
      <charset val="134"/>
    </font>
    <font>
      <sz val="8"/>
      <name val="Helv"/>
      <charset val="134"/>
    </font>
    <font>
      <sz val="10"/>
      <name val="Arial"/>
      <charset val="134"/>
    </font>
    <font>
      <vertAlign val="superscript"/>
      <sz val="9"/>
      <name val="Tahoma"/>
      <charset val="204"/>
    </font>
    <font>
      <sz val="9"/>
      <name val="Tahoma"/>
      <charset val="204"/>
    </font>
    <font>
      <b/>
      <sz val="9"/>
      <name val="Tahoma"/>
      <charset val="204"/>
    </font>
    <font>
      <sz val="9"/>
      <name val="Arial"/>
      <charset val="134"/>
    </font>
    <font>
      <sz val="9"/>
      <name val="Tahoma"/>
      <charset val="134"/>
    </font>
  </fonts>
  <fills count="59">
    <fill>
      <patternFill patternType="none"/>
    </fill>
    <fill>
      <patternFill patternType="gray125"/>
    </fill>
    <fill>
      <patternFill patternType="solid">
        <fgColor rgb="FFD7EAD3"/>
        <bgColor indexed="64"/>
      </patternFill>
    </fill>
    <fill>
      <patternFill patternType="solid">
        <fgColor rgb="FFFFFFFF"/>
        <bgColor indexed="64"/>
      </patternFill>
    </fill>
    <fill>
      <patternFill patternType="solid">
        <fgColor rgb="FF8DB4E2"/>
        <bgColor indexed="64"/>
      </patternFill>
    </fill>
    <fill>
      <patternFill patternType="solid">
        <fgColor theme="2" tint="-0.1"/>
        <bgColor indexed="64"/>
      </patternFill>
    </fill>
    <fill>
      <patternFill patternType="solid">
        <fgColor theme="5" tint="0.8"/>
        <bgColor indexed="64"/>
      </patternFill>
    </fill>
    <fill>
      <patternFill patternType="solid">
        <fgColor theme="9" tint="-0.25"/>
        <bgColor indexed="64"/>
      </patternFill>
    </fill>
    <fill>
      <patternFill patternType="solid">
        <fgColor theme="6" tint="0.4"/>
        <bgColor indexed="64"/>
      </patternFill>
    </fill>
    <fill>
      <patternFill patternType="solid">
        <fgColor theme="7" tint="0.8"/>
        <bgColor indexed="64"/>
      </patternFill>
    </fill>
    <fill>
      <patternFill patternType="solid">
        <fgColor rgb="FFB7E4FF"/>
        <bgColor indexed="64"/>
      </patternFill>
    </fill>
    <fill>
      <patternFill patternType="solid">
        <fgColor rgb="FFFFFFC0"/>
        <bgColor indexed="64"/>
      </patternFill>
    </fill>
    <fill>
      <patternFill patternType="lightDown">
        <fgColor rgb="FFC0C0C0"/>
      </patternFill>
    </fill>
    <fill>
      <patternFill patternType="solid">
        <fgColor rgb="FFE3FAFD"/>
        <bgColor indexed="64"/>
      </patternFill>
    </fill>
    <fill>
      <patternFill patternType="solid">
        <fgColor rgb="FFC0C0C0"/>
        <bgColor indexed="64"/>
      </patternFill>
    </fill>
    <fill>
      <patternFill patternType="solid">
        <fgColor rgb="FFFFB7B7"/>
        <bgColor indexed="64"/>
      </patternFill>
    </fill>
    <fill>
      <patternFill patternType="lightDown">
        <fgColor rgb="FFB7E4FF"/>
        <bgColor rgb="FFFFFFFF"/>
      </patternFill>
    </fill>
    <fill>
      <patternFill patternType="solid">
        <fgColor rgb="FF0066CC"/>
        <bgColor indexed="64"/>
      </patternFill>
    </fill>
    <fill>
      <patternFill patternType="solid">
        <fgColor rgb="FFFFFF00"/>
        <bgColor indexed="64"/>
      </patternFill>
    </fill>
    <fill>
      <patternFill patternType="solid">
        <fgColor rgb="FFCCCCFF"/>
        <bgColor indexed="64"/>
      </patternFill>
    </fill>
    <fill>
      <patternFill patternType="solid">
        <fgColor rgb="FFFF9900"/>
        <bgColor indexed="64"/>
      </patternFill>
    </fill>
    <fill>
      <patternFill patternType="solid">
        <fgColor rgb="FF808000"/>
        <bgColor indexed="64"/>
      </patternFill>
    </fill>
    <fill>
      <patternFill patternType="solid">
        <fgColor rgb="FFFFC000"/>
        <bgColor indexed="64"/>
      </patternFill>
    </fill>
    <fill>
      <patternFill patternType="solid">
        <fgColor rgb="FFCC99FF"/>
        <bgColor indexed="64"/>
      </patternFill>
    </fill>
    <fill>
      <patternFill patternType="solid">
        <fgColor rgb="FFEAEBEE"/>
        <bgColor indexed="64"/>
      </patternFill>
    </fill>
    <fill>
      <patternFill patternType="solid">
        <fgColor theme="0" tint="-0.15"/>
        <bgColor indexed="64"/>
      </patternFill>
    </fill>
    <fill>
      <patternFill patternType="solid">
        <fgColor rgb="FF00CCFF"/>
        <bgColor indexed="64"/>
      </patternFill>
    </fill>
    <fill>
      <patternFill patternType="solid">
        <fgColor theme="9" tint="0.8"/>
        <bgColor indexed="64"/>
      </patternFill>
    </fill>
    <fill>
      <patternFill patternType="solid">
        <fgColor theme="0"/>
        <bgColor indexed="64"/>
      </patternFill>
    </fill>
    <fill>
      <patternFill patternType="solid">
        <fgColor rgb="FFBCBCBC"/>
        <bgColor indexed="64"/>
      </patternFill>
    </fill>
    <fill>
      <patternFill patternType="solid">
        <fgColor rgb="FFD3DBDB"/>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8"/>
        <bgColor indexed="64"/>
      </patternFill>
    </fill>
    <fill>
      <patternFill patternType="solid">
        <fgColor theme="4" tint="0.6"/>
        <bgColor indexed="64"/>
      </patternFill>
    </fill>
    <fill>
      <patternFill patternType="solid">
        <fgColor theme="4" tint="0.4"/>
        <bgColor indexed="64"/>
      </patternFill>
    </fill>
    <fill>
      <patternFill patternType="solid">
        <fgColor theme="5"/>
        <bgColor indexed="64"/>
      </patternFill>
    </fill>
    <fill>
      <patternFill patternType="solid">
        <fgColor theme="5" tint="0.6"/>
        <bgColor indexed="64"/>
      </patternFill>
    </fill>
    <fill>
      <patternFill patternType="solid">
        <fgColor theme="5" tint="0.4"/>
        <bgColor indexed="64"/>
      </patternFill>
    </fill>
    <fill>
      <patternFill patternType="solid">
        <fgColor theme="6"/>
        <bgColor indexed="64"/>
      </patternFill>
    </fill>
    <fill>
      <patternFill patternType="solid">
        <fgColor theme="6" tint="0.8"/>
        <bgColor indexed="64"/>
      </patternFill>
    </fill>
    <fill>
      <patternFill patternType="solid">
        <fgColor theme="6" tint="0.6"/>
        <bgColor indexed="64"/>
      </patternFill>
    </fill>
    <fill>
      <patternFill patternType="solid">
        <fgColor theme="7"/>
        <bgColor indexed="64"/>
      </patternFill>
    </fill>
    <fill>
      <patternFill patternType="solid">
        <fgColor theme="7" tint="0.6"/>
        <bgColor indexed="64"/>
      </patternFill>
    </fill>
    <fill>
      <patternFill patternType="solid">
        <fgColor theme="7" tint="0.4"/>
        <bgColor indexed="64"/>
      </patternFill>
    </fill>
    <fill>
      <patternFill patternType="solid">
        <fgColor theme="8"/>
        <bgColor indexed="64"/>
      </patternFill>
    </fill>
    <fill>
      <patternFill patternType="solid">
        <fgColor theme="8" tint="0.8"/>
        <bgColor indexed="64"/>
      </patternFill>
    </fill>
    <fill>
      <patternFill patternType="solid">
        <fgColor theme="8" tint="0.6"/>
        <bgColor indexed="64"/>
      </patternFill>
    </fill>
    <fill>
      <patternFill patternType="solid">
        <fgColor theme="8" tint="0.4"/>
        <bgColor indexed="64"/>
      </patternFill>
    </fill>
    <fill>
      <patternFill patternType="solid">
        <fgColor theme="9"/>
        <bgColor indexed="64"/>
      </patternFill>
    </fill>
    <fill>
      <patternFill patternType="solid">
        <fgColor theme="9" tint="0.6"/>
        <bgColor indexed="64"/>
      </patternFill>
    </fill>
    <fill>
      <patternFill patternType="solid">
        <fgColor theme="9" tint="0.4"/>
        <bgColor indexed="64"/>
      </patternFill>
    </fill>
    <fill>
      <patternFill patternType="solid">
        <fgColor rgb="FFFFFF99"/>
        <bgColor indexed="64"/>
      </patternFill>
    </fill>
  </fills>
  <borders count="76">
    <border>
      <left/>
      <right/>
      <top/>
      <bottom/>
      <diagonal/>
    </border>
    <border>
      <left style="thin">
        <color rgb="FFBCBCBC"/>
      </left>
      <right style="thin">
        <color rgb="FFBCBCBC"/>
      </right>
      <top style="thin">
        <color rgb="FFBCBCBC"/>
      </top>
      <bottom style="thin">
        <color rgb="FFBCBCBC"/>
      </bottom>
      <diagonal/>
    </border>
    <border>
      <left/>
      <right/>
      <top style="dotted">
        <color rgb="FF000000"/>
      </top>
      <bottom style="dotted">
        <color rgb="FF00000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rgb="FF000000"/>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top style="thin">
        <color rgb="FFC0C0C0"/>
      </top>
      <bottom/>
      <diagonal/>
    </border>
    <border>
      <left/>
      <right/>
      <top/>
      <bottom style="thin">
        <color rgb="FFC0C0C0"/>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right style="thin">
        <color rgb="FFC0C0C0"/>
      </right>
      <top/>
      <bottom/>
      <diagonal/>
    </border>
    <border>
      <left/>
      <right style="thin">
        <color rgb="FFC0C0C0"/>
      </right>
      <top style="thin">
        <color rgb="FFC0C0C0"/>
      </top>
      <bottom style="thin">
        <color rgb="FFC0C0C0"/>
      </bottom>
      <diagonal/>
    </border>
    <border>
      <left style="thin">
        <color rgb="FFC0C0C0"/>
      </left>
      <right/>
      <top style="thin">
        <color rgb="FFC0C0C0"/>
      </top>
      <bottom/>
      <diagonal/>
    </border>
    <border>
      <left style="thin">
        <color rgb="FFC0C0C0"/>
      </left>
      <right/>
      <top/>
      <bottom style="thin">
        <color rgb="FFC0C0C0"/>
      </bottom>
      <diagonal/>
    </border>
    <border>
      <left style="thin">
        <color rgb="FFC0C0C0"/>
      </left>
      <right/>
      <top/>
      <bottom/>
      <diagonal/>
    </border>
    <border>
      <left/>
      <right style="thin">
        <color rgb="FFC0C0C0"/>
      </right>
      <top/>
      <bottom style="thin">
        <color rgb="FFC0C0C0"/>
      </bottom>
      <diagonal/>
    </border>
    <border>
      <left style="thin">
        <color rgb="FFBCBCBC"/>
      </left>
      <right/>
      <top style="medium">
        <color rgb="FFBCBCBC"/>
      </top>
      <bottom/>
      <diagonal/>
    </border>
    <border>
      <left/>
      <right/>
      <top style="medium">
        <color rgb="FFBCBCBC"/>
      </top>
      <bottom/>
      <diagonal/>
    </border>
    <border>
      <left style="thin">
        <color rgb="FFC0C0C0"/>
      </left>
      <right style="thin">
        <color rgb="FFC0C0C0"/>
      </right>
      <top style="thin">
        <color rgb="FFC0C0C0"/>
      </top>
      <bottom style="medium">
        <color rgb="FFC0C0C0"/>
      </bottom>
      <diagonal/>
    </border>
    <border>
      <left/>
      <right/>
      <top/>
      <bottom style="medium">
        <color rgb="FFC0C0C0"/>
      </bottom>
      <diagonal/>
    </border>
    <border>
      <left style="thin">
        <color rgb="FFBCBCBC"/>
      </left>
      <right/>
      <top style="medium">
        <color rgb="FFBCBCBC"/>
      </top>
      <bottom style="thin">
        <color rgb="FFC0C0C0"/>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right/>
      <top style="thin">
        <color rgb="FFC0C0C0"/>
      </top>
      <bottom style="medium">
        <color rgb="FFC0C0C0"/>
      </bottom>
      <diagonal/>
    </border>
    <border>
      <left/>
      <right/>
      <top style="medium">
        <color rgb="FFBCBCBC"/>
      </top>
      <bottom style="thin">
        <color rgb="FFBCBCBC"/>
      </bottom>
      <diagonal/>
    </border>
    <border>
      <left/>
      <right/>
      <top style="thin">
        <color rgb="FFBCBCBC"/>
      </top>
      <bottom style="thin">
        <color rgb="FFC0C0C0"/>
      </bottom>
      <diagonal/>
    </border>
    <border>
      <left style="thin">
        <color rgb="FFC0C0C0"/>
      </left>
      <right/>
      <top style="thin">
        <color rgb="FFBCBCBC"/>
      </top>
      <bottom style="thin">
        <color rgb="FFC0C0C0"/>
      </bottom>
      <diagonal/>
    </border>
    <border>
      <left/>
      <right style="thin">
        <color rgb="FFBCBCBC"/>
      </right>
      <top style="medium">
        <color rgb="FFBCBCBC"/>
      </top>
      <bottom style="thin">
        <color rgb="FFBCBCBC"/>
      </bottom>
      <diagonal/>
    </border>
    <border>
      <left style="thin">
        <color theme="0" tint="-0.25"/>
      </left>
      <right style="thin">
        <color theme="0" tint="-0.25"/>
      </right>
      <top style="thin">
        <color theme="0" tint="-0.25"/>
      </top>
      <bottom style="thin">
        <color theme="0" tint="-0.25"/>
      </bottom>
      <diagonal/>
    </border>
    <border>
      <left/>
      <right style="thin">
        <color theme="0" tint="-0.25"/>
      </right>
      <top style="thin">
        <color rgb="FFC0C0C0"/>
      </top>
      <bottom style="thin">
        <color rgb="FFC0C0C0"/>
      </bottom>
      <diagonal/>
    </border>
    <border>
      <left style="thin">
        <color theme="0" tint="-0.25"/>
      </left>
      <right/>
      <top style="thin">
        <color theme="0" tint="-0.25"/>
      </top>
      <bottom style="thin">
        <color theme="0" tint="-0.25"/>
      </bottom>
      <diagonal/>
    </border>
    <border>
      <left style="thin">
        <color theme="0" tint="-0.25"/>
      </left>
      <right style="thin">
        <color rgb="FFC0C0C0"/>
      </right>
      <top/>
      <bottom/>
      <diagonal/>
    </border>
    <border>
      <left/>
      <right style="thin">
        <color rgb="FFC0C0C0"/>
      </right>
      <top style="thin">
        <color rgb="FFC0C0C0"/>
      </top>
      <bottom/>
      <diagonal/>
    </border>
    <border>
      <left style="thin">
        <color rgb="FFC0C0C0"/>
      </left>
      <right style="thin">
        <color rgb="FFC0C0C0"/>
      </right>
      <top style="thin">
        <color rgb="FFC0C0C0"/>
      </top>
      <bottom style="thin">
        <color rgb="FFBCBCBC"/>
      </bottom>
      <diagonal/>
    </border>
    <border>
      <left/>
      <right/>
      <top style="thin">
        <color rgb="FFD3DBDB"/>
      </top>
      <bottom/>
      <diagonal/>
    </border>
    <border>
      <left style="thin">
        <color theme="0" tint="-0.35"/>
      </left>
      <right style="thin">
        <color theme="0" tint="-0.35"/>
      </right>
      <top style="thin">
        <color theme="0" tint="-0.35"/>
      </top>
      <bottom style="thin">
        <color theme="0" tint="-0.35"/>
      </bottom>
      <diagonal/>
    </border>
    <border>
      <left style="thin">
        <color theme="0" tint="-0.25"/>
      </left>
      <right style="thin">
        <color theme="0" tint="-0.25"/>
      </right>
      <top/>
      <bottom style="thin">
        <color theme="0" tint="-0.25"/>
      </bottom>
      <diagonal/>
    </border>
    <border>
      <left/>
      <right/>
      <top style="thin">
        <color rgb="FFD3DBDB"/>
      </top>
      <bottom style="thin">
        <color rgb="FFD3DBDB"/>
      </bottom>
      <diagonal/>
    </border>
    <border>
      <left style="thin">
        <color rgb="FFD3DBDB"/>
      </left>
      <right style="thin">
        <color rgb="FFD3DBDB"/>
      </right>
      <top style="thin">
        <color rgb="FFD3DBDB"/>
      </top>
      <bottom style="thin">
        <color rgb="FFD3DBDB"/>
      </bottom>
      <diagonal/>
    </border>
    <border>
      <left style="thin">
        <color theme="0" tint="-0.25"/>
      </left>
      <right/>
      <top/>
      <bottom style="thin">
        <color theme="0" tint="-0.25"/>
      </bottom>
      <diagonal/>
    </border>
    <border>
      <left style="thin">
        <color rgb="FFD3DBDB"/>
      </left>
      <right/>
      <top style="thin">
        <color rgb="FFD3DBDB"/>
      </top>
      <bottom style="thin">
        <color rgb="FFD3DBDB"/>
      </bottom>
      <diagonal/>
    </border>
    <border>
      <left/>
      <right/>
      <top/>
      <bottom style="thin">
        <color rgb="FFBCBCBC"/>
      </bottom>
      <diagonal/>
    </border>
    <border>
      <left style="thin">
        <color rgb="FFBCBCBC"/>
      </left>
      <right/>
      <top style="thin">
        <color rgb="FFBCBCBC"/>
      </top>
      <bottom style="thin">
        <color rgb="FFC0C0C0"/>
      </bottom>
      <diagonal/>
    </border>
    <border>
      <left style="thin">
        <color rgb="FFBCBCBC"/>
      </left>
      <right/>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theme="0" tint="-0.25"/>
      </left>
      <right style="thin">
        <color theme="0" tint="-0.25"/>
      </right>
      <top/>
      <bottom/>
      <diagonal/>
    </border>
    <border>
      <left style="thin">
        <color theme="0" tint="-0.25"/>
      </left>
      <right style="thin">
        <color theme="0" tint="-0.25"/>
      </right>
      <top style="thin">
        <color theme="0" tint="-0.25"/>
      </top>
      <bottom/>
      <diagonal/>
    </border>
    <border>
      <left style="thin">
        <color theme="0" tint="-0.25"/>
      </left>
      <right style="thin">
        <color rgb="FFC0C0C0"/>
      </right>
      <top style="thin">
        <color rgb="FFC0C0C0"/>
      </top>
      <bottom style="thin">
        <color rgb="FFC0C0C0"/>
      </bottom>
      <diagonal/>
    </border>
    <border>
      <left style="thin">
        <color theme="0" tint="-0.25"/>
      </left>
      <right/>
      <top style="thin">
        <color rgb="FFC0C0C0"/>
      </top>
      <bottom style="thin">
        <color rgb="FFC0C0C0"/>
      </bottom>
      <diagonal/>
    </border>
    <border>
      <left style="thin">
        <color theme="0" tint="-0.25"/>
      </left>
      <right style="thin">
        <color rgb="FFC0C0C0"/>
      </right>
      <top style="thin">
        <color rgb="FFC0C0C0"/>
      </top>
      <bottom/>
      <diagonal/>
    </border>
    <border>
      <left style="thin">
        <color theme="0" tint="-0.25"/>
      </left>
      <right/>
      <top style="thin">
        <color rgb="FFC0C0C0"/>
      </top>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hair">
        <color rgb="FFC0C0C0"/>
      </left>
      <right/>
      <top style="hair">
        <color rgb="FFC0C0C0"/>
      </top>
      <bottom style="hair">
        <color rgb="FFC0C0C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BCBCBC"/>
      </right>
      <top/>
      <bottom/>
      <diagonal/>
    </border>
    <border>
      <left style="thin">
        <color rgb="FFBCBCBC"/>
      </left>
      <right/>
      <top/>
      <bottom style="thin">
        <color rgb="FFBCBCBC"/>
      </bottom>
      <diagonal/>
    </border>
    <border>
      <left/>
      <right style="thin">
        <color rgb="FF999999"/>
      </right>
      <top style="thin">
        <color rgb="FF999999"/>
      </top>
      <bottom style="thin">
        <color rgb="FF999999"/>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5"/>
      </bottom>
      <diagonal/>
    </border>
    <border>
      <left/>
      <right/>
      <top/>
      <bottom style="medium">
        <color theme="4" tint="0.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49" fontId="0" fillId="0" borderId="0" applyFill="0" applyBorder="0">
      <alignment vertical="top"/>
    </xf>
    <xf numFmtId="176" fontId="102" fillId="0" borderId="0" applyFont="0" applyFill="0" applyBorder="0">
      <alignment vertical="top"/>
    </xf>
    <xf numFmtId="177" fontId="102" fillId="0" borderId="0" applyFont="0" applyFill="0" applyBorder="0">
      <alignment vertical="top"/>
    </xf>
    <xf numFmtId="9" fontId="102" fillId="0" borderId="0" applyFont="0" applyFill="0" applyBorder="0">
      <alignment vertical="top"/>
    </xf>
    <xf numFmtId="178" fontId="102" fillId="0" borderId="0" applyFont="0" applyFill="0" applyBorder="0">
      <alignment vertical="top"/>
    </xf>
    <xf numFmtId="179" fontId="102" fillId="0" borderId="0" applyFont="0" applyFill="0" applyBorder="0">
      <alignment vertical="top"/>
    </xf>
    <xf numFmtId="0" fontId="95" fillId="0" borderId="0" applyFill="0" applyBorder="0">
      <alignment vertical="top"/>
    </xf>
    <xf numFmtId="0" fontId="103" fillId="0" borderId="0" applyFill="0" applyBorder="0">
      <alignment vertical="top"/>
    </xf>
    <xf numFmtId="0" fontId="102" fillId="31" borderId="67" applyFont="0">
      <alignment vertical="top"/>
    </xf>
    <xf numFmtId="0" fontId="104" fillId="0" borderId="0" applyFill="0" applyBorder="0">
      <alignment vertical="top"/>
    </xf>
    <xf numFmtId="0" fontId="105" fillId="0" borderId="0" applyFill="0" applyBorder="0">
      <alignment vertical="top"/>
    </xf>
    <xf numFmtId="0" fontId="106" fillId="0" borderId="0" applyFill="0" applyBorder="0">
      <alignment vertical="top"/>
    </xf>
    <xf numFmtId="0" fontId="107" fillId="0" borderId="68" applyFill="0">
      <alignment vertical="top"/>
    </xf>
    <xf numFmtId="0" fontId="108" fillId="0" borderId="69" applyFill="0">
      <alignment vertical="top"/>
    </xf>
    <xf numFmtId="0" fontId="109" fillId="0" borderId="70" applyFill="0">
      <alignment vertical="top"/>
    </xf>
    <xf numFmtId="0" fontId="109" fillId="0" borderId="0" applyFill="0" applyBorder="0">
      <alignment vertical="top"/>
    </xf>
    <xf numFmtId="0" fontId="110" fillId="32" borderId="71">
      <alignment vertical="top"/>
    </xf>
    <xf numFmtId="0" fontId="111" fillId="33" borderId="72">
      <alignment vertical="top"/>
    </xf>
    <xf numFmtId="0" fontId="112" fillId="33" borderId="71">
      <alignment vertical="top"/>
    </xf>
    <xf numFmtId="0" fontId="113" fillId="34" borderId="73">
      <alignment vertical="top"/>
    </xf>
    <xf numFmtId="0" fontId="114" fillId="0" borderId="74" applyFill="0">
      <alignment vertical="top"/>
    </xf>
    <xf numFmtId="0" fontId="115" fillId="0" borderId="75" applyFill="0">
      <alignment vertical="top"/>
    </xf>
    <xf numFmtId="0" fontId="116" fillId="35" borderId="0" applyBorder="0">
      <alignment vertical="top"/>
    </xf>
    <xf numFmtId="0" fontId="117" fillId="36" borderId="0" applyBorder="0">
      <alignment vertical="top"/>
    </xf>
    <xf numFmtId="0" fontId="118" fillId="37" borderId="0" applyBorder="0">
      <alignment vertical="top"/>
    </xf>
    <xf numFmtId="0" fontId="119" fillId="38" borderId="0" applyBorder="0">
      <alignment vertical="top"/>
    </xf>
    <xf numFmtId="0" fontId="6" fillId="39" borderId="0" applyBorder="0">
      <alignment vertical="top"/>
    </xf>
    <xf numFmtId="0" fontId="6" fillId="40" borderId="0" applyBorder="0">
      <alignment vertical="top"/>
    </xf>
    <xf numFmtId="0" fontId="6" fillId="41" borderId="0" applyBorder="0">
      <alignment vertical="top"/>
    </xf>
    <xf numFmtId="0" fontId="119" fillId="42" borderId="0" applyBorder="0">
      <alignment vertical="top"/>
    </xf>
    <xf numFmtId="0" fontId="6" fillId="6" borderId="0" applyBorder="0">
      <alignment vertical="top"/>
    </xf>
    <xf numFmtId="0" fontId="6" fillId="43" borderId="0" applyBorder="0">
      <alignment vertical="top"/>
    </xf>
    <xf numFmtId="0" fontId="6" fillId="44" borderId="0" applyBorder="0">
      <alignment vertical="top"/>
    </xf>
    <xf numFmtId="0" fontId="119" fillId="45" borderId="0" applyBorder="0">
      <alignment vertical="top"/>
    </xf>
    <xf numFmtId="0" fontId="6" fillId="46" borderId="0" applyBorder="0">
      <alignment vertical="top"/>
    </xf>
    <xf numFmtId="0" fontId="6" fillId="47" borderId="0" applyBorder="0">
      <alignment vertical="top"/>
    </xf>
    <xf numFmtId="0" fontId="6" fillId="8" borderId="0" applyBorder="0">
      <alignment vertical="top"/>
    </xf>
    <xf numFmtId="0" fontId="119" fillId="48" borderId="0" applyBorder="0">
      <alignment vertical="top"/>
    </xf>
    <xf numFmtId="0" fontId="6" fillId="9" borderId="0" applyBorder="0">
      <alignment vertical="top"/>
    </xf>
    <xf numFmtId="0" fontId="6" fillId="49" borderId="0" applyBorder="0">
      <alignment vertical="top"/>
    </xf>
    <xf numFmtId="0" fontId="6" fillId="50" borderId="0" applyBorder="0">
      <alignment vertical="top"/>
    </xf>
    <xf numFmtId="0" fontId="119" fillId="51" borderId="0" applyBorder="0">
      <alignment vertical="top"/>
    </xf>
    <xf numFmtId="0" fontId="6" fillId="52" borderId="0" applyBorder="0">
      <alignment vertical="top"/>
    </xf>
    <xf numFmtId="0" fontId="6" fillId="53" borderId="0" applyBorder="0">
      <alignment vertical="top"/>
    </xf>
    <xf numFmtId="0" fontId="6" fillId="54" borderId="0" applyBorder="0">
      <alignment vertical="top"/>
    </xf>
    <xf numFmtId="0" fontId="119" fillId="55" borderId="0" applyBorder="0">
      <alignment vertical="top"/>
    </xf>
    <xf numFmtId="0" fontId="6" fillId="27" borderId="0" applyBorder="0">
      <alignment vertical="top"/>
    </xf>
    <xf numFmtId="0" fontId="6" fillId="56" borderId="0" applyBorder="0">
      <alignment vertical="top"/>
    </xf>
    <xf numFmtId="0" fontId="6" fillId="57" borderId="0" applyBorder="0">
      <alignment vertical="top"/>
    </xf>
    <xf numFmtId="0" fontId="120" fillId="0" borderId="0" applyFill="0" applyBorder="0">
      <alignment vertical="top"/>
    </xf>
    <xf numFmtId="0" fontId="121" fillId="0" borderId="0" applyFill="0" applyBorder="0"/>
    <xf numFmtId="180" fontId="121" fillId="0" borderId="0" applyFill="0" applyBorder="0"/>
    <xf numFmtId="0" fontId="121" fillId="0" borderId="0" applyFill="0" applyBorder="0"/>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2" fontId="4" fillId="58" borderId="0" applyBorder="0">
      <protection locked="0"/>
    </xf>
    <xf numFmtId="0" fontId="123" fillId="0" borderId="0" applyFill="0" applyBorder="0">
      <alignment vertical="center"/>
    </xf>
    <xf numFmtId="183" fontId="4" fillId="58" borderId="0" applyBorder="0">
      <protection locked="0"/>
    </xf>
    <xf numFmtId="184" fontId="4" fillId="58" borderId="0" applyBorder="0">
      <protection locked="0"/>
    </xf>
    <xf numFmtId="0" fontId="124" fillId="0" borderId="0" applyFill="0" applyBorder="0">
      <alignment vertical="top"/>
    </xf>
    <xf numFmtId="0" fontId="125" fillId="0" borderId="0" applyFill="0" applyBorder="0"/>
    <xf numFmtId="0" fontId="123" fillId="0" borderId="0" applyFill="0" applyBorder="0">
      <alignment vertical="center"/>
    </xf>
    <xf numFmtId="0" fontId="123" fillId="0" borderId="0" applyFill="0" applyBorder="0">
      <alignment vertical="center"/>
    </xf>
    <xf numFmtId="49" fontId="4" fillId="0" borderId="0" applyFill="0" applyBorder="0">
      <alignment vertical="top"/>
    </xf>
    <xf numFmtId="0" fontId="126" fillId="0" borderId="0" applyFill="0" applyBorder="0"/>
    <xf numFmtId="49" fontId="0" fillId="0" borderId="0" applyFill="0" applyBorder="0">
      <alignment vertical="top"/>
    </xf>
    <xf numFmtId="0" fontId="5" fillId="0" borderId="0" applyFill="0" applyBorder="0"/>
    <xf numFmtId="0" fontId="5" fillId="0" borderId="0" applyFill="0" applyBorder="0"/>
  </cellStyleXfs>
  <cellXfs count="1419">
    <xf numFmtId="49" fontId="0" fillId="0" borderId="0" xfId="0" applyNumberFormat="1" applyFont="1">
      <alignment vertical="top"/>
    </xf>
    <xf numFmtId="49" fontId="1" fillId="0" borderId="1" xfId="0" applyNumberFormat="1" applyFont="1" applyBorder="1" applyAlignment="1">
      <alignment vertical="top" wrapText="1"/>
    </xf>
    <xf numFmtId="0" fontId="0" fillId="0" borderId="1" xfId="0" applyNumberFormat="1" applyFont="1" applyBorder="1" applyAlignment="1">
      <alignment vertical="top" wrapText="1"/>
    </xf>
    <xf numFmtId="0" fontId="2" fillId="0" borderId="2" xfId="0" applyNumberFormat="1" applyFont="1" applyBorder="1" applyAlignment="1">
      <alignment vertical="top" wrapText="1"/>
    </xf>
    <xf numFmtId="0" fontId="0" fillId="0" borderId="0" xfId="0" applyNumberFormat="1" applyFont="1">
      <alignment vertical="top"/>
    </xf>
    <xf numFmtId="0" fontId="0" fillId="0" borderId="3" xfId="0" applyNumberFormat="1" applyFont="1" applyBorder="1" applyAlignment="1">
      <alignment vertical="top" wrapText="1"/>
    </xf>
    <xf numFmtId="49" fontId="0" fillId="0" borderId="3" xfId="0" applyNumberFormat="1" applyFont="1" applyBorder="1" applyAlignment="1">
      <alignment vertical="top" wrapText="1"/>
    </xf>
    <xf numFmtId="49" fontId="0" fillId="0" borderId="4" xfId="0" applyNumberFormat="1" applyFont="1" applyBorder="1">
      <alignment vertical="top"/>
    </xf>
    <xf numFmtId="0" fontId="3" fillId="0" borderId="1" xfId="0" applyNumberFormat="1" applyFont="1" applyBorder="1" applyAlignment="1">
      <alignment vertical="center" wrapText="1"/>
    </xf>
    <xf numFmtId="0" fontId="2" fillId="0" borderId="0" xfId="0" applyNumberFormat="1" applyFont="1" applyAlignment="1">
      <alignment vertical="top" wrapText="1"/>
    </xf>
    <xf numFmtId="0" fontId="4" fillId="0" borderId="1" xfId="0" applyNumberFormat="1" applyFont="1" applyBorder="1" applyAlignment="1">
      <alignment vertical="center" wrapText="1"/>
    </xf>
    <xf numFmtId="49" fontId="4" fillId="2" borderId="5" xfId="0" applyNumberFormat="1" applyFont="1" applyFill="1" applyBorder="1" applyAlignment="1">
      <alignment horizontal="center" vertical="top"/>
    </xf>
    <xf numFmtId="49" fontId="0" fillId="0" borderId="0" xfId="75" applyNumberFormat="1" applyFont="1">
      <alignment vertical="top"/>
    </xf>
    <xf numFmtId="0" fontId="5" fillId="0" borderId="0" xfId="0" applyNumberFormat="1" applyFont="1" applyAlignment="1"/>
    <xf numFmtId="0" fontId="5" fillId="0" borderId="0" xfId="77" applyFont="1"/>
    <xf numFmtId="0" fontId="6" fillId="0" borderId="0" xfId="0" applyNumberFormat="1" applyFont="1" applyAlignment="1"/>
    <xf numFmtId="0" fontId="0" fillId="0" borderId="0" xfId="0" applyNumberFormat="1" applyFont="1" applyAlignment="1"/>
    <xf numFmtId="49" fontId="0" fillId="3" borderId="0" xfId="0" applyNumberFormat="1" applyFont="1" applyFill="1">
      <alignment vertical="top"/>
    </xf>
    <xf numFmtId="49" fontId="0" fillId="0" borderId="3" xfId="75" applyNumberFormat="1" applyFont="1" applyBorder="1">
      <alignment vertical="top"/>
    </xf>
    <xf numFmtId="49" fontId="0" fillId="0" borderId="6" xfId="75" applyNumberFormat="1" applyFont="1" applyBorder="1">
      <alignment vertical="top"/>
    </xf>
    <xf numFmtId="49" fontId="0" fillId="0" borderId="3" xfId="75" applyNumberFormat="1" applyFont="1" applyBorder="1" applyAlignment="1">
      <alignment horizontal="center" vertical="top"/>
    </xf>
    <xf numFmtId="49" fontId="0" fillId="0" borderId="6" xfId="75" applyNumberFormat="1" applyFont="1" applyBorder="1" applyAlignment="1">
      <alignment horizontal="center" vertical="top"/>
    </xf>
    <xf numFmtId="49" fontId="0" fillId="0" borderId="3" xfId="0" applyNumberFormat="1" applyFont="1" applyBorder="1">
      <alignment vertical="top"/>
    </xf>
    <xf numFmtId="49" fontId="0" fillId="4" borderId="4" xfId="75" applyNumberFormat="1" applyFont="1" applyFill="1" applyBorder="1">
      <alignment vertical="top"/>
    </xf>
    <xf numFmtId="49" fontId="0" fillId="0" borderId="6" xfId="0" applyNumberFormat="1" applyFont="1" applyBorder="1" applyAlignment="1">
      <alignment horizontal="center" vertical="top"/>
    </xf>
    <xf numFmtId="49" fontId="0" fillId="0" borderId="6" xfId="0" applyNumberFormat="1" applyFont="1" applyBorder="1">
      <alignment vertical="top"/>
    </xf>
    <xf numFmtId="49" fontId="0" fillId="5" borderId="3" xfId="75" applyNumberFormat="1" applyFont="1" applyFill="1" applyBorder="1">
      <alignment vertical="top"/>
    </xf>
    <xf numFmtId="49" fontId="0" fillId="0" borderId="7" xfId="75" applyNumberFormat="1" applyFont="1" applyBorder="1" applyAlignment="1">
      <alignment horizontal="center" vertical="top"/>
    </xf>
    <xf numFmtId="49" fontId="0" fillId="6" borderId="3" xfId="75" applyNumberFormat="1" applyFont="1" applyFill="1" applyBorder="1">
      <alignment vertical="top"/>
    </xf>
    <xf numFmtId="49" fontId="0" fillId="0" borderId="7" xfId="0" applyNumberFormat="1" applyFont="1" applyBorder="1" applyAlignment="1">
      <alignment horizontal="center" vertical="top"/>
    </xf>
    <xf numFmtId="49" fontId="0" fillId="7" borderId="3" xfId="75" applyNumberFormat="1" applyFont="1" applyFill="1" applyBorder="1">
      <alignment vertical="top"/>
    </xf>
    <xf numFmtId="49" fontId="0" fillId="8" borderId="4" xfId="75" applyNumberFormat="1" applyFont="1" applyFill="1" applyBorder="1">
      <alignment vertical="top"/>
    </xf>
    <xf numFmtId="49" fontId="0" fillId="9" borderId="6" xfId="75" applyNumberFormat="1" applyFont="1" applyFill="1" applyBorder="1">
      <alignment vertical="top"/>
    </xf>
    <xf numFmtId="49" fontId="0" fillId="9" borderId="3" xfId="75" applyNumberFormat="1" applyFont="1" applyFill="1" applyBorder="1">
      <alignment vertical="top"/>
    </xf>
    <xf numFmtId="49" fontId="0" fillId="8" borderId="3" xfId="75" applyNumberFormat="1" applyFont="1" applyFill="1" applyBorder="1">
      <alignment vertical="top"/>
    </xf>
    <xf numFmtId="49" fontId="0" fillId="8" borderId="4" xfId="0" applyNumberFormat="1" applyFont="1" applyFill="1" applyBorder="1">
      <alignment vertical="top"/>
    </xf>
    <xf numFmtId="0" fontId="0" fillId="0" borderId="0" xfId="0" applyNumberFormat="1" applyFont="1" applyAlignment="1">
      <alignment vertical="center"/>
    </xf>
    <xf numFmtId="0" fontId="7" fillId="0" borderId="0" xfId="0" applyNumberFormat="1" applyFont="1" applyAlignment="1">
      <alignment vertical="center" wrapText="1"/>
    </xf>
    <xf numFmtId="0" fontId="8" fillId="0" borderId="0" xfId="0" applyNumberFormat="1" applyFont="1" applyAlignment="1">
      <alignment vertical="center" wrapText="1"/>
    </xf>
    <xf numFmtId="49" fontId="8" fillId="0" borderId="0" xfId="0" applyNumberFormat="1" applyFont="1" applyAlignment="1">
      <alignment vertical="center" wrapText="1"/>
    </xf>
    <xf numFmtId="49" fontId="4" fillId="0" borderId="0" xfId="0" applyNumberFormat="1" applyFont="1" applyAlignment="1">
      <alignment vertical="center" wrapText="1"/>
    </xf>
    <xf numFmtId="0" fontId="9" fillId="0" borderId="0" xfId="0" applyNumberFormat="1" applyFont="1" applyAlignment="1">
      <alignment vertical="center" wrapText="1"/>
    </xf>
    <xf numFmtId="0" fontId="4" fillId="0" borderId="0" xfId="0" applyNumberFormat="1" applyFont="1" applyAlignment="1">
      <alignment horizontal="left" vertical="center" wrapText="1"/>
    </xf>
    <xf numFmtId="0" fontId="4" fillId="0" borderId="0" xfId="0" applyNumberFormat="1" applyFont="1" applyAlignment="1">
      <alignment vertical="center" wrapText="1"/>
    </xf>
    <xf numFmtId="0" fontId="10" fillId="0" borderId="0" xfId="0" applyNumberFormat="1" applyFont="1" applyAlignment="1">
      <alignment vertical="center" wrapText="1"/>
    </xf>
    <xf numFmtId="0" fontId="8" fillId="0" borderId="0" xfId="0" applyNumberFormat="1" applyFont="1" applyAlignment="1">
      <alignment vertical="center"/>
    </xf>
    <xf numFmtId="0" fontId="8" fillId="0" borderId="0" xfId="0" applyNumberFormat="1" applyFont="1" applyAlignment="1">
      <alignment horizontal="left" vertical="center" indent="1"/>
    </xf>
    <xf numFmtId="0" fontId="8" fillId="0" borderId="0" xfId="0" applyNumberFormat="1" applyFont="1" applyAlignment="1">
      <alignment horizontal="left" vertical="center" wrapText="1"/>
    </xf>
    <xf numFmtId="0" fontId="8" fillId="0" borderId="0" xfId="0" applyNumberFormat="1" applyFont="1" applyAlignment="1">
      <alignment horizontal="center"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top"/>
    </xf>
    <xf numFmtId="0" fontId="9" fillId="3" borderId="0" xfId="0" applyNumberFormat="1" applyFont="1" applyFill="1" applyAlignment="1">
      <alignment vertical="center" wrapText="1"/>
    </xf>
    <xf numFmtId="0" fontId="4" fillId="3" borderId="0" xfId="0" applyNumberFormat="1" applyFont="1" applyFill="1" applyAlignment="1">
      <alignment horizontal="left" vertical="center" wrapText="1"/>
    </xf>
    <xf numFmtId="0" fontId="4" fillId="3" borderId="0" xfId="0" applyNumberFormat="1" applyFont="1" applyFill="1" applyAlignment="1">
      <alignment vertical="center" wrapText="1"/>
    </xf>
    <xf numFmtId="0" fontId="2" fillId="0" borderId="8" xfId="0" applyNumberFormat="1" applyFont="1" applyBorder="1" applyAlignment="1">
      <alignment horizontal="left" vertical="center" wrapText="1" indent="1"/>
    </xf>
    <xf numFmtId="0" fontId="2" fillId="0" borderId="9" xfId="0" applyNumberFormat="1" applyFont="1" applyBorder="1" applyAlignment="1">
      <alignment horizontal="left" vertical="center" wrapText="1" indent="1"/>
    </xf>
    <xf numFmtId="0" fontId="3" fillId="3" borderId="0" xfId="0" applyNumberFormat="1" applyFont="1" applyFill="1" applyAlignment="1">
      <alignment horizontal="center" vertical="center" wrapText="1"/>
    </xf>
    <xf numFmtId="0" fontId="0" fillId="0" borderId="0" xfId="0" applyNumberFormat="1" applyFont="1" applyAlignment="1">
      <alignment horizontal="left" vertical="center"/>
    </xf>
    <xf numFmtId="0" fontId="0" fillId="3" borderId="3" xfId="0" applyNumberFormat="1" applyFont="1" applyFill="1" applyBorder="1" applyAlignment="1">
      <alignment horizontal="right" vertical="center" wrapText="1" indent="1"/>
    </xf>
    <xf numFmtId="0" fontId="0" fillId="0" borderId="6" xfId="0" applyNumberFormat="1" applyFont="1" applyBorder="1" applyAlignment="1">
      <alignment vertical="center"/>
    </xf>
    <xf numFmtId="0" fontId="4" fillId="2" borderId="3" xfId="0" applyNumberFormat="1" applyFont="1" applyFill="1" applyBorder="1" applyAlignment="1">
      <alignment horizontal="left" vertical="center" wrapText="1" indent="1"/>
    </xf>
    <xf numFmtId="0" fontId="4" fillId="0" borderId="0" xfId="0" applyNumberFormat="1" applyFont="1" applyAlignment="1">
      <alignment horizontal="right" vertical="center" wrapText="1"/>
    </xf>
    <xf numFmtId="0" fontId="4" fillId="3" borderId="9" xfId="0" applyNumberFormat="1" applyFont="1" applyFill="1" applyBorder="1" applyAlignment="1">
      <alignment vertical="center" wrapText="1"/>
    </xf>
    <xf numFmtId="0" fontId="11" fillId="0" borderId="9" xfId="0" applyNumberFormat="1" applyFont="1" applyBorder="1" applyAlignment="1">
      <alignment horizontal="center" vertical="center" wrapText="1"/>
    </xf>
    <xf numFmtId="0" fontId="4" fillId="0" borderId="3" xfId="0" applyNumberFormat="1" applyFont="1" applyBorder="1" applyAlignment="1">
      <alignment horizontal="center" vertical="center" wrapText="1"/>
    </xf>
    <xf numFmtId="0" fontId="4" fillId="3" borderId="3" xfId="0" applyNumberFormat="1" applyFont="1" applyFill="1" applyBorder="1" applyAlignment="1">
      <alignment horizontal="left" vertical="center" wrapText="1"/>
    </xf>
    <xf numFmtId="0" fontId="4" fillId="3" borderId="3" xfId="0" applyNumberFormat="1" applyFont="1" applyFill="1" applyBorder="1" applyAlignment="1">
      <alignment horizontal="center" vertical="center" wrapText="1"/>
    </xf>
    <xf numFmtId="0" fontId="4" fillId="0" borderId="4" xfId="0" applyNumberFormat="1" applyFont="1" applyBorder="1" applyAlignment="1">
      <alignment vertical="center" wrapText="1"/>
    </xf>
    <xf numFmtId="0" fontId="0" fillId="3" borderId="6" xfId="0" applyNumberFormat="1" applyFont="1" applyFill="1" applyBorder="1" applyAlignment="1">
      <alignment horizontal="center" vertical="center" wrapText="1"/>
    </xf>
    <xf numFmtId="0" fontId="0" fillId="3" borderId="7" xfId="0" applyNumberFormat="1" applyFont="1" applyFill="1" applyBorder="1" applyAlignment="1">
      <alignment horizontal="center" vertical="center" wrapText="1"/>
    </xf>
    <xf numFmtId="0" fontId="4" fillId="0" borderId="10" xfId="0" applyNumberFormat="1" applyFont="1" applyBorder="1" applyAlignment="1">
      <alignment vertical="center" wrapText="1"/>
    </xf>
    <xf numFmtId="0" fontId="4" fillId="0" borderId="4" xfId="0" applyNumberFormat="1" applyFont="1" applyBorder="1" applyAlignment="1">
      <alignment horizontal="center" vertical="center" wrapText="1"/>
    </xf>
    <xf numFmtId="0" fontId="4" fillId="0" borderId="11" xfId="0" applyNumberFormat="1" applyFont="1" applyBorder="1" applyAlignment="1">
      <alignment vertical="center" wrapText="1"/>
    </xf>
    <xf numFmtId="0" fontId="4" fillId="0" borderId="11" xfId="0" applyNumberFormat="1" applyFont="1" applyBorder="1" applyAlignment="1">
      <alignment horizontal="center" vertical="center" wrapText="1"/>
    </xf>
    <xf numFmtId="49" fontId="7" fillId="0" borderId="0" xfId="0" applyNumberFormat="1" applyFont="1" applyAlignment="1">
      <alignment vertical="center" wrapText="1"/>
    </xf>
    <xf numFmtId="0" fontId="12" fillId="3" borderId="0" xfId="0" applyNumberFormat="1" applyFont="1" applyFill="1" applyAlignment="1">
      <alignment vertical="center" wrapText="1"/>
    </xf>
    <xf numFmtId="0" fontId="13" fillId="3" borderId="0" xfId="0" applyNumberFormat="1" applyFont="1" applyFill="1" applyAlignment="1">
      <alignment vertical="center" wrapText="1"/>
    </xf>
    <xf numFmtId="49" fontId="14" fillId="3" borderId="8" xfId="0" applyNumberFormat="1" applyFont="1" applyFill="1" applyBorder="1" applyAlignment="1">
      <alignment horizontal="left" vertical="center" wrapText="1"/>
    </xf>
    <xf numFmtId="49" fontId="14" fillId="3" borderId="8" xfId="0" applyNumberFormat="1" applyFont="1" applyFill="1" applyBorder="1" applyAlignment="1">
      <alignment horizontal="center" vertical="center" wrapText="1"/>
    </xf>
    <xf numFmtId="0" fontId="10" fillId="3" borderId="8" xfId="0" applyNumberFormat="1" applyFont="1" applyFill="1" applyBorder="1" applyAlignment="1">
      <alignment horizontal="center" vertical="center" wrapText="1"/>
    </xf>
    <xf numFmtId="0" fontId="14" fillId="3" borderId="8" xfId="0" applyNumberFormat="1" applyFont="1" applyFill="1" applyBorder="1" applyAlignment="1">
      <alignment horizontal="center" vertical="center" wrapText="1"/>
    </xf>
    <xf numFmtId="49" fontId="4" fillId="0" borderId="0" xfId="0" applyNumberFormat="1" applyFont="1">
      <alignment vertical="top"/>
    </xf>
    <xf numFmtId="49" fontId="4" fillId="0" borderId="12" xfId="0" applyNumberFormat="1" applyFont="1" applyBorder="1">
      <alignment vertical="top"/>
    </xf>
    <xf numFmtId="0" fontId="4" fillId="0" borderId="3" xfId="0" applyNumberFormat="1" applyFont="1" applyBorder="1" applyAlignment="1">
      <alignment vertical="center" wrapText="1"/>
    </xf>
    <xf numFmtId="0" fontId="4" fillId="0" borderId="3" xfId="0" applyNumberFormat="1" applyFont="1" applyBorder="1" applyAlignment="1">
      <alignment horizontal="left" vertical="center" wrapText="1" indent="6"/>
    </xf>
    <xf numFmtId="185" fontId="4" fillId="2" borderId="3" xfId="0" applyNumberFormat="1" applyFont="1" applyFill="1" applyBorder="1" applyAlignment="1">
      <alignment horizontal="left" vertical="center" wrapText="1"/>
    </xf>
    <xf numFmtId="0" fontId="4" fillId="0" borderId="0" xfId="0" applyNumberFormat="1" applyFont="1" applyAlignment="1">
      <alignment horizontal="center" vertical="center" wrapText="1"/>
    </xf>
    <xf numFmtId="0" fontId="15" fillId="3" borderId="0" xfId="0" applyNumberFormat="1" applyFont="1" applyFill="1" applyAlignment="1">
      <alignment horizontal="center" vertical="center" wrapText="1"/>
    </xf>
    <xf numFmtId="0" fontId="4" fillId="0" borderId="12" xfId="0" applyNumberFormat="1" applyFont="1" applyBorder="1" applyAlignment="1">
      <alignment vertical="center" wrapText="1"/>
    </xf>
    <xf numFmtId="0" fontId="4" fillId="3" borderId="3" xfId="0" applyNumberFormat="1" applyFont="1" applyFill="1" applyBorder="1" applyAlignment="1">
      <alignment horizontal="left" vertical="center" wrapText="1" indent="1"/>
    </xf>
    <xf numFmtId="0" fontId="11" fillId="0" borderId="0" xfId="0" applyNumberFormat="1" applyFont="1" applyAlignment="1">
      <alignment vertical="center" wrapText="1"/>
    </xf>
    <xf numFmtId="0" fontId="4" fillId="3" borderId="3" xfId="0" applyNumberFormat="1" applyFont="1" applyFill="1" applyBorder="1" applyAlignment="1">
      <alignment horizontal="left" vertical="center" wrapText="1" indent="2"/>
    </xf>
    <xf numFmtId="0" fontId="4" fillId="3" borderId="3" xfId="0" applyNumberFormat="1" applyFont="1" applyFill="1" applyBorder="1" applyAlignment="1">
      <alignment horizontal="left" vertical="center" wrapText="1" indent="3"/>
    </xf>
    <xf numFmtId="0" fontId="10" fillId="0" borderId="0" xfId="0" applyNumberFormat="1" applyFont="1" applyAlignment="1">
      <alignment horizontal="center" vertical="center" wrapText="1"/>
    </xf>
    <xf numFmtId="0" fontId="10" fillId="0" borderId="12" xfId="0" applyNumberFormat="1" applyFont="1" applyBorder="1" applyAlignment="1">
      <alignment horizontal="center" vertical="center" wrapText="1"/>
    </xf>
    <xf numFmtId="0" fontId="4" fillId="3" borderId="3" xfId="0" applyNumberFormat="1" applyFont="1" applyFill="1" applyBorder="1" applyAlignment="1">
      <alignment horizontal="left" vertical="center" wrapText="1" indent="4"/>
    </xf>
    <xf numFmtId="0" fontId="4" fillId="10" borderId="3" xfId="0" applyNumberFormat="1" applyFont="1" applyFill="1" applyBorder="1" applyAlignment="1">
      <alignment horizontal="left" vertical="center" wrapText="1"/>
    </xf>
    <xf numFmtId="0" fontId="10" fillId="0" borderId="12" xfId="0" applyNumberFormat="1" applyFont="1" applyBorder="1" applyAlignment="1">
      <alignment vertical="center" wrapText="1"/>
    </xf>
    <xf numFmtId="0" fontId="4" fillId="3" borderId="3" xfId="0" applyNumberFormat="1" applyFont="1" applyFill="1" applyBorder="1" applyAlignment="1">
      <alignment horizontal="left" vertical="center" wrapText="1" indent="5"/>
    </xf>
    <xf numFmtId="0" fontId="4" fillId="10" borderId="6" xfId="0" applyNumberFormat="1" applyFont="1" applyFill="1" applyBorder="1" applyAlignment="1">
      <alignment horizontal="left" vertical="center" wrapText="1"/>
    </xf>
    <xf numFmtId="0" fontId="4" fillId="10" borderId="7" xfId="0" applyNumberFormat="1" applyFont="1" applyFill="1" applyBorder="1" applyAlignment="1">
      <alignment horizontal="left" vertical="center" wrapText="1"/>
    </xf>
    <xf numFmtId="0" fontId="4" fillId="10" borderId="3" xfId="0" applyNumberFormat="1" applyFont="1" applyFill="1" applyBorder="1" applyAlignment="1">
      <alignment horizontal="left" vertical="center" wrapText="1" indent="6"/>
    </xf>
    <xf numFmtId="185" fontId="4" fillId="11" borderId="3" xfId="0" applyNumberFormat="1" applyFont="1" applyFill="1" applyBorder="1" applyAlignment="1" applyProtection="1">
      <alignment horizontal="right" vertical="center" wrapText="1"/>
      <protection locked="0"/>
    </xf>
    <xf numFmtId="185" fontId="4" fillId="0" borderId="3" xfId="0" applyNumberFormat="1" applyFont="1" applyBorder="1" applyAlignment="1">
      <alignment horizontal="right" vertical="center" wrapText="1"/>
    </xf>
    <xf numFmtId="49" fontId="4" fillId="0" borderId="3" xfId="0" applyNumberFormat="1" applyFont="1" applyBorder="1" applyAlignment="1">
      <alignment horizontal="left" vertical="center" wrapText="1"/>
    </xf>
    <xf numFmtId="49" fontId="16" fillId="12" borderId="6" xfId="0" applyNumberFormat="1" applyFont="1" applyFill="1" applyBorder="1" applyAlignment="1">
      <alignment horizontal="left" vertical="center"/>
    </xf>
    <xf numFmtId="49" fontId="17" fillId="12" borderId="7" xfId="0" applyNumberFormat="1" applyFont="1" applyFill="1" applyBorder="1" applyAlignment="1">
      <alignment horizontal="left" vertical="center" indent="6"/>
    </xf>
    <xf numFmtId="49" fontId="4" fillId="12" borderId="7" xfId="0" applyNumberFormat="1" applyFont="1" applyFill="1" applyBorder="1" applyAlignment="1">
      <alignment horizontal="center" vertical="center" wrapText="1"/>
    </xf>
    <xf numFmtId="49" fontId="17" fillId="12" borderId="7" xfId="0" applyNumberFormat="1" applyFont="1" applyFill="1" applyBorder="1" applyAlignment="1">
      <alignment horizontal="left" vertical="center" indent="5"/>
    </xf>
    <xf numFmtId="49" fontId="9" fillId="0" borderId="0" xfId="0" applyNumberFormat="1" applyFont="1">
      <alignment vertical="top"/>
    </xf>
    <xf numFmtId="49" fontId="17" fillId="12" borderId="7" xfId="0" applyNumberFormat="1" applyFont="1" applyFill="1" applyBorder="1" applyAlignment="1">
      <alignment horizontal="left" vertical="center" indent="4"/>
    </xf>
    <xf numFmtId="49" fontId="18" fillId="12" borderId="6" xfId="0" applyNumberFormat="1" applyFont="1" applyFill="1" applyBorder="1" applyAlignment="1">
      <alignment horizontal="left" vertical="center"/>
    </xf>
    <xf numFmtId="49" fontId="19" fillId="12" borderId="7" xfId="0" applyNumberFormat="1" applyFont="1" applyFill="1" applyBorder="1" applyAlignment="1">
      <alignment horizontal="left" vertical="center" indent="3"/>
    </xf>
    <xf numFmtId="49" fontId="7" fillId="12" borderId="7" xfId="0" applyNumberFormat="1" applyFont="1" applyFill="1" applyBorder="1" applyAlignment="1">
      <alignment horizontal="center" vertical="center" wrapText="1"/>
    </xf>
    <xf numFmtId="49" fontId="20" fillId="0" borderId="0" xfId="0" applyNumberFormat="1" applyFont="1">
      <alignment vertical="top"/>
    </xf>
    <xf numFmtId="49" fontId="0" fillId="0" borderId="12" xfId="0" applyNumberFormat="1" applyFont="1" applyBorder="1">
      <alignment vertical="top"/>
    </xf>
    <xf numFmtId="49" fontId="19" fillId="12" borderId="7" xfId="0" applyNumberFormat="1" applyFont="1" applyFill="1" applyBorder="1" applyAlignment="1">
      <alignment horizontal="left" vertical="center" indent="2"/>
    </xf>
    <xf numFmtId="49" fontId="19" fillId="12" borderId="7" xfId="0" applyNumberFormat="1" applyFont="1" applyFill="1" applyBorder="1" applyAlignment="1">
      <alignment horizontal="left" vertical="center" indent="1"/>
    </xf>
    <xf numFmtId="49" fontId="21" fillId="12" borderId="6" xfId="0" applyNumberFormat="1" applyFont="1" applyFill="1" applyBorder="1" applyAlignment="1">
      <alignment horizontal="left" vertical="top"/>
    </xf>
    <xf numFmtId="49" fontId="19" fillId="12" borderId="7" xfId="0" applyNumberFormat="1" applyFont="1" applyFill="1" applyBorder="1" applyAlignment="1">
      <alignment horizontal="left" vertical="center"/>
    </xf>
    <xf numFmtId="0" fontId="4" fillId="0" borderId="0" xfId="0" applyNumberFormat="1" applyFont="1" applyAlignment="1">
      <alignment horizontal="left" vertical="top" wrapText="1"/>
    </xf>
    <xf numFmtId="0" fontId="2" fillId="0" borderId="0" xfId="0" applyNumberFormat="1" applyFont="1" applyAlignment="1">
      <alignment vertical="center" wrapText="1"/>
    </xf>
    <xf numFmtId="0" fontId="22" fillId="0" borderId="0" xfId="0" applyNumberFormat="1" applyFont="1" applyAlignment="1">
      <alignment vertical="center"/>
    </xf>
    <xf numFmtId="0" fontId="0" fillId="3" borderId="13"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49" fontId="17" fillId="12" borderId="4" xfId="0" applyNumberFormat="1" applyFont="1" applyFill="1" applyBorder="1" applyAlignment="1">
      <alignment horizontal="center" vertical="center" textRotation="90" wrapText="1"/>
    </xf>
    <xf numFmtId="0" fontId="4" fillId="0" borderId="6" xfId="0" applyNumberFormat="1" applyFont="1" applyBorder="1" applyAlignment="1">
      <alignment horizontal="center" vertical="center" wrapText="1"/>
    </xf>
    <xf numFmtId="0" fontId="4" fillId="0" borderId="13"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0" fontId="4" fillId="3" borderId="10" xfId="0" applyNumberFormat="1" applyFont="1" applyFill="1" applyBorder="1" applyAlignment="1">
      <alignment horizontal="center" vertical="center" wrapText="1"/>
    </xf>
    <xf numFmtId="49" fontId="17" fillId="12" borderId="10" xfId="0" applyNumberFormat="1" applyFont="1" applyFill="1" applyBorder="1" applyAlignment="1">
      <alignment horizontal="center" vertical="center" textRotation="90" wrapText="1"/>
    </xf>
    <xf numFmtId="0" fontId="0" fillId="0" borderId="3"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4" fillId="3" borderId="11" xfId="0" applyNumberFormat="1" applyFont="1" applyFill="1" applyBorder="1" applyAlignment="1">
      <alignment horizontal="center" vertical="center" wrapText="1"/>
    </xf>
    <xf numFmtId="49" fontId="17" fillId="12" borderId="11" xfId="0" applyNumberFormat="1" applyFont="1" applyFill="1" applyBorder="1" applyAlignment="1">
      <alignment horizontal="center" vertical="center" textRotation="90" wrapText="1"/>
    </xf>
    <xf numFmtId="0" fontId="23" fillId="0" borderId="3" xfId="0" applyNumberFormat="1" applyFont="1" applyBorder="1" applyAlignment="1">
      <alignment vertical="top" wrapText="1"/>
    </xf>
    <xf numFmtId="0" fontId="4" fillId="10" borderId="13" xfId="0" applyNumberFormat="1" applyFont="1" applyFill="1" applyBorder="1" applyAlignment="1">
      <alignment horizontal="left" vertical="center" wrapText="1"/>
    </xf>
    <xf numFmtId="183" fontId="4" fillId="11" borderId="3" xfId="0" applyNumberFormat="1" applyFont="1" applyFill="1" applyBorder="1" applyAlignment="1" applyProtection="1">
      <alignment horizontal="right" vertical="center" wrapText="1"/>
      <protection locked="0"/>
    </xf>
    <xf numFmtId="186" fontId="0" fillId="13" borderId="3" xfId="0" applyNumberFormat="1" applyFont="1" applyFill="1" applyBorder="1" applyAlignment="1" applyProtection="1">
      <alignment horizontal="center" vertical="center" wrapText="1"/>
      <protection locked="0"/>
    </xf>
    <xf numFmtId="49" fontId="4" fillId="10" borderId="3" xfId="0" applyNumberFormat="1" applyFont="1" applyFill="1" applyBorder="1" applyAlignment="1">
      <alignment horizontal="center" vertical="center" wrapText="1"/>
    </xf>
    <xf numFmtId="0" fontId="23" fillId="0" borderId="4" xfId="0" applyNumberFormat="1" applyFont="1" applyBorder="1" applyAlignment="1">
      <alignment horizontal="left" vertical="top" wrapText="1"/>
    </xf>
    <xf numFmtId="185" fontId="10" fillId="0" borderId="3" xfId="0" applyNumberFormat="1" applyFont="1" applyBorder="1" applyAlignment="1">
      <alignment horizontal="center" vertical="center" wrapText="1"/>
    </xf>
    <xf numFmtId="49" fontId="0" fillId="13" borderId="3" xfId="0" applyNumberFormat="1" applyFont="1" applyFill="1" applyBorder="1" applyAlignment="1" applyProtection="1">
      <alignment horizontal="center" vertical="center" wrapText="1"/>
      <protection locked="0"/>
    </xf>
    <xf numFmtId="0" fontId="23" fillId="0" borderId="10" xfId="0" applyNumberFormat="1" applyFont="1" applyBorder="1" applyAlignment="1">
      <alignment horizontal="left" vertical="top" wrapText="1"/>
    </xf>
    <xf numFmtId="49" fontId="4" fillId="12" borderId="13" xfId="0" applyNumberFormat="1" applyFont="1" applyFill="1" applyBorder="1" applyAlignment="1">
      <alignment horizontal="center" vertical="center" wrapText="1"/>
    </xf>
    <xf numFmtId="0" fontId="23" fillId="0" borderId="11" xfId="0" applyNumberFormat="1" applyFont="1" applyBorder="1" applyAlignment="1">
      <alignment horizontal="left" vertical="top" wrapText="1"/>
    </xf>
    <xf numFmtId="49" fontId="0" fillId="12" borderId="7" xfId="0" applyNumberFormat="1" applyFont="1" applyFill="1" applyBorder="1" applyAlignment="1">
      <alignment horizontal="center" vertical="center" wrapText="1"/>
    </xf>
    <xf numFmtId="49" fontId="0" fillId="12" borderId="13" xfId="0" applyNumberFormat="1" applyFont="1" applyFill="1" applyBorder="1" applyAlignment="1">
      <alignment horizontal="center" vertical="center" wrapText="1"/>
    </xf>
    <xf numFmtId="49" fontId="21" fillId="12" borderId="7" xfId="0" applyNumberFormat="1" applyFont="1" applyFill="1" applyBorder="1" applyAlignment="1">
      <alignment horizontal="center" vertical="center" wrapText="1"/>
    </xf>
    <xf numFmtId="49" fontId="21" fillId="12" borderId="13" xfId="0" applyNumberFormat="1" applyFont="1" applyFill="1" applyBorder="1" applyAlignment="1">
      <alignment horizontal="center" vertical="center" wrapText="1"/>
    </xf>
    <xf numFmtId="0" fontId="10" fillId="0" borderId="0" xfId="0" applyNumberFormat="1" applyFont="1" applyAlignment="1">
      <alignment vertical="center"/>
    </xf>
    <xf numFmtId="49" fontId="10" fillId="0" borderId="0" xfId="0" applyNumberFormat="1" applyFont="1">
      <alignment vertical="top"/>
    </xf>
    <xf numFmtId="49" fontId="24" fillId="0" borderId="0" xfId="0" applyNumberFormat="1" applyFont="1" applyAlignment="1">
      <alignment horizontal="center" vertical="top" wrapText="1"/>
    </xf>
    <xf numFmtId="49" fontId="24" fillId="0" borderId="0" xfId="0" applyNumberFormat="1" applyFont="1" applyAlignment="1">
      <alignment vertical="top" wrapText="1"/>
    </xf>
    <xf numFmtId="49" fontId="24" fillId="0" borderId="0" xfId="0" applyNumberFormat="1" applyFont="1" applyAlignment="1">
      <alignment horizontal="left" vertical="top" wrapText="1"/>
    </xf>
    <xf numFmtId="49" fontId="24" fillId="14" borderId="0" xfId="0" applyNumberFormat="1" applyFont="1" applyFill="1" applyAlignment="1">
      <alignment horizontal="left" vertical="top" wrapText="1"/>
    </xf>
    <xf numFmtId="0" fontId="24" fillId="0" borderId="0" xfId="0" applyNumberFormat="1" applyFont="1" applyAlignment="1">
      <alignment vertical="top" wrapText="1"/>
    </xf>
    <xf numFmtId="49" fontId="24" fillId="0" borderId="3" xfId="0" applyNumberFormat="1" applyFont="1" applyBorder="1" applyAlignment="1">
      <alignment horizontal="center" vertical="top" wrapText="1"/>
    </xf>
    <xf numFmtId="49" fontId="24" fillId="0" borderId="3" xfId="0" applyNumberFormat="1" applyFont="1" applyBorder="1" applyAlignment="1">
      <alignment vertical="top" wrapText="1"/>
    </xf>
    <xf numFmtId="49" fontId="25" fillId="14" borderId="3" xfId="0" applyNumberFormat="1" applyFont="1" applyFill="1" applyBorder="1" applyAlignment="1">
      <alignment horizontal="center" vertical="top" wrapText="1"/>
    </xf>
    <xf numFmtId="49" fontId="24" fillId="0" borderId="3" xfId="0" applyNumberFormat="1" applyFont="1" applyBorder="1" applyAlignment="1">
      <alignment horizontal="left" vertical="top" wrapText="1"/>
    </xf>
    <xf numFmtId="0" fontId="24" fillId="14" borderId="3" xfId="0" applyNumberFormat="1" applyFont="1" applyFill="1" applyBorder="1" applyAlignment="1">
      <alignment horizontal="right" vertical="center" wrapText="1"/>
    </xf>
    <xf numFmtId="49" fontId="24" fillId="0" borderId="6" xfId="0" applyNumberFormat="1" applyFont="1" applyBorder="1" applyAlignment="1">
      <alignment horizontal="center" vertical="top" wrapText="1"/>
    </xf>
    <xf numFmtId="49" fontId="24" fillId="0" borderId="7" xfId="0" applyNumberFormat="1" applyFont="1" applyBorder="1" applyAlignment="1">
      <alignment horizontal="center" vertical="top" wrapText="1"/>
    </xf>
    <xf numFmtId="49" fontId="24" fillId="0" borderId="13" xfId="0" applyNumberFormat="1" applyFont="1" applyBorder="1" applyAlignment="1">
      <alignment horizontal="center" vertical="top" wrapText="1"/>
    </xf>
    <xf numFmtId="0" fontId="24" fillId="14" borderId="3" xfId="0" applyNumberFormat="1" applyFont="1" applyFill="1" applyBorder="1" applyAlignment="1">
      <alignment horizontal="center" vertical="center" wrapText="1"/>
    </xf>
    <xf numFmtId="49" fontId="24" fillId="0" borderId="4" xfId="0" applyNumberFormat="1" applyFont="1" applyBorder="1" applyAlignment="1">
      <alignment horizontal="center" vertical="top" wrapText="1"/>
    </xf>
    <xf numFmtId="49" fontId="24" fillId="0" borderId="10" xfId="0" applyNumberFormat="1" applyFont="1" applyBorder="1" applyAlignment="1">
      <alignment horizontal="center" vertical="top" wrapText="1"/>
    </xf>
    <xf numFmtId="49" fontId="24" fillId="0" borderId="14" xfId="0" applyNumberFormat="1" applyFont="1" applyBorder="1" applyAlignment="1">
      <alignment horizontal="center" vertical="top" wrapText="1"/>
    </xf>
    <xf numFmtId="49" fontId="24" fillId="0" borderId="11" xfId="0" applyNumberFormat="1" applyFont="1" applyBorder="1" applyAlignment="1">
      <alignment horizontal="center" vertical="top" wrapText="1"/>
    </xf>
    <xf numFmtId="49" fontId="24" fillId="0" borderId="15" xfId="0" applyNumberFormat="1" applyFont="1" applyBorder="1" applyAlignment="1">
      <alignment horizontal="center" vertical="top" wrapText="1"/>
    </xf>
    <xf numFmtId="49" fontId="25" fillId="0" borderId="3" xfId="0" applyNumberFormat="1" applyFont="1" applyBorder="1" applyAlignment="1">
      <alignment horizontal="left" vertical="top" wrapText="1"/>
    </xf>
    <xf numFmtId="0" fontId="25" fillId="0" borderId="6" xfId="0" applyNumberFormat="1" applyFont="1" applyBorder="1" applyAlignment="1">
      <alignment horizontal="center" vertical="center" wrapText="1"/>
    </xf>
    <xf numFmtId="49" fontId="24" fillId="0" borderId="6" xfId="0" applyNumberFormat="1" applyFont="1" applyBorder="1" applyAlignment="1">
      <alignment horizontal="left" vertical="top" wrapText="1"/>
    </xf>
    <xf numFmtId="0" fontId="25" fillId="0" borderId="3" xfId="0" applyNumberFormat="1" applyFont="1" applyBorder="1" applyAlignment="1">
      <alignment horizontal="center" vertical="center" wrapText="1"/>
    </xf>
    <xf numFmtId="49" fontId="24" fillId="0" borderId="15" xfId="0" applyNumberFormat="1" applyFont="1" applyBorder="1" applyAlignment="1">
      <alignment horizontal="left" vertical="top" wrapText="1"/>
    </xf>
    <xf numFmtId="0" fontId="24" fillId="0" borderId="3" xfId="0" applyNumberFormat="1" applyFont="1" applyBorder="1" applyAlignment="1">
      <alignment horizontal="left" vertical="top" wrapText="1"/>
    </xf>
    <xf numFmtId="0" fontId="24" fillId="0" borderId="4" xfId="0" applyNumberFormat="1" applyFont="1" applyBorder="1" applyAlignment="1">
      <alignment horizontal="left" vertical="top" wrapText="1"/>
    </xf>
    <xf numFmtId="0" fontId="24" fillId="0" borderId="3" xfId="0" applyNumberFormat="1" applyFont="1" applyBorder="1" applyAlignment="1">
      <alignment vertical="top" wrapText="1"/>
    </xf>
    <xf numFmtId="0" fontId="24" fillId="0" borderId="13" xfId="0" applyNumberFormat="1" applyFont="1" applyBorder="1" applyAlignment="1">
      <alignment horizontal="left" vertical="top" wrapText="1"/>
    </xf>
    <xf numFmtId="49" fontId="24" fillId="0" borderId="16" xfId="0" applyNumberFormat="1" applyFont="1" applyBorder="1" applyAlignment="1">
      <alignment horizontal="center" vertical="top" wrapText="1"/>
    </xf>
    <xf numFmtId="0" fontId="24" fillId="0" borderId="4" xfId="0" applyNumberFormat="1" applyFont="1" applyBorder="1" applyAlignment="1">
      <alignment vertical="top" wrapText="1"/>
    </xf>
    <xf numFmtId="0" fontId="25" fillId="0" borderId="6" xfId="0" applyNumberFormat="1" applyFont="1" applyBorder="1" applyAlignment="1">
      <alignment horizontal="center" vertical="center"/>
    </xf>
    <xf numFmtId="49" fontId="25" fillId="0" borderId="3" xfId="0" applyNumberFormat="1" applyFont="1" applyBorder="1" applyAlignment="1">
      <alignment horizontal="center" vertical="center" wrapText="1"/>
    </xf>
    <xf numFmtId="0" fontId="25" fillId="0" borderId="3" xfId="0" applyNumberFormat="1" applyFont="1" applyBorder="1" applyAlignment="1">
      <alignment vertical="center" wrapText="1"/>
    </xf>
    <xf numFmtId="0" fontId="25" fillId="0" borderId="4" xfId="0" applyNumberFormat="1" applyFont="1" applyBorder="1" applyAlignment="1">
      <alignment vertical="center" wrapText="1"/>
    </xf>
    <xf numFmtId="0" fontId="25" fillId="0" borderId="11" xfId="0" applyNumberFormat="1" applyFont="1" applyBorder="1" applyAlignment="1">
      <alignment vertical="center" wrapText="1"/>
    </xf>
    <xf numFmtId="49" fontId="24" fillId="14" borderId="3" xfId="0" applyNumberFormat="1" applyFont="1" applyFill="1" applyBorder="1" applyAlignment="1">
      <alignment horizontal="center" vertical="top" wrapText="1"/>
    </xf>
    <xf numFmtId="0" fontId="25" fillId="14" borderId="3" xfId="0" applyNumberFormat="1" applyFont="1" applyFill="1" applyBorder="1" applyAlignment="1">
      <alignment horizontal="center" vertical="top" wrapText="1"/>
    </xf>
    <xf numFmtId="49" fontId="24" fillId="14" borderId="3" xfId="0" applyNumberFormat="1" applyFont="1" applyFill="1" applyBorder="1" applyAlignment="1">
      <alignment horizontal="left" vertical="top" wrapText="1"/>
    </xf>
    <xf numFmtId="49" fontId="24" fillId="0" borderId="13" xfId="0" applyNumberFormat="1" applyFont="1" applyBorder="1" applyAlignment="1">
      <alignment horizontal="left" vertical="top" wrapText="1"/>
    </xf>
    <xf numFmtId="49" fontId="25" fillId="0" borderId="4" xfId="0" applyNumberFormat="1" applyFont="1" applyBorder="1" applyAlignment="1">
      <alignment horizontal="center" vertical="center" wrapText="1"/>
    </xf>
    <xf numFmtId="49" fontId="25" fillId="0" borderId="11" xfId="0" applyNumberFormat="1" applyFont="1" applyBorder="1" applyAlignment="1">
      <alignment horizontal="center" vertical="center" wrapText="1"/>
    </xf>
    <xf numFmtId="0" fontId="25" fillId="0" borderId="4" xfId="0" applyNumberFormat="1" applyFont="1" applyBorder="1" applyAlignment="1">
      <alignment horizontal="center" vertical="center" wrapText="1"/>
    </xf>
    <xf numFmtId="49" fontId="24" fillId="0" borderId="10" xfId="0" applyNumberFormat="1" applyFont="1" applyBorder="1" applyAlignment="1">
      <alignment horizontal="left" vertical="top" wrapText="1"/>
    </xf>
    <xf numFmtId="0" fontId="24" fillId="0" borderId="10" xfId="0" applyNumberFormat="1" applyFont="1" applyBorder="1" applyAlignment="1">
      <alignment horizontal="left" vertical="top" wrapText="1"/>
    </xf>
    <xf numFmtId="49" fontId="24" fillId="0" borderId="0" xfId="0" applyNumberFormat="1" applyFont="1">
      <alignment vertical="top"/>
    </xf>
    <xf numFmtId="49" fontId="25" fillId="0" borderId="3" xfId="0" applyNumberFormat="1" applyFont="1" applyBorder="1" applyAlignment="1">
      <alignment horizontal="center" vertical="top" wrapText="1"/>
    </xf>
    <xf numFmtId="49" fontId="25" fillId="14" borderId="3" xfId="0" applyNumberFormat="1" applyFont="1" applyFill="1" applyBorder="1" applyAlignment="1">
      <alignment horizontal="center" vertical="top"/>
    </xf>
    <xf numFmtId="49" fontId="25" fillId="0" borderId="3" xfId="0" applyNumberFormat="1" applyFont="1" applyBorder="1" applyAlignment="1">
      <alignment vertical="top" wrapText="1"/>
    </xf>
    <xf numFmtId="0" fontId="25" fillId="0" borderId="3" xfId="0" applyNumberFormat="1" applyFont="1" applyBorder="1" applyAlignment="1">
      <alignment vertical="top" wrapText="1"/>
    </xf>
    <xf numFmtId="49" fontId="25" fillId="0" borderId="3" xfId="0" applyNumberFormat="1" applyFont="1" applyBorder="1">
      <alignment vertical="top"/>
    </xf>
    <xf numFmtId="49" fontId="24" fillId="0" borderId="3" xfId="0" applyNumberFormat="1" applyFont="1" applyBorder="1">
      <alignment vertical="top"/>
    </xf>
    <xf numFmtId="49" fontId="0" fillId="15" borderId="0" xfId="0" applyNumberFormat="1" applyFont="1" applyFill="1">
      <alignment vertical="top"/>
    </xf>
    <xf numFmtId="0" fontId="4" fillId="0" borderId="0" xfId="0" applyNumberFormat="1" applyFont="1" applyAlignment="1"/>
    <xf numFmtId="0" fontId="15" fillId="0" borderId="0" xfId="0" applyNumberFormat="1" applyFont="1" applyAlignment="1">
      <alignment vertical="center" wrapText="1"/>
    </xf>
    <xf numFmtId="0" fontId="0" fillId="3" borderId="0" xfId="0" applyNumberFormat="1" applyFont="1" applyFill="1" applyAlignment="1"/>
    <xf numFmtId="0" fontId="26" fillId="0" borderId="0" xfId="0" applyNumberFormat="1" applyFont="1" applyAlignment="1">
      <alignment vertical="center" wrapText="1"/>
    </xf>
    <xf numFmtId="49" fontId="23" fillId="0" borderId="0" xfId="0" applyNumberFormat="1" applyFont="1" applyAlignment="1">
      <alignment vertical="center"/>
    </xf>
    <xf numFmtId="49" fontId="21" fillId="0" borderId="0" xfId="0" applyNumberFormat="1" applyFont="1">
      <alignment vertical="top"/>
    </xf>
    <xf numFmtId="0" fontId="11" fillId="3" borderId="0" xfId="0" applyNumberFormat="1" applyFont="1" applyFill="1" applyAlignment="1">
      <alignment horizontal="center" vertical="center" wrapText="1"/>
    </xf>
    <xf numFmtId="0" fontId="4" fillId="3" borderId="3" xfId="0" applyNumberFormat="1" applyFont="1" applyFill="1" applyBorder="1" applyAlignment="1">
      <alignment horizontal="center" vertical="center"/>
    </xf>
    <xf numFmtId="49" fontId="4" fillId="13" borderId="3" xfId="0" applyNumberFormat="1" applyFont="1" applyFill="1" applyBorder="1" applyAlignment="1" applyProtection="1">
      <alignment horizontal="left" vertical="center" wrapText="1"/>
      <protection locked="0"/>
    </xf>
    <xf numFmtId="0" fontId="11" fillId="3" borderId="0" xfId="0" applyNumberFormat="1" applyFont="1" applyFill="1" applyAlignment="1">
      <alignment horizontal="center"/>
    </xf>
    <xf numFmtId="49" fontId="4" fillId="11"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top" wrapText="1"/>
    </xf>
    <xf numFmtId="0" fontId="11" fillId="0" borderId="0" xfId="0" applyNumberFormat="1" applyFont="1" applyAlignment="1">
      <alignment horizontal="center" vertical="center" wrapText="1"/>
    </xf>
    <xf numFmtId="0" fontId="10" fillId="0" borderId="3" xfId="0" applyNumberFormat="1" applyFont="1" applyBorder="1" applyAlignment="1">
      <alignment horizontal="center" vertical="center"/>
    </xf>
    <xf numFmtId="49" fontId="4" fillId="13" borderId="3" xfId="0" applyNumberFormat="1" applyFont="1" applyFill="1" applyBorder="1" applyAlignment="1" applyProtection="1">
      <alignment vertical="center" wrapText="1"/>
      <protection locked="0"/>
    </xf>
    <xf numFmtId="49" fontId="8" fillId="0" borderId="3" xfId="0" applyNumberFormat="1" applyFont="1" applyBorder="1" applyAlignment="1">
      <alignment horizontal="left" vertical="center" wrapText="1"/>
    </xf>
    <xf numFmtId="0" fontId="27" fillId="0" borderId="12" xfId="0" applyNumberFormat="1" applyFont="1" applyBorder="1" applyAlignment="1">
      <alignment vertical="top" wrapText="1"/>
    </xf>
    <xf numFmtId="0" fontId="8" fillId="0" borderId="11" xfId="0" applyNumberFormat="1" applyFont="1" applyBorder="1" applyAlignment="1">
      <alignment horizontal="center" vertical="center" wrapText="1"/>
    </xf>
    <xf numFmtId="186" fontId="4" fillId="10" borderId="11" xfId="0" applyNumberFormat="1" applyFont="1" applyFill="1" applyBorder="1" applyAlignment="1">
      <alignment horizontal="left" vertical="center" wrapText="1" indent="1"/>
    </xf>
    <xf numFmtId="0" fontId="0" fillId="0" borderId="0" xfId="0" applyNumberFormat="1" applyFont="1" applyAlignment="1">
      <alignment vertical="center" wrapText="1"/>
    </xf>
    <xf numFmtId="49" fontId="3" fillId="12" borderId="6" xfId="0" applyNumberFormat="1" applyFont="1" applyFill="1" applyBorder="1" applyAlignment="1">
      <alignment horizontal="right" vertical="center" wrapText="1"/>
    </xf>
    <xf numFmtId="49" fontId="3" fillId="12" borderId="7" xfId="0" applyNumberFormat="1" applyFont="1" applyFill="1" applyBorder="1" applyAlignment="1">
      <alignment horizontal="right" vertical="center" wrapText="1"/>
    </xf>
    <xf numFmtId="49" fontId="17" fillId="12" borderId="7" xfId="0" applyNumberFormat="1" applyFont="1" applyFill="1" applyBorder="1" applyAlignment="1">
      <alignment horizontal="left" vertical="center" indent="1"/>
    </xf>
    <xf numFmtId="49" fontId="0" fillId="12" borderId="7" xfId="0" applyNumberFormat="1" applyFont="1" applyFill="1" applyBorder="1" applyAlignment="1">
      <alignment horizontal="right" vertical="center" wrapText="1"/>
    </xf>
    <xf numFmtId="0" fontId="8" fillId="0" borderId="3" xfId="0" applyNumberFormat="1" applyFont="1" applyBorder="1" applyAlignment="1">
      <alignment horizontal="center" vertical="center" wrapText="1"/>
    </xf>
    <xf numFmtId="186" fontId="4" fillId="10" borderId="3" xfId="0" applyNumberFormat="1" applyFont="1" applyFill="1" applyBorder="1" applyAlignment="1">
      <alignment horizontal="left" vertical="center" wrapText="1" indent="1"/>
    </xf>
    <xf numFmtId="0" fontId="27" fillId="0" borderId="1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4" fillId="10" borderId="4" xfId="0" applyNumberFormat="1" applyFont="1" applyFill="1" applyBorder="1" applyAlignment="1">
      <alignment horizontal="left" vertical="center" wrapText="1" indent="2"/>
    </xf>
    <xf numFmtId="186" fontId="28" fillId="0" borderId="4"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4" fillId="10" borderId="10" xfId="0" applyNumberFormat="1" applyFont="1" applyFill="1" applyBorder="1" applyAlignment="1">
      <alignment horizontal="left" vertical="center" wrapText="1" indent="2"/>
    </xf>
    <xf numFmtId="186" fontId="28" fillId="0" borderId="10" xfId="0" applyNumberFormat="1" applyFont="1" applyBorder="1" applyAlignment="1">
      <alignment horizontal="center" vertical="center" wrapText="1"/>
    </xf>
    <xf numFmtId="0" fontId="4" fillId="10" borderId="11" xfId="0" applyNumberFormat="1" applyFont="1" applyFill="1" applyBorder="1" applyAlignment="1">
      <alignment horizontal="left" vertical="center" wrapText="1" indent="2"/>
    </xf>
    <xf numFmtId="0" fontId="27" fillId="0" borderId="3" xfId="0" applyNumberFormat="1" applyFont="1" applyBorder="1" applyAlignment="1">
      <alignment horizontal="center" vertical="center" wrapText="1"/>
    </xf>
    <xf numFmtId="49" fontId="4" fillId="3" borderId="0" xfId="0" applyNumberFormat="1" applyFont="1" applyFill="1" applyAlignment="1">
      <alignment horizontal="center" vertical="center" wrapText="1"/>
    </xf>
    <xf numFmtId="0" fontId="4" fillId="3" borderId="0" xfId="0" applyNumberFormat="1" applyFont="1" applyFill="1" applyAlignment="1">
      <alignment horizontal="center" vertical="top" wrapText="1"/>
    </xf>
    <xf numFmtId="0" fontId="0" fillId="3" borderId="3" xfId="0" applyNumberFormat="1" applyFont="1" applyFill="1" applyBorder="1" applyAlignment="1">
      <alignment horizontal="center" vertical="center"/>
    </xf>
    <xf numFmtId="49" fontId="0" fillId="13" borderId="3" xfId="0" applyNumberFormat="1" applyFont="1" applyFill="1" applyBorder="1" applyAlignment="1" applyProtection="1">
      <alignment horizontal="left" vertical="center" wrapText="1" indent="1"/>
      <protection locked="0"/>
    </xf>
    <xf numFmtId="49" fontId="4" fillId="10" borderId="6" xfId="0" applyNumberFormat="1" applyFont="1" applyFill="1" applyBorder="1" applyAlignment="1">
      <alignment horizontal="left" vertical="center" wrapText="1"/>
    </xf>
    <xf numFmtId="0" fontId="29" fillId="3" borderId="0" xfId="0" applyNumberFormat="1" applyFont="1" applyFill="1" applyAlignment="1"/>
    <xf numFmtId="49" fontId="4" fillId="13" borderId="6" xfId="0" applyNumberFormat="1" applyFont="1" applyFill="1" applyBorder="1" applyAlignment="1" applyProtection="1">
      <alignment horizontal="left" vertical="center" wrapText="1"/>
      <protection locked="0"/>
    </xf>
    <xf numFmtId="0" fontId="10" fillId="3" borderId="0" xfId="0" applyNumberFormat="1" applyFont="1" applyFill="1" applyAlignment="1">
      <alignment vertical="center" wrapText="1"/>
    </xf>
    <xf numFmtId="0" fontId="4" fillId="3" borderId="12" xfId="0" applyNumberFormat="1" applyFont="1" applyFill="1" applyBorder="1" applyAlignment="1">
      <alignment horizontal="center" vertical="center" wrapText="1"/>
    </xf>
    <xf numFmtId="49" fontId="0" fillId="3" borderId="3" xfId="0" applyNumberFormat="1" applyFont="1" applyFill="1" applyBorder="1" applyAlignment="1">
      <alignment horizontal="center" vertical="center"/>
    </xf>
    <xf numFmtId="0" fontId="0" fillId="3" borderId="3" xfId="0" applyNumberFormat="1" applyFont="1" applyFill="1" applyBorder="1" applyAlignment="1">
      <alignment horizontal="left" vertical="center" wrapText="1" indent="1"/>
    </xf>
    <xf numFmtId="0" fontId="0" fillId="3" borderId="3" xfId="0" applyNumberFormat="1" applyFont="1" applyFill="1" applyBorder="1" applyAlignment="1">
      <alignment vertical="center" wrapText="1"/>
    </xf>
    <xf numFmtId="0" fontId="0" fillId="3" borderId="3" xfId="0" applyNumberFormat="1" applyFont="1" applyFill="1" applyBorder="1" applyAlignment="1">
      <alignment horizontal="left" vertical="center" wrapText="1" indent="2"/>
    </xf>
    <xf numFmtId="49" fontId="0" fillId="13" borderId="3" xfId="0" applyNumberFormat="1" applyFont="1" applyFill="1" applyBorder="1" applyAlignment="1" applyProtection="1">
      <alignment horizontal="left" vertical="center" wrapText="1"/>
      <protection locked="0"/>
    </xf>
    <xf numFmtId="0" fontId="4" fillId="3" borderId="3" xfId="0" applyNumberFormat="1" applyFont="1" applyFill="1" applyBorder="1" applyAlignment="1">
      <alignment vertical="center" wrapText="1"/>
    </xf>
    <xf numFmtId="186" fontId="0" fillId="13" borderId="3" xfId="0" applyNumberFormat="1" applyFont="1" applyFill="1" applyBorder="1" applyAlignment="1" applyProtection="1">
      <alignment horizontal="left" vertical="center" wrapText="1" indent="1"/>
      <protection locked="0"/>
    </xf>
    <xf numFmtId="0" fontId="11" fillId="3" borderId="0" xfId="0" applyNumberFormat="1" applyFont="1" applyFill="1" applyAlignment="1">
      <alignment vertical="top" wrapText="1"/>
    </xf>
    <xf numFmtId="0" fontId="4" fillId="3" borderId="6" xfId="0" applyNumberFormat="1" applyFont="1" applyFill="1" applyBorder="1" applyAlignment="1">
      <alignment horizontal="center" vertical="center" wrapText="1"/>
    </xf>
    <xf numFmtId="0" fontId="10" fillId="3" borderId="3" xfId="0" applyNumberFormat="1" applyFont="1" applyFill="1" applyBorder="1" applyAlignment="1">
      <alignment horizontal="center" vertical="center" wrapText="1"/>
    </xf>
    <xf numFmtId="186" fontId="4" fillId="10" borderId="17"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11" borderId="3" xfId="0" applyNumberFormat="1" applyFont="1" applyFill="1" applyBorder="1" applyAlignment="1" applyProtection="1">
      <alignment horizontal="left" vertical="center" wrapText="1"/>
      <protection locked="0"/>
    </xf>
    <xf numFmtId="49" fontId="27" fillId="3" borderId="3" xfId="0" applyNumberFormat="1" applyFont="1" applyFill="1" applyBorder="1" applyAlignment="1">
      <alignment horizontal="center" vertical="center" wrapText="1"/>
    </xf>
    <xf numFmtId="185" fontId="0" fillId="13" borderId="3" xfId="0" applyNumberFormat="1" applyFont="1" applyFill="1" applyBorder="1" applyAlignment="1" applyProtection="1">
      <alignment horizontal="right" vertical="center" wrapText="1"/>
      <protection locked="0"/>
    </xf>
    <xf numFmtId="49" fontId="8" fillId="0" borderId="0" xfId="0" applyNumberFormat="1" applyFont="1">
      <alignment vertical="top"/>
    </xf>
    <xf numFmtId="49" fontId="11" fillId="0" borderId="0" xfId="0" applyNumberFormat="1" applyFont="1" applyAlignment="1">
      <alignment horizontal="center" vertical="center" wrapText="1"/>
    </xf>
    <xf numFmtId="49" fontId="30" fillId="13" borderId="3" xfId="0" applyNumberFormat="1" applyFont="1" applyFill="1" applyBorder="1" applyAlignment="1" applyProtection="1">
      <alignment horizontal="left" vertical="center" wrapText="1"/>
      <protection locked="0"/>
    </xf>
    <xf numFmtId="0" fontId="31" fillId="0" borderId="0" xfId="0" applyNumberFormat="1" applyFont="1" applyAlignment="1">
      <alignment vertical="center"/>
    </xf>
    <xf numFmtId="49" fontId="4" fillId="2" borderId="11" xfId="0" applyNumberFormat="1" applyFont="1" applyFill="1" applyBorder="1" applyAlignment="1">
      <alignment horizontal="center" vertical="center" wrapText="1"/>
    </xf>
    <xf numFmtId="49" fontId="0" fillId="12" borderId="13" xfId="0" applyNumberFormat="1" applyFont="1" applyFill="1" applyBorder="1" applyAlignment="1">
      <alignment horizontal="right" vertical="center" wrapText="1"/>
    </xf>
    <xf numFmtId="49" fontId="4" fillId="2" borderId="3" xfId="0" applyNumberFormat="1" applyFont="1" applyFill="1" applyBorder="1" applyAlignment="1">
      <alignment horizontal="center" vertical="center" wrapText="1"/>
    </xf>
    <xf numFmtId="0" fontId="32" fillId="0" borderId="3" xfId="0" applyNumberFormat="1" applyFont="1" applyBorder="1" applyAlignment="1">
      <alignment horizontal="left" vertical="center" wrapText="1" indent="1"/>
    </xf>
    <xf numFmtId="0" fontId="28" fillId="0" borderId="4" xfId="0" applyNumberFormat="1" applyFont="1" applyBorder="1" applyAlignment="1">
      <alignment horizontal="center" vertical="center" wrapText="1"/>
    </xf>
    <xf numFmtId="49" fontId="32" fillId="0" borderId="3" xfId="0" applyNumberFormat="1" applyFont="1" applyBorder="1" applyAlignment="1">
      <alignment horizontal="left" vertical="center" wrapText="1" indent="1"/>
    </xf>
    <xf numFmtId="0" fontId="32" fillId="0" borderId="3" xfId="0" applyNumberFormat="1" applyFont="1" applyBorder="1" applyAlignment="1">
      <alignment horizontal="left" vertical="top" indent="1"/>
    </xf>
    <xf numFmtId="49" fontId="17" fillId="12" borderId="13" xfId="0" applyNumberFormat="1" applyFont="1" applyFill="1" applyBorder="1" applyAlignment="1">
      <alignment horizontal="left" vertical="center" indent="1"/>
    </xf>
    <xf numFmtId="49" fontId="3" fillId="12" borderId="13" xfId="0" applyNumberFormat="1" applyFont="1" applyFill="1" applyBorder="1" applyAlignment="1">
      <alignment horizontal="right" vertical="center" wrapText="1"/>
    </xf>
    <xf numFmtId="0" fontId="4" fillId="10" borderId="3" xfId="0" applyNumberFormat="1" applyFont="1" applyFill="1" applyBorder="1" applyAlignment="1">
      <alignment horizontal="left" vertical="center" wrapText="1" indent="1"/>
    </xf>
    <xf numFmtId="49" fontId="4" fillId="0" borderId="13" xfId="0" applyNumberFormat="1" applyFont="1" applyBorder="1" applyAlignment="1">
      <alignment horizontal="center" vertical="center" wrapText="1"/>
    </xf>
    <xf numFmtId="49" fontId="32" fillId="13" borderId="3" xfId="0" applyNumberFormat="1" applyFont="1" applyFill="1" applyBorder="1" applyAlignment="1" applyProtection="1">
      <alignment horizontal="left" vertical="center" wrapText="1" indent="1"/>
      <protection locked="0"/>
    </xf>
    <xf numFmtId="0" fontId="8" fillId="0" borderId="16" xfId="0" applyNumberFormat="1" applyFont="1" applyBorder="1" applyAlignment="1">
      <alignment vertical="center"/>
    </xf>
    <xf numFmtId="0" fontId="33" fillId="0" borderId="0" xfId="0" applyNumberFormat="1" applyFont="1" applyAlignment="1">
      <alignment vertical="center" wrapText="1"/>
    </xf>
    <xf numFmtId="186" fontId="4" fillId="10" borderId="3" xfId="0" applyNumberFormat="1" applyFont="1" applyFill="1" applyBorder="1" applyAlignment="1">
      <alignment horizontal="center" vertical="center" wrapText="1"/>
    </xf>
    <xf numFmtId="0" fontId="10" fillId="0" borderId="0" xfId="0" applyNumberFormat="1" applyFont="1" applyAlignment="1">
      <alignment horizontal="left" vertical="center" wrapText="1"/>
    </xf>
    <xf numFmtId="187" fontId="0" fillId="13" borderId="3" xfId="0" applyNumberFormat="1" applyFont="1" applyFill="1" applyBorder="1" applyAlignment="1" applyProtection="1">
      <alignment horizontal="right" vertical="center" wrapText="1"/>
      <protection locked="0"/>
    </xf>
    <xf numFmtId="185" fontId="0" fillId="13" borderId="13" xfId="0" applyNumberFormat="1" applyFont="1" applyFill="1" applyBorder="1" applyAlignment="1" applyProtection="1">
      <alignment horizontal="right" vertical="center" wrapText="1"/>
      <protection locked="0"/>
    </xf>
    <xf numFmtId="0" fontId="0" fillId="11" borderId="3" xfId="0" applyNumberFormat="1" applyFont="1" applyFill="1" applyBorder="1" applyAlignment="1" applyProtection="1">
      <alignment horizontal="right" vertical="center" wrapText="1"/>
      <protection locked="0"/>
    </xf>
    <xf numFmtId="0" fontId="10" fillId="0" borderId="0" xfId="0" applyNumberFormat="1" applyFont="1">
      <alignment vertical="top"/>
    </xf>
    <xf numFmtId="0" fontId="34" fillId="0" borderId="0" xfId="0" applyNumberFormat="1" applyFont="1" applyAlignment="1">
      <alignment vertical="center" wrapText="1"/>
    </xf>
    <xf numFmtId="49" fontId="35" fillId="15" borderId="0" xfId="0" applyNumberFormat="1" applyFont="1" applyFill="1">
      <alignment vertical="top"/>
    </xf>
    <xf numFmtId="49" fontId="35" fillId="0" borderId="0" xfId="0" applyNumberFormat="1" applyFont="1">
      <alignment vertical="top"/>
    </xf>
    <xf numFmtId="0" fontId="34" fillId="0" borderId="0" xfId="0" applyNumberFormat="1" applyFont="1" applyAlignment="1">
      <alignment vertical="center"/>
    </xf>
    <xf numFmtId="49" fontId="10" fillId="0" borderId="0" xfId="0" applyNumberFormat="1" applyFont="1" applyAlignment="1">
      <alignment horizontal="left" vertical="center" wrapText="1"/>
    </xf>
    <xf numFmtId="187" fontId="0" fillId="0" borderId="13" xfId="0" applyNumberFormat="1" applyFont="1" applyBorder="1" applyAlignment="1">
      <alignment horizontal="right" vertical="center" wrapText="1"/>
    </xf>
    <xf numFmtId="0" fontId="0" fillId="0" borderId="11" xfId="0" applyNumberFormat="1" applyFont="1" applyBorder="1" applyAlignment="1">
      <alignment horizontal="center" vertical="center" wrapText="1"/>
    </xf>
    <xf numFmtId="49" fontId="0" fillId="3" borderId="3" xfId="0" applyNumberFormat="1" applyFont="1" applyFill="1" applyBorder="1" applyAlignment="1">
      <alignment horizontal="center" vertical="center" wrapText="1"/>
    </xf>
    <xf numFmtId="0" fontId="0" fillId="13" borderId="6" xfId="0" applyNumberFormat="1" applyFont="1" applyFill="1" applyBorder="1" applyAlignment="1" applyProtection="1">
      <alignment horizontal="left" vertical="center" wrapText="1" indent="2"/>
      <protection locked="0"/>
    </xf>
    <xf numFmtId="49" fontId="8" fillId="0" borderId="0" xfId="0" applyNumberFormat="1" applyFont="1" applyAlignment="1">
      <alignment horizontal="center" vertical="center" wrapText="1"/>
    </xf>
    <xf numFmtId="0" fontId="11" fillId="0" borderId="12" xfId="0" applyNumberFormat="1" applyFont="1" applyBorder="1" applyAlignment="1">
      <alignment horizontal="center" vertical="center" wrapText="1"/>
    </xf>
    <xf numFmtId="49" fontId="4" fillId="0" borderId="3" xfId="0" applyNumberFormat="1" applyFont="1" applyBorder="1" applyAlignment="1">
      <alignment horizontal="center" vertical="top" wrapText="1"/>
    </xf>
    <xf numFmtId="0" fontId="0" fillId="2" borderId="3" xfId="0" applyNumberFormat="1" applyFont="1" applyFill="1" applyBorder="1" applyAlignment="1">
      <alignment horizontal="left" vertical="top" wrapText="1" indent="1"/>
    </xf>
    <xf numFmtId="49" fontId="4" fillId="10" borderId="4" xfId="0" applyNumberFormat="1" applyFont="1" applyFill="1" applyBorder="1" applyAlignment="1">
      <alignment horizontal="center" vertical="top" wrapText="1"/>
    </xf>
    <xf numFmtId="0" fontId="4" fillId="0" borderId="12" xfId="0" applyNumberFormat="1" applyFont="1" applyBorder="1" applyAlignment="1">
      <alignment vertical="top" wrapText="1"/>
    </xf>
    <xf numFmtId="49" fontId="4" fillId="10" borderId="11" xfId="0" applyNumberFormat="1" applyFont="1" applyFill="1" applyBorder="1" applyAlignment="1">
      <alignment horizontal="center" vertical="top" wrapText="1"/>
    </xf>
    <xf numFmtId="49" fontId="4" fillId="0" borderId="10" xfId="0" applyNumberFormat="1" applyFont="1" applyBorder="1" applyAlignment="1">
      <alignment horizontal="center" vertical="top" wrapText="1"/>
    </xf>
    <xf numFmtId="0" fontId="0" fillId="2" borderId="10" xfId="0" applyNumberFormat="1" applyFont="1" applyFill="1" applyBorder="1" applyAlignment="1">
      <alignment horizontal="left" vertical="top" wrapText="1" indent="1"/>
    </xf>
    <xf numFmtId="49" fontId="4" fillId="10" borderId="10" xfId="0" applyNumberFormat="1" applyFont="1" applyFill="1" applyBorder="1" applyAlignment="1">
      <alignment horizontal="center" vertical="top" wrapText="1"/>
    </xf>
    <xf numFmtId="49" fontId="10" fillId="0" borderId="0" xfId="0" applyNumberFormat="1" applyFont="1" applyAlignment="1">
      <alignment horizontal="center" vertical="center" wrapText="1"/>
    </xf>
    <xf numFmtId="0" fontId="36" fillId="0" borderId="18" xfId="0" applyNumberFormat="1" applyFont="1" applyBorder="1" applyAlignment="1">
      <alignment horizontal="left" vertical="center" indent="1"/>
    </xf>
    <xf numFmtId="0" fontId="36" fillId="0" borderId="19" xfId="0" applyNumberFormat="1" applyFont="1" applyBorder="1" applyAlignment="1">
      <alignment horizontal="left" vertical="center" indent="1"/>
    </xf>
    <xf numFmtId="49" fontId="8" fillId="0" borderId="13" xfId="0" applyNumberFormat="1" applyFont="1" applyBorder="1" applyAlignment="1">
      <alignment horizontal="center" vertical="center" wrapText="1"/>
    </xf>
    <xf numFmtId="49" fontId="4" fillId="2" borderId="20" xfId="0" applyNumberFormat="1" applyFont="1" applyFill="1" applyBorder="1" applyAlignment="1">
      <alignment horizontal="center" vertical="center" wrapText="1"/>
    </xf>
    <xf numFmtId="0" fontId="0" fillId="12" borderId="21" xfId="0" applyNumberFormat="1" applyFont="1" applyFill="1" applyBorder="1" applyAlignment="1">
      <alignment horizontal="left" vertical="center"/>
    </xf>
    <xf numFmtId="49" fontId="0" fillId="2" borderId="10" xfId="0" applyNumberFormat="1" applyFont="1" applyFill="1" applyBorder="1">
      <alignment vertical="top"/>
    </xf>
    <xf numFmtId="49" fontId="0" fillId="0" borderId="10" xfId="0" applyNumberFormat="1" applyFont="1" applyBorder="1">
      <alignment vertical="top"/>
    </xf>
    <xf numFmtId="49" fontId="37" fillId="0" borderId="0" xfId="0" applyNumberFormat="1" applyFont="1" applyAlignment="1">
      <alignment vertical="center"/>
    </xf>
    <xf numFmtId="49" fontId="23" fillId="3" borderId="0" xfId="0" applyNumberFormat="1" applyFont="1" applyFill="1" applyAlignment="1">
      <alignment vertical="center"/>
    </xf>
    <xf numFmtId="0" fontId="36" fillId="0" borderId="22" xfId="0" applyNumberFormat="1" applyFont="1" applyBorder="1" applyAlignment="1">
      <alignment horizontal="left" vertical="center" indent="1"/>
    </xf>
    <xf numFmtId="49" fontId="4" fillId="0" borderId="23" xfId="0" applyNumberFormat="1" applyFont="1" applyBorder="1" applyAlignment="1">
      <alignment horizontal="center" vertical="center"/>
    </xf>
    <xf numFmtId="0" fontId="4" fillId="0" borderId="23" xfId="0" applyNumberFormat="1" applyFont="1" applyBorder="1" applyAlignment="1">
      <alignment horizontal="right" vertical="center"/>
    </xf>
    <xf numFmtId="0" fontId="4" fillId="13" borderId="3" xfId="0" applyNumberFormat="1" applyFont="1" applyFill="1" applyBorder="1" applyAlignment="1" applyProtection="1">
      <alignment horizontal="left" vertical="center" wrapText="1" indent="1"/>
      <protection locked="0"/>
    </xf>
    <xf numFmtId="49" fontId="17" fillId="12" borderId="24" xfId="0" applyNumberFormat="1" applyFont="1" applyFill="1" applyBorder="1" applyAlignment="1">
      <alignment horizontal="left" vertical="center" indent="1"/>
    </xf>
    <xf numFmtId="49" fontId="17" fillId="12" borderId="25" xfId="0" applyNumberFormat="1" applyFont="1" applyFill="1" applyBorder="1" applyAlignment="1">
      <alignment horizontal="left" vertical="center" indent="1"/>
    </xf>
    <xf numFmtId="49" fontId="4" fillId="0" borderId="4" xfId="0" applyNumberFormat="1" applyFont="1" applyBorder="1" applyAlignment="1">
      <alignment horizontal="center" vertical="center" wrapText="1"/>
    </xf>
    <xf numFmtId="0" fontId="0" fillId="0" borderId="6" xfId="0" applyNumberFormat="1" applyFont="1" applyBorder="1" applyAlignment="1">
      <alignment horizontal="right" vertical="center" wrapText="1" indent="1"/>
    </xf>
    <xf numFmtId="0" fontId="0" fillId="0" borderId="7" xfId="0" applyNumberFormat="1" applyFont="1" applyBorder="1" applyAlignment="1">
      <alignment horizontal="right" vertical="center" wrapText="1" indent="1"/>
    </xf>
    <xf numFmtId="0" fontId="0" fillId="0" borderId="13" xfId="0" applyNumberFormat="1" applyFont="1" applyBorder="1" applyAlignment="1">
      <alignment horizontal="right" vertical="center" wrapText="1" indent="1"/>
    </xf>
    <xf numFmtId="0" fontId="0" fillId="2" borderId="3" xfId="0" applyNumberFormat="1" applyFont="1" applyFill="1" applyBorder="1" applyAlignment="1">
      <alignment horizontal="left" vertical="center" wrapText="1" indent="1"/>
    </xf>
    <xf numFmtId="49" fontId="4" fillId="0" borderId="10" xfId="0" applyNumberFormat="1" applyFont="1" applyBorder="1" applyAlignment="1">
      <alignment horizontal="center" vertical="center" wrapText="1"/>
    </xf>
    <xf numFmtId="0" fontId="4" fillId="0" borderId="11" xfId="0" applyNumberFormat="1" applyFont="1" applyBorder="1" applyAlignment="1">
      <alignment horizontal="left" vertical="center" wrapText="1"/>
    </xf>
    <xf numFmtId="0" fontId="10" fillId="0" borderId="3" xfId="0" applyNumberFormat="1" applyFont="1" applyBorder="1" applyAlignment="1">
      <alignment horizontal="left" vertical="center" wrapText="1"/>
    </xf>
    <xf numFmtId="49" fontId="17" fillId="12" borderId="6" xfId="0" applyNumberFormat="1" applyFont="1" applyFill="1" applyBorder="1" applyAlignment="1">
      <alignment horizontal="left" vertical="center"/>
    </xf>
    <xf numFmtId="49" fontId="17" fillId="12" borderId="7" xfId="0" applyNumberFormat="1" applyFont="1" applyFill="1" applyBorder="1" applyAlignment="1">
      <alignment horizontal="left" vertical="center"/>
    </xf>
    <xf numFmtId="49" fontId="4" fillId="0" borderId="11" xfId="0" applyNumberFormat="1" applyFont="1" applyBorder="1" applyAlignment="1">
      <alignment horizontal="center" vertical="center" wrapText="1"/>
    </xf>
    <xf numFmtId="186" fontId="0" fillId="13" borderId="3" xfId="0" applyNumberFormat="1" applyFont="1" applyFill="1" applyBorder="1" applyAlignment="1" applyProtection="1">
      <alignment horizontal="center" vertical="top" wrapText="1"/>
      <protection locked="0"/>
    </xf>
    <xf numFmtId="186" fontId="0" fillId="11" borderId="3" xfId="0" applyNumberFormat="1" applyFont="1" applyFill="1" applyBorder="1" applyAlignment="1" applyProtection="1">
      <alignment horizontal="center" vertical="top" wrapText="1"/>
      <protection locked="0"/>
    </xf>
    <xf numFmtId="49" fontId="4" fillId="10" borderId="3" xfId="0" applyNumberFormat="1" applyFont="1" applyFill="1" applyBorder="1" applyAlignment="1">
      <alignment horizontal="left" vertical="top" wrapText="1"/>
    </xf>
    <xf numFmtId="49" fontId="4" fillId="13" borderId="3" xfId="0" applyNumberFormat="1" applyFont="1" applyFill="1" applyBorder="1" applyAlignment="1" applyProtection="1">
      <alignment horizontal="left" vertical="top" wrapText="1"/>
      <protection locked="0"/>
    </xf>
    <xf numFmtId="49" fontId="0" fillId="2" borderId="3" xfId="0" applyNumberFormat="1" applyFont="1" applyFill="1" applyBorder="1" applyAlignment="1">
      <alignment horizontal="center" vertical="top" wrapText="1"/>
    </xf>
    <xf numFmtId="0" fontId="4" fillId="2" borderId="3" xfId="0" applyNumberFormat="1" applyFont="1" applyFill="1" applyBorder="1" applyAlignment="1">
      <alignment horizontal="center" vertical="top" wrapText="1"/>
    </xf>
    <xf numFmtId="49" fontId="0" fillId="13" borderId="3" xfId="0" applyNumberFormat="1" applyFont="1" applyFill="1" applyBorder="1" applyAlignment="1" applyProtection="1">
      <alignment horizontal="center" vertical="top" wrapText="1"/>
      <protection locked="0"/>
    </xf>
    <xf numFmtId="49" fontId="0" fillId="11" borderId="3" xfId="0" applyNumberFormat="1" applyFont="1" applyFill="1" applyBorder="1" applyAlignment="1" applyProtection="1">
      <alignment horizontal="center" vertical="top" wrapText="1"/>
      <protection locked="0"/>
    </xf>
    <xf numFmtId="49" fontId="0" fillId="13" borderId="10" xfId="0" applyNumberFormat="1" applyFont="1" applyFill="1" applyBorder="1" applyAlignment="1" applyProtection="1">
      <alignment horizontal="center" vertical="top" wrapText="1"/>
      <protection locked="0"/>
    </xf>
    <xf numFmtId="49" fontId="0" fillId="11" borderId="10" xfId="0" applyNumberFormat="1" applyFont="1" applyFill="1" applyBorder="1" applyAlignment="1" applyProtection="1">
      <alignment horizontal="center" vertical="top" wrapText="1"/>
      <protection locked="0"/>
    </xf>
    <xf numFmtId="49" fontId="4" fillId="10" borderId="10" xfId="0" applyNumberFormat="1" applyFont="1" applyFill="1" applyBorder="1" applyAlignment="1">
      <alignment horizontal="left" vertical="top" wrapText="1"/>
    </xf>
    <xf numFmtId="49" fontId="4" fillId="13" borderId="10" xfId="0" applyNumberFormat="1" applyFont="1" applyFill="1" applyBorder="1" applyAlignment="1" applyProtection="1">
      <alignment horizontal="left" vertical="top" wrapText="1"/>
      <protection locked="0"/>
    </xf>
    <xf numFmtId="49" fontId="0" fillId="2" borderId="10" xfId="0" applyNumberFormat="1" applyFont="1" applyFill="1" applyBorder="1" applyAlignment="1">
      <alignment horizontal="center" vertical="top" wrapText="1"/>
    </xf>
    <xf numFmtId="0" fontId="4" fillId="2" borderId="10" xfId="0" applyNumberFormat="1" applyFont="1" applyFill="1" applyBorder="1" applyAlignment="1">
      <alignment horizontal="center" vertical="top" wrapText="1"/>
    </xf>
    <xf numFmtId="0" fontId="0" fillId="0" borderId="19" xfId="0" applyNumberFormat="1" applyFont="1" applyBorder="1" applyAlignment="1">
      <alignment horizontal="left" vertical="center" wrapText="1"/>
    </xf>
    <xf numFmtId="0" fontId="4" fillId="0" borderId="19" xfId="0" applyNumberFormat="1" applyFont="1" applyBorder="1" applyAlignment="1">
      <alignment vertical="center" wrapText="1"/>
    </xf>
    <xf numFmtId="0" fontId="4" fillId="0" borderId="26" xfId="0" applyNumberFormat="1" applyFont="1" applyBorder="1" applyAlignment="1">
      <alignment vertical="center" wrapText="1"/>
    </xf>
    <xf numFmtId="49" fontId="8" fillId="0" borderId="13" xfId="0" applyNumberFormat="1" applyFont="1" applyBorder="1" applyAlignment="1">
      <alignment horizontal="left" vertical="center" wrapText="1"/>
    </xf>
    <xf numFmtId="49" fontId="8" fillId="0" borderId="6"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49" fontId="38" fillId="0" borderId="27" xfId="0" applyNumberFormat="1" applyFont="1" applyBorder="1" applyAlignment="1">
      <alignment horizontal="left" vertical="center" indent="1"/>
    </xf>
    <xf numFmtId="49" fontId="38" fillId="0" borderId="27" xfId="0" applyNumberFormat="1" applyFont="1" applyBorder="1" applyAlignment="1">
      <alignment horizontal="center" vertical="center"/>
    </xf>
    <xf numFmtId="49" fontId="39" fillId="0" borderId="13" xfId="0" applyNumberFormat="1" applyFont="1" applyBorder="1" applyAlignment="1">
      <alignment horizontal="center" vertical="center" wrapText="1"/>
    </xf>
    <xf numFmtId="0" fontId="38" fillId="0" borderId="3" xfId="0" applyNumberFormat="1" applyFont="1" applyBorder="1" applyAlignment="1">
      <alignment horizontal="center" vertical="center"/>
    </xf>
    <xf numFmtId="49" fontId="8" fillId="0" borderId="4" xfId="0" applyNumberFormat="1" applyFont="1" applyBorder="1" applyAlignment="1">
      <alignment horizontal="left" vertical="center" wrapText="1" indent="1"/>
    </xf>
    <xf numFmtId="49" fontId="8" fillId="0" borderId="10" xfId="0" applyNumberFormat="1" applyFont="1" applyBorder="1" applyAlignment="1">
      <alignment horizontal="left" vertical="center" wrapText="1" indent="1"/>
    </xf>
    <xf numFmtId="49" fontId="8" fillId="0" borderId="11" xfId="0" applyNumberFormat="1" applyFont="1" applyBorder="1" applyAlignment="1">
      <alignment horizontal="left" vertical="center" wrapText="1" indent="1"/>
    </xf>
    <xf numFmtId="49" fontId="38" fillId="0" borderId="7" xfId="0" applyNumberFormat="1" applyFont="1" applyBorder="1" applyAlignment="1">
      <alignment horizontal="left" vertical="center" indent="1"/>
    </xf>
    <xf numFmtId="49" fontId="8" fillId="0" borderId="7" xfId="0" applyNumberFormat="1" applyFont="1" applyBorder="1" applyAlignment="1">
      <alignment horizontal="left" vertical="center" indent="1"/>
    </xf>
    <xf numFmtId="0" fontId="4" fillId="12" borderId="21" xfId="0" applyNumberFormat="1" applyFont="1" applyFill="1" applyBorder="1" applyAlignment="1">
      <alignment vertical="center" wrapText="1"/>
    </xf>
    <xf numFmtId="0" fontId="4" fillId="12" borderId="25" xfId="0" applyNumberFormat="1" applyFont="1" applyFill="1" applyBorder="1" applyAlignment="1">
      <alignment vertical="center" wrapText="1"/>
    </xf>
    <xf numFmtId="49" fontId="4" fillId="10" borderId="4" xfId="0" applyNumberFormat="1" applyFont="1" applyFill="1" applyBorder="1" applyAlignment="1">
      <alignment vertical="center" wrapText="1"/>
    </xf>
    <xf numFmtId="49" fontId="0" fillId="13" borderId="10" xfId="0" applyNumberFormat="1" applyFont="1" applyFill="1" applyBorder="1" applyProtection="1">
      <alignment vertical="top"/>
      <protection locked="0"/>
    </xf>
    <xf numFmtId="49" fontId="40" fillId="0" borderId="3" xfId="0" applyNumberFormat="1" applyFont="1" applyBorder="1" applyAlignment="1">
      <alignment horizontal="center" vertical="center" wrapText="1"/>
    </xf>
    <xf numFmtId="0" fontId="23" fillId="0" borderId="3" xfId="0" applyNumberFormat="1" applyFont="1" applyBorder="1" applyAlignment="1">
      <alignment horizontal="center" vertical="center"/>
    </xf>
    <xf numFmtId="49" fontId="4" fillId="10" borderId="4" xfId="0" applyNumberFormat="1" applyFont="1" applyFill="1" applyBorder="1" applyAlignment="1">
      <alignment horizontal="left" vertical="center" wrapText="1" indent="1"/>
    </xf>
    <xf numFmtId="49" fontId="4" fillId="10" borderId="10" xfId="0" applyNumberFormat="1" applyFont="1" applyFill="1" applyBorder="1" applyAlignment="1">
      <alignment vertical="center" wrapText="1"/>
    </xf>
    <xf numFmtId="49" fontId="4" fillId="10" borderId="10" xfId="0" applyNumberFormat="1" applyFont="1" applyFill="1" applyBorder="1" applyAlignment="1">
      <alignment horizontal="left" vertical="center" wrapText="1" indent="1"/>
    </xf>
    <xf numFmtId="49" fontId="4" fillId="10" borderId="11" xfId="0" applyNumberFormat="1" applyFont="1" applyFill="1" applyBorder="1" applyAlignment="1">
      <alignment vertical="center" wrapText="1"/>
    </xf>
    <xf numFmtId="49" fontId="4" fillId="10" borderId="11" xfId="0" applyNumberFormat="1" applyFont="1" applyFill="1" applyBorder="1" applyAlignment="1">
      <alignment horizontal="left" vertical="center" wrapText="1" indent="1"/>
    </xf>
    <xf numFmtId="49" fontId="4" fillId="10" borderId="13" xfId="0" applyNumberFormat="1" applyFont="1" applyFill="1" applyBorder="1" applyAlignment="1">
      <alignment horizontal="left" vertical="center" wrapText="1"/>
    </xf>
    <xf numFmtId="49" fontId="4" fillId="10" borderId="3" xfId="0" applyNumberFormat="1" applyFont="1" applyFill="1" applyBorder="1" applyAlignment="1">
      <alignment horizontal="left" vertical="center" wrapText="1"/>
    </xf>
    <xf numFmtId="49" fontId="41" fillId="12" borderId="28" xfId="0" applyNumberFormat="1" applyFont="1" applyFill="1" applyBorder="1" applyAlignment="1">
      <alignment horizontal="left" vertical="center" indent="1"/>
    </xf>
    <xf numFmtId="49" fontId="38" fillId="12" borderId="27" xfId="0" applyNumberFormat="1" applyFont="1" applyFill="1" applyBorder="1" applyAlignment="1">
      <alignment horizontal="center" vertical="center"/>
    </xf>
    <xf numFmtId="49" fontId="41" fillId="12" borderId="27" xfId="0" applyNumberFormat="1" applyFont="1" applyFill="1" applyBorder="1" applyAlignment="1">
      <alignment horizontal="left" vertical="center" indent="1"/>
    </xf>
    <xf numFmtId="0" fontId="23" fillId="0" borderId="13" xfId="0" applyNumberFormat="1" applyFont="1" applyBorder="1" applyAlignment="1">
      <alignment horizontal="center" vertical="center"/>
    </xf>
    <xf numFmtId="49" fontId="41" fillId="12" borderId="6" xfId="0" applyNumberFormat="1" applyFont="1" applyFill="1" applyBorder="1" applyAlignment="1">
      <alignment horizontal="left" vertical="center" indent="1"/>
    </xf>
    <xf numFmtId="49" fontId="41" fillId="12" borderId="7" xfId="0" applyNumberFormat="1" applyFont="1" applyFill="1" applyBorder="1" applyAlignment="1">
      <alignment horizontal="left" vertical="center" indent="1"/>
    </xf>
    <xf numFmtId="49" fontId="4" fillId="11" borderId="3" xfId="0" applyNumberFormat="1" applyFont="1" applyFill="1" applyBorder="1" applyAlignment="1" applyProtection="1">
      <alignment horizontal="left" vertical="center" indent="1"/>
      <protection locked="0"/>
    </xf>
    <xf numFmtId="0" fontId="4" fillId="14" borderId="3" xfId="0" applyNumberFormat="1" applyFont="1" applyFill="1" applyBorder="1" applyAlignment="1">
      <alignment horizontal="right" vertical="center"/>
    </xf>
    <xf numFmtId="185" fontId="4" fillId="11" borderId="3" xfId="0" applyNumberFormat="1" applyFont="1" applyFill="1" applyBorder="1" applyAlignment="1" applyProtection="1">
      <alignment horizontal="right" vertical="center"/>
      <protection locked="0"/>
    </xf>
    <xf numFmtId="0" fontId="4" fillId="11" borderId="3" xfId="0" applyNumberFormat="1" applyFont="1" applyFill="1" applyBorder="1" applyAlignment="1" applyProtection="1">
      <alignment horizontal="left" vertical="top" wrapText="1"/>
      <protection locked="0"/>
    </xf>
    <xf numFmtId="0" fontId="4" fillId="11" borderId="10" xfId="0" applyNumberFormat="1" applyFont="1" applyFill="1" applyBorder="1" applyAlignment="1" applyProtection="1">
      <alignment horizontal="left" vertical="top" wrapText="1"/>
      <protection locked="0"/>
    </xf>
    <xf numFmtId="49" fontId="4" fillId="2" borderId="3" xfId="0" applyNumberFormat="1" applyFont="1" applyFill="1" applyBorder="1" applyAlignment="1">
      <alignment horizontal="left" vertical="center" wrapText="1"/>
    </xf>
    <xf numFmtId="0" fontId="4" fillId="0" borderId="23" xfId="0" applyNumberFormat="1" applyFont="1" applyBorder="1" applyAlignment="1">
      <alignment horizontal="center" vertical="center"/>
    </xf>
    <xf numFmtId="0" fontId="4" fillId="0" borderId="13" xfId="0" applyNumberFormat="1" applyFont="1" applyBorder="1" applyAlignment="1">
      <alignment horizontal="left" vertical="center" wrapText="1" indent="1"/>
    </xf>
    <xf numFmtId="49" fontId="10" fillId="0" borderId="16" xfId="0" applyNumberFormat="1" applyFont="1" applyBorder="1">
      <alignment vertical="top"/>
    </xf>
    <xf numFmtId="185" fontId="4" fillId="2" borderId="3" xfId="0" applyNumberFormat="1" applyFont="1" applyFill="1" applyBorder="1" applyAlignment="1">
      <alignment horizontal="right" vertical="center" wrapText="1"/>
    </xf>
    <xf numFmtId="2" fontId="4" fillId="0" borderId="11" xfId="0" applyNumberFormat="1" applyFont="1" applyBorder="1" applyAlignment="1">
      <alignment horizontal="center" vertical="center" wrapText="1"/>
    </xf>
    <xf numFmtId="0" fontId="4" fillId="0" borderId="3" xfId="0" applyNumberFormat="1" applyFont="1" applyBorder="1" applyAlignment="1">
      <alignment horizontal="left" vertical="center" wrapText="1"/>
    </xf>
    <xf numFmtId="0" fontId="10" fillId="0" borderId="3" xfId="0" applyNumberFormat="1" applyFont="1" applyBorder="1" applyAlignment="1">
      <alignment vertical="center" wrapText="1"/>
    </xf>
    <xf numFmtId="0" fontId="10" fillId="0" borderId="16" xfId="0" applyNumberFormat="1" applyFont="1" applyBorder="1" applyAlignment="1">
      <alignment vertical="center" wrapText="1"/>
    </xf>
    <xf numFmtId="0" fontId="17" fillId="0" borderId="3" xfId="0" applyNumberFormat="1" applyFont="1" applyBorder="1" applyAlignment="1">
      <alignment horizontal="left" vertical="center" indent="1"/>
    </xf>
    <xf numFmtId="49" fontId="4" fillId="10" borderId="3" xfId="0" applyNumberFormat="1" applyFont="1" applyFill="1" applyBorder="1" applyAlignment="1">
      <alignment horizontal="center" vertical="top" wrapText="1"/>
    </xf>
    <xf numFmtId="0" fontId="4" fillId="0" borderId="10" xfId="0" applyNumberFormat="1" applyFont="1" applyBorder="1" applyAlignment="1">
      <alignment horizontal="center" vertical="center" wrapText="1"/>
    </xf>
    <xf numFmtId="49" fontId="4" fillId="13" borderId="4" xfId="0" applyNumberFormat="1" applyFont="1" applyFill="1" applyBorder="1" applyAlignment="1" applyProtection="1">
      <alignment horizontal="left" vertical="center" wrapText="1" indent="1"/>
      <protection locked="0"/>
    </xf>
    <xf numFmtId="49" fontId="4" fillId="10" borderId="6" xfId="0" applyNumberFormat="1" applyFont="1" applyFill="1" applyBorder="1" applyAlignment="1">
      <alignment horizontal="center" vertical="top" wrapText="1"/>
    </xf>
    <xf numFmtId="0" fontId="4" fillId="12" borderId="6" xfId="0" applyNumberFormat="1" applyFont="1" applyFill="1" applyBorder="1" applyAlignment="1">
      <alignment vertical="center" wrapText="1"/>
    </xf>
    <xf numFmtId="0" fontId="4" fillId="12" borderId="7" xfId="0" applyNumberFormat="1" applyFont="1" applyFill="1" applyBorder="1" applyAlignment="1">
      <alignment vertical="center" wrapText="1"/>
    </xf>
    <xf numFmtId="0" fontId="4" fillId="0" borderId="29" xfId="0" applyNumberFormat="1" applyFont="1" applyBorder="1" applyAlignment="1">
      <alignment vertical="center" wrapText="1"/>
    </xf>
    <xf numFmtId="187" fontId="8" fillId="0" borderId="3" xfId="0" applyNumberFormat="1" applyFont="1" applyBorder="1" applyAlignment="1">
      <alignment horizontal="center" vertical="center" wrapText="1"/>
    </xf>
    <xf numFmtId="49" fontId="38" fillId="0" borderId="6" xfId="0" applyNumberFormat="1" applyFont="1" applyBorder="1" applyAlignment="1">
      <alignment horizontal="left" vertical="center" indent="1"/>
    </xf>
    <xf numFmtId="49" fontId="38" fillId="0" borderId="7" xfId="0" applyNumberFormat="1" applyFont="1" applyBorder="1" applyAlignment="1">
      <alignment vertical="top" wrapText="1"/>
    </xf>
    <xf numFmtId="49" fontId="38" fillId="0" borderId="13" xfId="0" applyNumberFormat="1" applyFont="1" applyBorder="1" applyAlignment="1">
      <alignment vertical="top" wrapText="1"/>
    </xf>
    <xf numFmtId="49" fontId="39" fillId="0" borderId="0" xfId="0" applyNumberFormat="1" applyFont="1" applyAlignment="1">
      <alignment horizontal="center" vertical="top" wrapText="1"/>
    </xf>
    <xf numFmtId="0" fontId="38" fillId="0" borderId="3" xfId="0" applyNumberFormat="1" applyFont="1" applyBorder="1" applyAlignment="1">
      <alignment horizontal="left" vertical="center" wrapText="1" indent="1"/>
    </xf>
    <xf numFmtId="185" fontId="8" fillId="0" borderId="30" xfId="0" applyNumberFormat="1" applyFont="1" applyBorder="1" applyAlignment="1">
      <alignment horizontal="right" vertical="center" wrapText="1"/>
    </xf>
    <xf numFmtId="49" fontId="38" fillId="0" borderId="31" xfId="0" applyNumberFormat="1" applyFont="1" applyBorder="1" applyAlignment="1">
      <alignment vertical="top" wrapText="1"/>
    </xf>
    <xf numFmtId="49" fontId="38" fillId="0" borderId="31" xfId="0" applyNumberFormat="1" applyFont="1" applyBorder="1" applyAlignment="1">
      <alignment horizontal="left" vertical="center" indent="1"/>
    </xf>
    <xf numFmtId="49" fontId="23" fillId="12" borderId="7" xfId="0" applyNumberFormat="1" applyFont="1" applyFill="1" applyBorder="1" applyAlignment="1">
      <alignment vertical="top" wrapText="1"/>
    </xf>
    <xf numFmtId="1" fontId="4" fillId="13" borderId="4" xfId="0" applyNumberFormat="1" applyFont="1" applyFill="1" applyBorder="1" applyAlignment="1" applyProtection="1">
      <alignment vertical="center" wrapText="1"/>
      <protection locked="0"/>
    </xf>
    <xf numFmtId="49" fontId="40" fillId="0" borderId="0" xfId="0" applyNumberFormat="1" applyFont="1" applyAlignment="1">
      <alignment horizontal="center" vertical="top" wrapText="1"/>
    </xf>
    <xf numFmtId="0" fontId="23" fillId="10" borderId="3" xfId="0" applyNumberFormat="1" applyFont="1" applyFill="1" applyBorder="1" applyAlignment="1">
      <alignment horizontal="left" vertical="center" wrapText="1" indent="1"/>
    </xf>
    <xf numFmtId="185" fontId="4" fillId="13" borderId="30" xfId="0" applyNumberFormat="1" applyFont="1" applyFill="1" applyBorder="1" applyAlignment="1" applyProtection="1">
      <alignment horizontal="right" vertical="center" wrapText="1"/>
      <protection locked="0"/>
    </xf>
    <xf numFmtId="185" fontId="4" fillId="13" borderId="32" xfId="0" applyNumberFormat="1" applyFont="1" applyFill="1" applyBorder="1" applyAlignment="1" applyProtection="1">
      <alignment horizontal="right" vertical="center" wrapText="1"/>
      <protection locked="0"/>
    </xf>
    <xf numFmtId="1" fontId="4" fillId="13" borderId="10" xfId="0" applyNumberFormat="1" applyFont="1" applyFill="1" applyBorder="1" applyAlignment="1" applyProtection="1">
      <alignment vertical="center" wrapText="1"/>
      <protection locked="0"/>
    </xf>
    <xf numFmtId="1" fontId="4" fillId="13" borderId="11" xfId="0" applyNumberFormat="1" applyFont="1" applyFill="1" applyBorder="1" applyAlignment="1" applyProtection="1">
      <alignment vertical="center" wrapText="1"/>
      <protection locked="0"/>
    </xf>
    <xf numFmtId="49" fontId="40" fillId="0" borderId="10" xfId="0" applyNumberFormat="1" applyFont="1" applyBorder="1" applyAlignment="1">
      <alignment horizontal="center" vertical="top" wrapText="1"/>
    </xf>
    <xf numFmtId="1" fontId="4" fillId="13" borderId="33" xfId="0" applyNumberFormat="1" applyFont="1" applyFill="1" applyBorder="1" applyAlignment="1" applyProtection="1">
      <alignment vertical="center" wrapText="1"/>
      <protection locked="0"/>
    </xf>
    <xf numFmtId="1" fontId="4" fillId="13" borderId="3" xfId="0" applyNumberFormat="1" applyFont="1" applyFill="1" applyBorder="1" applyAlignment="1" applyProtection="1">
      <alignment horizontal="center" vertical="center" wrapText="1"/>
      <protection locked="0"/>
    </xf>
    <xf numFmtId="49" fontId="23" fillId="12" borderId="13" xfId="0" applyNumberFormat="1" applyFont="1" applyFill="1" applyBorder="1" applyAlignment="1">
      <alignment vertical="top" wrapText="1"/>
    </xf>
    <xf numFmtId="49" fontId="23" fillId="12" borderId="31" xfId="0" applyNumberFormat="1" applyFont="1" applyFill="1" applyBorder="1" applyAlignment="1">
      <alignment vertical="top" wrapText="1"/>
    </xf>
    <xf numFmtId="49" fontId="41" fillId="12" borderId="31" xfId="0" applyNumberFormat="1" applyFont="1" applyFill="1" applyBorder="1" applyAlignment="1">
      <alignment horizontal="left" vertical="center" indent="1"/>
    </xf>
    <xf numFmtId="0" fontId="8" fillId="0" borderId="0" xfId="0" applyNumberFormat="1" applyFont="1" applyAlignment="1">
      <alignment horizontal="center" vertical="top"/>
    </xf>
    <xf numFmtId="0" fontId="8" fillId="0" borderId="0" xfId="0" applyNumberFormat="1" applyFont="1">
      <alignment vertical="top"/>
    </xf>
    <xf numFmtId="0" fontId="4" fillId="0" borderId="16" xfId="0" applyNumberFormat="1" applyFont="1" applyBorder="1" applyAlignment="1">
      <alignment vertical="center" wrapText="1"/>
    </xf>
    <xf numFmtId="186" fontId="4" fillId="10" borderId="10" xfId="0" applyNumberFormat="1" applyFont="1" applyFill="1" applyBorder="1" applyAlignment="1">
      <alignment horizontal="left" vertical="center" wrapText="1" indent="1"/>
    </xf>
    <xf numFmtId="186" fontId="4" fillId="10" borderId="16" xfId="0" applyNumberFormat="1" applyFont="1" applyFill="1" applyBorder="1" applyAlignment="1">
      <alignment horizontal="left" vertical="center" wrapText="1" indent="1"/>
    </xf>
    <xf numFmtId="49" fontId="4" fillId="10" borderId="6" xfId="0" applyNumberFormat="1" applyFont="1" applyFill="1" applyBorder="1" applyAlignment="1">
      <alignment horizontal="center" vertical="center" wrapText="1"/>
    </xf>
    <xf numFmtId="0" fontId="34" fillId="0" borderId="0" xfId="0" applyNumberFormat="1" applyFont="1">
      <alignment vertical="top"/>
    </xf>
    <xf numFmtId="0" fontId="42" fillId="0" borderId="0" xfId="0" applyNumberFormat="1" applyFont="1">
      <alignment vertical="top"/>
    </xf>
    <xf numFmtId="0" fontId="4" fillId="0" borderId="7" xfId="0" applyNumberFormat="1" applyFont="1" applyBorder="1" applyAlignment="1">
      <alignment horizontal="right" vertical="center"/>
    </xf>
    <xf numFmtId="0" fontId="4" fillId="0" borderId="13" xfId="0" applyNumberFormat="1" applyFont="1" applyBorder="1" applyAlignment="1">
      <alignment horizontal="right" vertical="center"/>
    </xf>
    <xf numFmtId="0" fontId="4" fillId="0" borderId="3" xfId="0" applyNumberFormat="1" applyFont="1" applyBorder="1" applyAlignment="1">
      <alignment horizontal="right" vertical="center"/>
    </xf>
    <xf numFmtId="49" fontId="4" fillId="0" borderId="0" xfId="0" applyNumberFormat="1" applyFont="1" applyAlignment="1">
      <alignment vertical="center"/>
    </xf>
    <xf numFmtId="49" fontId="17" fillId="16" borderId="13" xfId="0" applyNumberFormat="1" applyFont="1" applyFill="1" applyBorder="1" applyAlignment="1">
      <alignment horizontal="left" vertical="center" indent="1"/>
    </xf>
    <xf numFmtId="49" fontId="23" fillId="0" borderId="0" xfId="0" applyNumberFormat="1" applyFont="1">
      <alignment vertical="top"/>
    </xf>
    <xf numFmtId="0" fontId="10" fillId="0" borderId="11" xfId="0" applyNumberFormat="1" applyFont="1" applyBorder="1" applyAlignment="1">
      <alignment vertical="center" wrapText="1"/>
    </xf>
    <xf numFmtId="49" fontId="10" fillId="0" borderId="6" xfId="0" applyNumberFormat="1" applyFont="1" applyBorder="1" applyAlignment="1">
      <alignment horizontal="left" vertical="center"/>
    </xf>
    <xf numFmtId="49" fontId="10" fillId="0" borderId="7" xfId="0" applyNumberFormat="1" applyFont="1" applyBorder="1" applyAlignment="1">
      <alignment horizontal="left" vertical="center" indent="1"/>
    </xf>
    <xf numFmtId="49" fontId="10" fillId="0" borderId="7" xfId="0" applyNumberFormat="1" applyFont="1" applyBorder="1" applyAlignment="1">
      <alignment horizontal="left" vertical="center"/>
    </xf>
    <xf numFmtId="49" fontId="0" fillId="0" borderId="8" xfId="0" applyNumberFormat="1" applyFont="1" applyBorder="1">
      <alignment vertical="top"/>
    </xf>
    <xf numFmtId="49" fontId="11" fillId="0" borderId="4" xfId="0" applyNumberFormat="1" applyFont="1" applyBorder="1" applyAlignment="1">
      <alignment horizontal="center" vertical="top" wrapText="1"/>
    </xf>
    <xf numFmtId="49" fontId="4" fillId="13" borderId="6" xfId="0" applyNumberFormat="1" applyFont="1" applyFill="1" applyBorder="1" applyAlignment="1" applyProtection="1">
      <alignment horizontal="left" vertical="center" wrapText="1" indent="1"/>
      <protection locked="0"/>
    </xf>
    <xf numFmtId="49" fontId="4" fillId="0" borderId="11" xfId="0" applyNumberFormat="1" applyFont="1" applyBorder="1" applyAlignment="1">
      <alignment horizontal="center" vertical="top" wrapText="1"/>
    </xf>
    <xf numFmtId="49" fontId="4" fillId="13" borderId="3" xfId="0" applyNumberFormat="1" applyFont="1" applyFill="1" applyBorder="1" applyAlignment="1" applyProtection="1">
      <alignment horizontal="left" vertical="center" wrapText="1" indent="1"/>
      <protection locked="0"/>
    </xf>
    <xf numFmtId="49" fontId="0" fillId="12" borderId="15" xfId="0" applyNumberFormat="1" applyFont="1" applyFill="1" applyBorder="1" applyAlignment="1">
      <alignment horizontal="center" vertical="center"/>
    </xf>
    <xf numFmtId="49" fontId="0" fillId="0" borderId="16"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3" xfId="0" applyNumberFormat="1" applyFont="1" applyBorder="1" applyAlignment="1">
      <alignment horizontal="center" vertical="center"/>
    </xf>
    <xf numFmtId="0" fontId="4" fillId="0" borderId="3" xfId="0" applyNumberFormat="1" applyFont="1" applyBorder="1" applyAlignment="1">
      <alignment horizontal="left" vertical="top" wrapText="1"/>
    </xf>
    <xf numFmtId="0" fontId="4" fillId="10" borderId="4" xfId="0" applyNumberFormat="1" applyFont="1" applyFill="1" applyBorder="1" applyAlignment="1">
      <alignment horizontal="center" vertical="top" wrapText="1"/>
    </xf>
    <xf numFmtId="0" fontId="4" fillId="10" borderId="3" xfId="0" applyNumberFormat="1" applyFont="1" applyFill="1" applyBorder="1" applyAlignment="1">
      <alignment horizontal="left" vertical="top" wrapText="1"/>
    </xf>
    <xf numFmtId="0" fontId="4" fillId="10" borderId="10" xfId="0" applyNumberFormat="1" applyFont="1" applyFill="1" applyBorder="1" applyAlignment="1">
      <alignment horizontal="center" vertical="top" wrapText="1"/>
    </xf>
    <xf numFmtId="49" fontId="0" fillId="0" borderId="3" xfId="0" applyNumberFormat="1" applyFont="1" applyBorder="1" applyAlignment="1">
      <alignment horizontal="left" vertical="top"/>
    </xf>
    <xf numFmtId="49" fontId="0" fillId="10" borderId="3" xfId="0" applyNumberFormat="1" applyFont="1" applyFill="1" applyBorder="1" applyAlignment="1">
      <alignment horizontal="left" vertical="top"/>
    </xf>
    <xf numFmtId="0" fontId="4" fillId="10" borderId="11" xfId="0" applyNumberFormat="1" applyFont="1" applyFill="1" applyBorder="1" applyAlignment="1">
      <alignment horizontal="center" vertical="top" wrapText="1"/>
    </xf>
    <xf numFmtId="0" fontId="17" fillId="12" borderId="6" xfId="0" applyNumberFormat="1" applyFont="1" applyFill="1" applyBorder="1" applyAlignment="1">
      <alignment horizontal="left" vertical="center"/>
    </xf>
    <xf numFmtId="49" fontId="0" fillId="0" borderId="10" xfId="0" applyNumberFormat="1" applyFont="1" applyBorder="1" applyAlignment="1">
      <alignment horizontal="left" vertical="top"/>
    </xf>
    <xf numFmtId="49" fontId="0" fillId="10" borderId="10" xfId="0" applyNumberFormat="1" applyFont="1" applyFill="1" applyBorder="1" applyAlignment="1">
      <alignment horizontal="left" vertical="top"/>
    </xf>
    <xf numFmtId="0" fontId="17" fillId="0" borderId="10" xfId="0" applyNumberFormat="1" applyFont="1" applyBorder="1" applyAlignment="1">
      <alignment horizontal="left" vertical="center"/>
    </xf>
    <xf numFmtId="49" fontId="0" fillId="0" borderId="13" xfId="0" applyNumberFormat="1" applyFont="1" applyBorder="1" applyAlignment="1">
      <alignment horizontal="center" vertical="center" wrapText="1"/>
    </xf>
    <xf numFmtId="0"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xf>
    <xf numFmtId="0" fontId="0" fillId="0" borderId="4" xfId="0" applyNumberFormat="1" applyFont="1" applyBorder="1" applyAlignment="1">
      <alignment horizontal="center" vertical="center" wrapText="1"/>
    </xf>
    <xf numFmtId="0" fontId="0" fillId="13" borderId="3" xfId="0" applyNumberFormat="1" applyFont="1" applyFill="1" applyBorder="1" applyAlignment="1" applyProtection="1">
      <alignment horizontal="left" vertical="center" wrapText="1"/>
      <protection locked="0"/>
    </xf>
    <xf numFmtId="49" fontId="0" fillId="13" borderId="6"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vertical="center" wrapText="1"/>
    </xf>
    <xf numFmtId="49" fontId="0" fillId="0" borderId="17" xfId="0" applyNumberFormat="1" applyFont="1" applyBorder="1" applyAlignment="1">
      <alignment horizontal="center" vertical="center" wrapText="1"/>
    </xf>
    <xf numFmtId="49" fontId="0" fillId="12" borderId="7" xfId="0" applyNumberFormat="1" applyFont="1" applyFill="1" applyBorder="1" applyAlignment="1">
      <alignment horizontal="center" vertical="center"/>
    </xf>
    <xf numFmtId="49" fontId="4" fillId="10" borderId="4" xfId="0" applyNumberFormat="1" applyFont="1" applyFill="1" applyBorder="1" applyAlignment="1">
      <alignment horizontal="center" vertical="center" wrapText="1"/>
    </xf>
    <xf numFmtId="0" fontId="0" fillId="10" borderId="3" xfId="0" applyNumberFormat="1" applyFont="1" applyFill="1" applyBorder="1" applyAlignment="1">
      <alignment horizontal="left" vertical="center" wrapText="1"/>
    </xf>
    <xf numFmtId="49" fontId="4" fillId="10" borderId="10" xfId="0" applyNumberFormat="1" applyFont="1" applyFill="1" applyBorder="1" applyAlignment="1">
      <alignment horizontal="center" vertical="center" wrapText="1"/>
    </xf>
    <xf numFmtId="49" fontId="0" fillId="11" borderId="3" xfId="0" applyNumberFormat="1" applyFont="1" applyFill="1" applyBorder="1" applyAlignment="1" applyProtection="1">
      <alignment horizontal="left" vertical="top"/>
      <protection locked="0"/>
    </xf>
    <xf numFmtId="49" fontId="0" fillId="10" borderId="3" xfId="0" applyNumberFormat="1" applyFont="1" applyFill="1" applyBorder="1" applyAlignment="1">
      <alignment horizontal="left" vertical="center" wrapText="1"/>
    </xf>
    <xf numFmtId="49" fontId="4" fillId="10" borderId="11" xfId="0" applyNumberFormat="1" applyFont="1" applyFill="1" applyBorder="1" applyAlignment="1">
      <alignment horizontal="center" vertical="center" wrapText="1"/>
    </xf>
    <xf numFmtId="0" fontId="17" fillId="12" borderId="7" xfId="0" applyNumberFormat="1" applyFont="1" applyFill="1" applyBorder="1" applyAlignment="1">
      <alignment horizontal="left" vertical="center"/>
    </xf>
    <xf numFmtId="49" fontId="0" fillId="11" borderId="10" xfId="0" applyNumberFormat="1" applyFont="1" applyFill="1" applyBorder="1" applyAlignment="1" applyProtection="1">
      <alignment horizontal="left" vertical="top"/>
      <protection locked="0"/>
    </xf>
    <xf numFmtId="49" fontId="4" fillId="10" borderId="0" xfId="0" applyNumberFormat="1" applyFont="1" applyFill="1" applyAlignment="1">
      <alignment horizontal="center" vertical="center" wrapText="1"/>
    </xf>
    <xf numFmtId="49" fontId="0" fillId="10" borderId="10" xfId="0" applyNumberFormat="1" applyFont="1" applyFill="1" applyBorder="1" applyAlignment="1">
      <alignment horizontal="left" vertical="center" wrapText="1"/>
    </xf>
    <xf numFmtId="0" fontId="17" fillId="11" borderId="10" xfId="0" applyNumberFormat="1" applyFont="1" applyFill="1" applyBorder="1" applyAlignment="1" applyProtection="1">
      <alignment horizontal="left" vertical="center"/>
      <protection locked="0"/>
    </xf>
    <xf numFmtId="49" fontId="0" fillId="11" borderId="10" xfId="0" applyNumberFormat="1" applyFont="1" applyFill="1" applyBorder="1" applyProtection="1">
      <alignment vertical="top"/>
      <protection locked="0"/>
    </xf>
    <xf numFmtId="185" fontId="10" fillId="0" borderId="3" xfId="0" applyNumberFormat="1" applyFont="1" applyBorder="1" applyAlignment="1">
      <alignment horizontal="right" vertical="center" wrapText="1"/>
    </xf>
    <xf numFmtId="2" fontId="10" fillId="0" borderId="11" xfId="0" applyNumberFormat="1" applyFont="1" applyBorder="1" applyAlignment="1">
      <alignment horizontal="center" vertical="center" wrapText="1"/>
    </xf>
    <xf numFmtId="49" fontId="10" fillId="0" borderId="13" xfId="0" applyNumberFormat="1" applyFont="1" applyBorder="1" applyAlignment="1">
      <alignment horizontal="left" vertical="center" indent="1"/>
    </xf>
    <xf numFmtId="0" fontId="10" fillId="0" borderId="3" xfId="0" applyNumberFormat="1" applyFont="1" applyBorder="1" applyAlignment="1">
      <alignment horizontal="left" vertical="center" indent="1"/>
    </xf>
    <xf numFmtId="185" fontId="0" fillId="2" borderId="3" xfId="0" applyNumberFormat="1" applyFont="1" applyFill="1" applyBorder="1" applyAlignment="1">
      <alignment horizontal="right" vertical="center" wrapText="1"/>
    </xf>
    <xf numFmtId="185" fontId="8" fillId="0" borderId="3" xfId="0" applyNumberFormat="1" applyFont="1" applyBorder="1" applyAlignment="1">
      <alignment horizontal="right" vertical="center" wrapText="1"/>
    </xf>
    <xf numFmtId="0" fontId="17" fillId="12" borderId="13" xfId="0" applyNumberFormat="1" applyFont="1" applyFill="1" applyBorder="1" applyAlignment="1">
      <alignment horizontal="left" vertical="center"/>
    </xf>
    <xf numFmtId="0" fontId="0" fillId="12" borderId="7" xfId="0" applyNumberFormat="1" applyFont="1" applyFill="1" applyBorder="1" applyAlignment="1">
      <alignment vertical="center"/>
    </xf>
    <xf numFmtId="0" fontId="17" fillId="13" borderId="10" xfId="0" applyNumberFormat="1" applyFont="1" applyFill="1" applyBorder="1" applyAlignment="1" applyProtection="1">
      <alignment horizontal="left" vertical="center"/>
      <protection locked="0"/>
    </xf>
    <xf numFmtId="49" fontId="10" fillId="0" borderId="3" xfId="0" applyNumberFormat="1" applyFont="1" applyBorder="1" applyAlignment="1">
      <alignment horizontal="center" vertical="center" wrapText="1"/>
    </xf>
    <xf numFmtId="49" fontId="10" fillId="0" borderId="6" xfId="0" applyNumberFormat="1" applyFont="1" applyBorder="1" applyAlignment="1">
      <alignment horizontal="left" vertical="center" wrapText="1"/>
    </xf>
    <xf numFmtId="0" fontId="10" fillId="0" borderId="6" xfId="0" applyNumberFormat="1" applyFont="1" applyBorder="1" applyAlignment="1">
      <alignment horizontal="left" vertical="center"/>
    </xf>
    <xf numFmtId="0" fontId="10" fillId="0" borderId="7" xfId="0" applyNumberFormat="1" applyFont="1" applyBorder="1" applyAlignment="1">
      <alignment horizontal="left" vertical="center"/>
    </xf>
    <xf numFmtId="0" fontId="17" fillId="12" borderId="17" xfId="0" applyNumberFormat="1" applyFont="1" applyFill="1" applyBorder="1" applyAlignment="1">
      <alignment horizontal="left" vertical="center"/>
    </xf>
    <xf numFmtId="0" fontId="10" fillId="0" borderId="0" xfId="0" applyNumberFormat="1" applyFont="1" applyAlignment="1">
      <alignment horizontal="center" vertical="top"/>
    </xf>
    <xf numFmtId="0" fontId="4" fillId="0" borderId="0" xfId="0" applyNumberFormat="1" applyFont="1" applyAlignment="1">
      <alignment horizontal="left" vertical="center" indent="1"/>
    </xf>
    <xf numFmtId="0" fontId="4" fillId="0" borderId="0" xfId="0" applyNumberFormat="1" applyFont="1" applyAlignment="1">
      <alignment vertical="center"/>
    </xf>
    <xf numFmtId="0" fontId="0" fillId="0" borderId="0" xfId="0" applyNumberFormat="1" applyFont="1" applyAlignment="1">
      <alignment horizontal="left" vertical="center" indent="1"/>
    </xf>
    <xf numFmtId="0" fontId="0" fillId="0" borderId="14" xfId="0" applyNumberFormat="1" applyFont="1" applyBorder="1" applyAlignment="1">
      <alignment horizontal="center" vertical="center"/>
    </xf>
    <xf numFmtId="0" fontId="0" fillId="0" borderId="16" xfId="0" applyNumberFormat="1" applyFont="1" applyBorder="1" applyAlignment="1">
      <alignment horizontal="center" vertical="center"/>
    </xf>
    <xf numFmtId="0" fontId="17" fillId="0" borderId="15" xfId="0" applyNumberFormat="1" applyFont="1" applyBorder="1" applyAlignment="1">
      <alignment horizontal="left" vertical="center"/>
    </xf>
    <xf numFmtId="49" fontId="4" fillId="0" borderId="10" xfId="0" applyNumberFormat="1" applyFont="1" applyBorder="1" applyAlignment="1">
      <alignment horizontal="center" vertical="center"/>
    </xf>
    <xf numFmtId="49" fontId="4" fillId="0" borderId="10" xfId="0" applyNumberFormat="1" applyFont="1" applyBorder="1" applyAlignment="1">
      <alignment vertical="center" wrapText="1"/>
    </xf>
    <xf numFmtId="49" fontId="21" fillId="12" borderId="6" xfId="0" applyNumberFormat="1" applyFont="1" applyFill="1" applyBorder="1">
      <alignment vertical="top"/>
    </xf>
    <xf numFmtId="49" fontId="4" fillId="0" borderId="14" xfId="0" applyNumberFormat="1" applyFont="1" applyBorder="1" applyAlignment="1">
      <alignment vertical="center" wrapText="1"/>
    </xf>
    <xf numFmtId="49" fontId="4" fillId="0" borderId="16" xfId="0" applyNumberFormat="1" applyFont="1" applyBorder="1" applyAlignment="1">
      <alignment vertical="center" wrapText="1"/>
    </xf>
    <xf numFmtId="0" fontId="17" fillId="0" borderId="16" xfId="0" applyNumberFormat="1" applyFont="1" applyBorder="1" applyAlignment="1">
      <alignment horizontal="left" vertical="center"/>
    </xf>
    <xf numFmtId="0" fontId="4" fillId="0" borderId="6" xfId="0" applyNumberFormat="1" applyFont="1" applyBorder="1" applyAlignment="1">
      <alignment horizontal="left" vertical="center" wrapText="1"/>
    </xf>
    <xf numFmtId="49" fontId="21" fillId="0" borderId="15" xfId="0" applyNumberFormat="1" applyFont="1" applyBorder="1">
      <alignment vertical="top"/>
    </xf>
    <xf numFmtId="0" fontId="0" fillId="0" borderId="8" xfId="0" applyNumberFormat="1" applyFont="1" applyBorder="1" applyAlignment="1">
      <alignment horizontal="center" vertical="center"/>
    </xf>
    <xf numFmtId="49" fontId="4" fillId="0" borderId="8" xfId="0" applyNumberFormat="1" applyFont="1" applyBorder="1" applyAlignment="1">
      <alignment horizontal="left" vertical="center" wrapText="1"/>
    </xf>
    <xf numFmtId="49" fontId="4" fillId="0" borderId="8" xfId="0" applyNumberFormat="1" applyFont="1" applyBorder="1" applyAlignment="1">
      <alignment horizontal="center" vertical="center" wrapText="1"/>
    </xf>
    <xf numFmtId="0" fontId="0" fillId="0" borderId="8" xfId="0" applyNumberFormat="1" applyFont="1" applyBorder="1" applyAlignment="1">
      <alignment horizontal="left" vertical="center" wrapText="1"/>
    </xf>
    <xf numFmtId="0" fontId="0" fillId="0" borderId="0" xfId="0" applyNumberFormat="1" applyFont="1" applyAlignment="1">
      <alignment horizontal="center" vertical="center"/>
    </xf>
    <xf numFmtId="49" fontId="4" fillId="0" borderId="0" xfId="0" applyNumberFormat="1" applyFont="1" applyAlignment="1">
      <alignment horizontal="left" vertical="center" wrapText="1"/>
    </xf>
    <xf numFmtId="49" fontId="4" fillId="0" borderId="0" xfId="0" applyNumberFormat="1" applyFont="1" applyAlignment="1">
      <alignment horizontal="center"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0" fontId="17" fillId="0" borderId="0" xfId="0" applyNumberFormat="1" applyFont="1" applyAlignment="1">
      <alignment horizontal="left" vertical="center"/>
    </xf>
    <xf numFmtId="0" fontId="17" fillId="0" borderId="9" xfId="0" applyNumberFormat="1" applyFont="1" applyBorder="1" applyAlignment="1">
      <alignment horizontal="left" vertical="center"/>
    </xf>
    <xf numFmtId="0" fontId="4" fillId="0" borderId="12" xfId="0" applyNumberFormat="1" applyFont="1" applyBorder="1" applyAlignment="1">
      <alignment horizontal="center" vertical="center"/>
    </xf>
    <xf numFmtId="49" fontId="4" fillId="0" borderId="4" xfId="0" applyNumberFormat="1" applyFont="1" applyBorder="1" applyAlignment="1">
      <alignment horizontal="left" vertical="center" wrapText="1"/>
    </xf>
    <xf numFmtId="0" fontId="4" fillId="0" borderId="10" xfId="0" applyNumberFormat="1" applyFont="1" applyBorder="1" applyAlignment="1">
      <alignment horizontal="left" vertical="center" wrapText="1"/>
    </xf>
    <xf numFmtId="49" fontId="4" fillId="13" borderId="4" xfId="0" applyNumberFormat="1" applyFont="1" applyFill="1" applyBorder="1" applyAlignment="1" applyProtection="1">
      <alignment horizontal="left" vertical="center" wrapText="1"/>
      <protection locked="0"/>
    </xf>
    <xf numFmtId="49" fontId="4" fillId="11" borderId="4" xfId="0" applyNumberFormat="1" applyFont="1" applyFill="1" applyBorder="1" applyAlignment="1" applyProtection="1">
      <alignment horizontal="left" vertical="center" wrapText="1"/>
      <protection locked="0"/>
    </xf>
    <xf numFmtId="0" fontId="17" fillId="12" borderId="14" xfId="0" applyNumberFormat="1" applyFont="1" applyFill="1" applyBorder="1" applyAlignment="1">
      <alignment horizontal="left" vertical="center"/>
    </xf>
    <xf numFmtId="49" fontId="21" fillId="12" borderId="7" xfId="0" applyNumberFormat="1" applyFont="1" applyFill="1" applyBorder="1">
      <alignment vertical="top"/>
    </xf>
    <xf numFmtId="0" fontId="4" fillId="0" borderId="8" xfId="0" applyNumberFormat="1" applyFont="1" applyBorder="1" applyAlignment="1">
      <alignment horizontal="center" vertical="center"/>
    </xf>
    <xf numFmtId="49" fontId="4" fillId="0" borderId="8" xfId="0" applyNumberFormat="1" applyFont="1" applyBorder="1" applyAlignment="1">
      <alignment vertical="center" wrapText="1"/>
    </xf>
    <xf numFmtId="0" fontId="4" fillId="0" borderId="0" xfId="0" applyNumberFormat="1" applyFont="1" applyAlignment="1">
      <alignment horizontal="center" vertical="center"/>
    </xf>
    <xf numFmtId="49" fontId="21" fillId="0" borderId="9" xfId="0" applyNumberFormat="1" applyFont="1" applyBorder="1">
      <alignment vertical="top"/>
    </xf>
    <xf numFmtId="49" fontId="0" fillId="0" borderId="8" xfId="0" applyNumberFormat="1" applyFont="1" applyBorder="1" applyAlignment="1">
      <alignment horizontal="left" vertical="center" wrapText="1"/>
    </xf>
    <xf numFmtId="49" fontId="4" fillId="0" borderId="34" xfId="0" applyNumberFormat="1" applyFont="1" applyBorder="1" applyAlignment="1">
      <alignment horizontal="left" vertical="center" wrapText="1"/>
    </xf>
    <xf numFmtId="0" fontId="17" fillId="0" borderId="12" xfId="0" applyNumberFormat="1" applyFont="1" applyBorder="1" applyAlignment="1">
      <alignment horizontal="left" vertical="center"/>
    </xf>
    <xf numFmtId="0" fontId="0" fillId="0" borderId="9" xfId="0" applyNumberFormat="1" applyFont="1" applyBorder="1" applyAlignment="1">
      <alignment vertical="center"/>
    </xf>
    <xf numFmtId="0" fontId="17" fillId="0" borderId="17" xfId="0" applyNumberFormat="1" applyFont="1" applyBorder="1" applyAlignment="1">
      <alignment horizontal="left" vertical="center"/>
    </xf>
    <xf numFmtId="49" fontId="11" fillId="0" borderId="10" xfId="0" applyNumberFormat="1" applyFont="1" applyBorder="1" applyAlignment="1">
      <alignment vertical="center" wrapText="1"/>
    </xf>
    <xf numFmtId="0" fontId="4" fillId="10" borderId="4" xfId="0" applyNumberFormat="1" applyFont="1" applyFill="1" applyBorder="1" applyAlignment="1">
      <alignment horizontal="left" vertical="center" wrapText="1"/>
    </xf>
    <xf numFmtId="49" fontId="4" fillId="0" borderId="10" xfId="0" applyNumberFormat="1" applyFont="1" applyBorder="1" applyAlignment="1">
      <alignment horizontal="left" vertical="center" wrapText="1"/>
    </xf>
    <xf numFmtId="0" fontId="4" fillId="10" borderId="10" xfId="0" applyNumberFormat="1" applyFont="1" applyFill="1" applyBorder="1" applyAlignment="1">
      <alignment horizontal="left" vertical="center" wrapText="1"/>
    </xf>
    <xf numFmtId="49" fontId="11" fillId="0" borderId="10" xfId="0" applyNumberFormat="1" applyFont="1" applyBorder="1" applyAlignment="1">
      <alignment horizontal="center" vertical="center" wrapText="1"/>
    </xf>
    <xf numFmtId="0" fontId="17" fillId="12" borderId="14" xfId="0" applyNumberFormat="1" applyFont="1" applyFill="1" applyBorder="1" applyAlignment="1">
      <alignment vertical="center"/>
    </xf>
    <xf numFmtId="49" fontId="11" fillId="0" borderId="8" xfId="0" applyNumberFormat="1" applyFont="1" applyBorder="1" applyAlignment="1">
      <alignment vertical="center" wrapText="1"/>
    </xf>
    <xf numFmtId="49" fontId="11" fillId="0" borderId="0" xfId="0" applyNumberFormat="1" applyFont="1" applyAlignment="1">
      <alignment vertical="center" wrapText="1"/>
    </xf>
    <xf numFmtId="0" fontId="17" fillId="0" borderId="0" xfId="0" applyNumberFormat="1" applyFont="1" applyAlignment="1">
      <alignment vertical="center"/>
    </xf>
    <xf numFmtId="49" fontId="4" fillId="10" borderId="4" xfId="0" applyNumberFormat="1" applyFont="1" applyFill="1" applyBorder="1" applyAlignment="1">
      <alignment horizontal="left" vertical="center" wrapText="1"/>
    </xf>
    <xf numFmtId="0" fontId="4" fillId="0" borderId="4" xfId="0" applyNumberFormat="1" applyFont="1" applyBorder="1" applyAlignment="1">
      <alignment horizontal="left" vertical="center" wrapText="1"/>
    </xf>
    <xf numFmtId="49" fontId="4" fillId="10" borderId="11" xfId="0" applyNumberFormat="1" applyFont="1" applyFill="1" applyBorder="1" applyAlignment="1">
      <alignment horizontal="left" vertical="center" wrapText="1"/>
    </xf>
    <xf numFmtId="0" fontId="17" fillId="0" borderId="11" xfId="0" applyNumberFormat="1" applyFont="1" applyBorder="1" applyAlignment="1">
      <alignment horizontal="left" vertical="center"/>
    </xf>
    <xf numFmtId="0" fontId="17" fillId="12" borderId="8" xfId="0" applyNumberFormat="1" applyFont="1" applyFill="1" applyBorder="1" applyAlignment="1">
      <alignment horizontal="left" vertical="center"/>
    </xf>
    <xf numFmtId="0" fontId="4" fillId="0" borderId="8" xfId="0" applyNumberFormat="1" applyFont="1" applyBorder="1" applyAlignment="1">
      <alignment horizontal="left" vertical="center" wrapText="1"/>
    </xf>
    <xf numFmtId="0" fontId="17" fillId="12" borderId="34" xfId="0" applyNumberFormat="1" applyFont="1" applyFill="1" applyBorder="1" applyAlignment="1">
      <alignment horizontal="left" vertical="center"/>
    </xf>
    <xf numFmtId="49" fontId="0" fillId="0" borderId="7" xfId="0" applyNumberFormat="1" applyFont="1" applyBorder="1" applyAlignment="1">
      <alignment horizontal="left" vertical="center" indent="1"/>
    </xf>
    <xf numFmtId="49" fontId="29" fillId="0" borderId="0" xfId="0" applyNumberFormat="1" applyFont="1">
      <alignment vertical="top"/>
    </xf>
    <xf numFmtId="49" fontId="0" fillId="0" borderId="35" xfId="0" applyNumberFormat="1" applyFont="1" applyBorder="1" applyAlignment="1">
      <alignment horizontal="center" vertical="center"/>
    </xf>
    <xf numFmtId="0" fontId="11" fillId="0" borderId="0" xfId="0" applyNumberFormat="1" applyFont="1" applyAlignment="1">
      <alignment horizontal="center" vertical="center"/>
    </xf>
    <xf numFmtId="0" fontId="11" fillId="3" borderId="0" xfId="0" applyNumberFormat="1" applyFont="1" applyFill="1" applyAlignment="1">
      <alignment horizontal="center" vertical="center"/>
    </xf>
    <xf numFmtId="0" fontId="4" fillId="3" borderId="0" xfId="0" applyNumberFormat="1" applyFont="1" applyFill="1" applyAlignment="1"/>
    <xf numFmtId="0" fontId="4" fillId="0" borderId="7" xfId="0" applyNumberFormat="1" applyFont="1" applyBorder="1" applyAlignment="1">
      <alignment horizontal="left" vertical="center" wrapText="1" indent="1"/>
    </xf>
    <xf numFmtId="0" fontId="43" fillId="0" borderId="0" xfId="0" applyNumberFormat="1" applyFont="1" applyAlignment="1"/>
    <xf numFmtId="49" fontId="27" fillId="3" borderId="0" xfId="0" applyNumberFormat="1" applyFont="1" applyFill="1" applyAlignment="1">
      <alignment horizontal="center" vertical="center" wrapText="1"/>
    </xf>
    <xf numFmtId="49" fontId="17" fillId="12" borderId="13" xfId="0" applyNumberFormat="1" applyFont="1" applyFill="1" applyBorder="1" applyAlignment="1">
      <alignment horizontal="left" vertical="center"/>
    </xf>
    <xf numFmtId="0" fontId="4" fillId="0" borderId="6" xfId="0" applyNumberFormat="1" applyFont="1" applyBorder="1" applyAlignment="1">
      <alignment horizontal="left" vertical="center" wrapText="1" indent="1"/>
    </xf>
    <xf numFmtId="0" fontId="4" fillId="3" borderId="4" xfId="0" applyNumberFormat="1" applyFont="1" applyFill="1" applyBorder="1" applyAlignment="1">
      <alignment horizontal="center" vertical="center"/>
    </xf>
    <xf numFmtId="49" fontId="3" fillId="12" borderId="6" xfId="0" applyNumberFormat="1" applyFont="1" applyFill="1" applyBorder="1" applyAlignment="1">
      <alignment horizontal="center" vertical="center"/>
    </xf>
    <xf numFmtId="49" fontId="23" fillId="0" borderId="0" xfId="0" applyNumberFormat="1" applyFont="1" applyAlignment="1">
      <alignment horizontal="right" vertical="top"/>
    </xf>
    <xf numFmtId="49" fontId="4" fillId="0" borderId="0" xfId="0" applyNumberFormat="1" applyFont="1" applyAlignment="1">
      <alignment horizontal="left" vertical="top" wrapText="1"/>
    </xf>
    <xf numFmtId="49" fontId="11" fillId="0" borderId="0" xfId="0" applyNumberFormat="1" applyFont="1" applyAlignment="1">
      <alignment horizontal="center" vertical="center"/>
    </xf>
    <xf numFmtId="0" fontId="20" fillId="0" borderId="0" xfId="0" applyNumberFormat="1" applyFont="1" applyAlignment="1">
      <alignment vertical="center" wrapText="1"/>
    </xf>
    <xf numFmtId="0" fontId="44" fillId="3" borderId="0" xfId="0" applyNumberFormat="1" applyFont="1" applyFill="1" applyAlignment="1">
      <alignment horizontal="center" vertical="center" wrapText="1"/>
    </xf>
    <xf numFmtId="0" fontId="16" fillId="3" borderId="0" xfId="0" applyNumberFormat="1" applyFont="1" applyFill="1" applyAlignment="1">
      <alignment horizontal="right" vertical="center"/>
    </xf>
    <xf numFmtId="49" fontId="45" fillId="13" borderId="3" xfId="0" applyNumberFormat="1" applyFont="1" applyFill="1" applyBorder="1" applyAlignment="1" applyProtection="1">
      <alignment horizontal="left" vertical="center" wrapText="1"/>
      <protection locked="0"/>
    </xf>
    <xf numFmtId="49" fontId="46" fillId="12" borderId="7" xfId="0" applyNumberFormat="1" applyFont="1" applyFill="1" applyBorder="1" applyAlignment="1">
      <alignment horizontal="center" vertical="top"/>
    </xf>
    <xf numFmtId="49" fontId="46" fillId="12" borderId="13" xfId="0" applyNumberFormat="1" applyFont="1" applyFill="1" applyBorder="1" applyAlignment="1">
      <alignment horizontal="center" vertical="top"/>
    </xf>
    <xf numFmtId="0" fontId="43" fillId="0" borderId="0" xfId="0" applyNumberFormat="1" applyFont="1" applyAlignment="1">
      <alignment vertical="center" wrapText="1"/>
    </xf>
    <xf numFmtId="0" fontId="20" fillId="3" borderId="0" xfId="0" applyNumberFormat="1" applyFont="1" applyFill="1" applyAlignment="1"/>
    <xf numFmtId="0" fontId="4" fillId="0" borderId="4" xfId="0" applyNumberFormat="1" applyFont="1" applyBorder="1" applyAlignment="1">
      <alignment horizontal="left" vertical="top" wrapText="1"/>
    </xf>
    <xf numFmtId="0" fontId="4" fillId="0" borderId="11" xfId="0" applyNumberFormat="1" applyFont="1" applyBorder="1" applyAlignment="1">
      <alignment horizontal="left" vertical="top" wrapText="1"/>
    </xf>
    <xf numFmtId="0" fontId="15" fillId="0" borderId="0" xfId="0" applyNumberFormat="1" applyFont="1" applyAlignment="1">
      <alignment horizontal="center" vertical="center" wrapText="1"/>
    </xf>
    <xf numFmtId="0" fontId="27" fillId="0" borderId="0" xfId="75" applyNumberFormat="1" applyFont="1" applyAlignment="1">
      <alignment horizontal="center" vertical="center" wrapText="1"/>
    </xf>
    <xf numFmtId="0" fontId="4" fillId="2" borderId="3" xfId="0" applyNumberFormat="1" applyFont="1" applyFill="1" applyBorder="1" applyAlignment="1">
      <alignment horizontal="left" vertical="center" wrapText="1"/>
    </xf>
    <xf numFmtId="186" fontId="4" fillId="10" borderId="3" xfId="0" applyNumberFormat="1" applyFont="1" applyFill="1" applyBorder="1" applyAlignment="1">
      <alignment horizontal="left" vertical="center" wrapText="1"/>
    </xf>
    <xf numFmtId="0" fontId="4" fillId="0" borderId="0" xfId="0" applyNumberFormat="1" applyFont="1" applyAlignment="1">
      <alignment horizontal="left" vertical="center" wrapText="1" indent="1"/>
    </xf>
    <xf numFmtId="0" fontId="10" fillId="0" borderId="0" xfId="0" applyNumberFormat="1" applyFont="1" applyAlignment="1">
      <alignment horizontal="left" vertical="center" indent="1"/>
    </xf>
    <xf numFmtId="0" fontId="4" fillId="3" borderId="10" xfId="0" applyNumberFormat="1" applyFont="1" applyFill="1" applyBorder="1" applyAlignment="1">
      <alignment vertical="center" wrapText="1"/>
    </xf>
    <xf numFmtId="0" fontId="4" fillId="3" borderId="16" xfId="0" applyNumberFormat="1" applyFont="1" applyFill="1" applyBorder="1" applyAlignment="1">
      <alignment vertical="center" wrapText="1"/>
    </xf>
    <xf numFmtId="0" fontId="4" fillId="0" borderId="7" xfId="0" applyNumberFormat="1" applyFont="1" applyBorder="1" applyAlignment="1">
      <alignment horizontal="left" vertical="center" wrapText="1"/>
    </xf>
    <xf numFmtId="185" fontId="4" fillId="0" borderId="0" xfId="0" applyNumberFormat="1" applyFont="1" applyAlignment="1">
      <alignment horizontal="right" vertical="center" wrapText="1"/>
    </xf>
    <xf numFmtId="188" fontId="23" fillId="0" borderId="8" xfId="0" applyNumberFormat="1" applyFont="1" applyBorder="1" applyAlignment="1">
      <alignment horizontal="center" vertical="center" wrapText="1"/>
    </xf>
    <xf numFmtId="188" fontId="4" fillId="0" borderId="3" xfId="0" applyNumberFormat="1" applyFont="1" applyBorder="1" applyAlignment="1">
      <alignment horizontal="center" vertical="center" wrapText="1"/>
    </xf>
    <xf numFmtId="188" fontId="4" fillId="0" borderId="4" xfId="0" applyNumberFormat="1" applyFont="1" applyBorder="1" applyAlignment="1">
      <alignment horizontal="center" vertical="center" wrapText="1"/>
    </xf>
    <xf numFmtId="0" fontId="4" fillId="2" borderId="17" xfId="0" applyNumberFormat="1" applyFont="1" applyFill="1" applyBorder="1" applyAlignment="1">
      <alignment horizontal="left" vertical="center" wrapText="1"/>
    </xf>
    <xf numFmtId="186" fontId="4" fillId="10" borderId="11" xfId="0" applyNumberFormat="1" applyFont="1" applyFill="1" applyBorder="1" applyAlignment="1">
      <alignment horizontal="left" vertical="center" wrapText="1"/>
    </xf>
    <xf numFmtId="49" fontId="4" fillId="10" borderId="15" xfId="0" applyNumberFormat="1" applyFont="1" applyFill="1" applyBorder="1" applyAlignment="1">
      <alignment horizontal="left" vertical="center" wrapText="1"/>
    </xf>
    <xf numFmtId="49" fontId="17" fillId="12" borderId="9" xfId="0" applyNumberFormat="1" applyFont="1" applyFill="1" applyBorder="1" applyAlignment="1">
      <alignment horizontal="left" vertical="center"/>
    </xf>
    <xf numFmtId="49" fontId="0" fillId="12" borderId="9" xfId="0" applyNumberFormat="1" applyFont="1" applyFill="1" applyBorder="1" applyAlignment="1">
      <alignment horizontal="right" vertical="center" wrapText="1"/>
    </xf>
    <xf numFmtId="0" fontId="4" fillId="0" borderId="36" xfId="0" applyNumberFormat="1" applyFont="1" applyBorder="1" applyAlignment="1">
      <alignment vertical="center" wrapText="1"/>
    </xf>
    <xf numFmtId="0" fontId="4" fillId="3" borderId="12" xfId="0" applyNumberFormat="1" applyFont="1" applyFill="1" applyBorder="1" applyAlignment="1">
      <alignment vertical="center" wrapText="1"/>
    </xf>
    <xf numFmtId="0" fontId="47" fillId="0" borderId="0" xfId="0" applyNumberFormat="1" applyFont="1" applyAlignment="1">
      <alignment vertical="center"/>
    </xf>
    <xf numFmtId="49" fontId="45" fillId="12" borderId="9" xfId="0" applyNumberFormat="1" applyFont="1" applyFill="1" applyBorder="1" applyAlignment="1">
      <alignment horizontal="left" vertical="center" wrapText="1"/>
    </xf>
    <xf numFmtId="49" fontId="45" fillId="12" borderId="17" xfId="0" applyNumberFormat="1" applyFont="1" applyFill="1" applyBorder="1" applyAlignment="1">
      <alignment horizontal="left" vertical="center" wrapText="1"/>
    </xf>
    <xf numFmtId="0" fontId="10" fillId="0" borderId="9" xfId="0" applyNumberFormat="1" applyFont="1" applyBorder="1" applyAlignment="1">
      <alignment horizontal="center" vertical="center" wrapText="1"/>
    </xf>
    <xf numFmtId="0" fontId="27" fillId="0" borderId="3" xfId="75" applyNumberFormat="1" applyFont="1" applyBorder="1" applyAlignment="1">
      <alignment horizontal="center" vertical="center" wrapText="1"/>
    </xf>
    <xf numFmtId="188" fontId="23" fillId="0" borderId="34" xfId="0" applyNumberFormat="1" applyFont="1" applyBorder="1" applyAlignment="1">
      <alignment horizontal="center" vertical="center" wrapText="1"/>
    </xf>
    <xf numFmtId="0" fontId="10" fillId="0" borderId="0" xfId="0" applyNumberFormat="1" applyFont="1" applyAlignment="1">
      <alignment horizontal="center" vertical="center"/>
    </xf>
    <xf numFmtId="188" fontId="4" fillId="0" borderId="6" xfId="0" applyNumberFormat="1" applyFont="1" applyBorder="1" applyAlignment="1">
      <alignment horizontal="center" vertical="center" wrapText="1"/>
    </xf>
    <xf numFmtId="188" fontId="4" fillId="0" borderId="10" xfId="0" applyNumberFormat="1" applyFont="1" applyBorder="1" applyAlignment="1">
      <alignment horizontal="center" vertical="center" wrapText="1"/>
    </xf>
    <xf numFmtId="188" fontId="4" fillId="0" borderId="11" xfId="0" applyNumberFormat="1" applyFont="1" applyBorder="1" applyAlignment="1">
      <alignment horizontal="center" vertical="center" wrapText="1"/>
    </xf>
    <xf numFmtId="49" fontId="4" fillId="13" borderId="9" xfId="0" applyNumberFormat="1" applyFont="1" applyFill="1" applyBorder="1" applyAlignment="1" applyProtection="1">
      <alignment horizontal="left" vertical="center" wrapText="1"/>
      <protection locked="0"/>
    </xf>
    <xf numFmtId="49" fontId="4" fillId="13" borderId="15" xfId="0" applyNumberFormat="1" applyFont="1" applyFill="1" applyBorder="1" applyAlignment="1" applyProtection="1">
      <alignment horizontal="left" vertical="center" wrapText="1"/>
      <protection locked="0"/>
    </xf>
    <xf numFmtId="49" fontId="4" fillId="0" borderId="3" xfId="0" applyNumberFormat="1" applyFont="1" applyBorder="1" applyAlignment="1">
      <alignment horizontal="left" vertical="top" wrapText="1"/>
    </xf>
    <xf numFmtId="49" fontId="48" fillId="0" borderId="3" xfId="0" applyNumberFormat="1" applyFont="1" applyBorder="1" applyAlignment="1">
      <alignment horizontal="left" vertical="top" wrapText="1"/>
    </xf>
    <xf numFmtId="0" fontId="47" fillId="0" borderId="0" xfId="0" applyNumberFormat="1" applyFont="1" applyAlignment="1">
      <alignment vertical="center" wrapText="1"/>
    </xf>
    <xf numFmtId="189" fontId="4" fillId="13" borderId="3" xfId="0" applyNumberFormat="1" applyFont="1" applyFill="1" applyBorder="1" applyAlignment="1" applyProtection="1">
      <alignment horizontal="left" vertical="center" wrapText="1" indent="1"/>
      <protection locked="0"/>
    </xf>
    <xf numFmtId="186" fontId="10" fillId="0" borderId="0" xfId="0" applyNumberFormat="1" applyFont="1" applyAlignment="1">
      <alignment horizontal="center" vertical="center" wrapText="1"/>
    </xf>
    <xf numFmtId="188" fontId="4" fillId="0" borderId="7"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4" fillId="0" borderId="11" xfId="0" applyNumberFormat="1" applyFont="1" applyBorder="1" applyAlignment="1">
      <alignment horizontal="left" vertical="center" wrapText="1" indent="1"/>
    </xf>
    <xf numFmtId="186" fontId="0" fillId="0" borderId="3" xfId="0" applyNumberFormat="1" applyFont="1" applyBorder="1" applyAlignment="1">
      <alignment horizontal="left" vertical="center" wrapText="1" indent="1"/>
    </xf>
    <xf numFmtId="186" fontId="4" fillId="0" borderId="11" xfId="0" applyNumberFormat="1" applyFont="1" applyBorder="1" applyAlignment="1">
      <alignment horizontal="left" vertical="center" wrapText="1" indent="1"/>
    </xf>
    <xf numFmtId="186" fontId="4" fillId="13" borderId="3" xfId="0" applyNumberFormat="1" applyFont="1" applyFill="1" applyBorder="1" applyAlignment="1" applyProtection="1">
      <alignment horizontal="left" vertical="center" wrapText="1" indent="1"/>
      <protection locked="0"/>
    </xf>
    <xf numFmtId="49" fontId="45" fillId="11"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left" vertical="center" wrapText="1" indent="1"/>
    </xf>
    <xf numFmtId="0" fontId="10" fillId="0" borderId="0" xfId="0" applyNumberFormat="1" applyFont="1" applyAlignment="1">
      <alignment horizontal="left" vertical="center" wrapText="1" indent="1"/>
    </xf>
    <xf numFmtId="185" fontId="4" fillId="0" borderId="4" xfId="0" applyNumberFormat="1" applyFont="1" applyBorder="1" applyAlignment="1">
      <alignment horizontal="center" vertical="center" wrapText="1"/>
    </xf>
    <xf numFmtId="188" fontId="4" fillId="0" borderId="13" xfId="0" applyNumberFormat="1" applyFont="1" applyBorder="1" applyAlignment="1">
      <alignment horizontal="center" vertical="center" wrapText="1"/>
    </xf>
    <xf numFmtId="185" fontId="4" fillId="0" borderId="10" xfId="0" applyNumberFormat="1" applyFont="1" applyBorder="1" applyAlignment="1">
      <alignment horizontal="center" vertical="center" wrapText="1"/>
    </xf>
    <xf numFmtId="185" fontId="4" fillId="0" borderId="11" xfId="0" applyNumberFormat="1" applyFont="1" applyBorder="1" applyAlignment="1">
      <alignment horizontal="center" vertical="center" wrapText="1"/>
    </xf>
    <xf numFmtId="49" fontId="45" fillId="0" borderId="3" xfId="0" applyNumberFormat="1" applyFont="1" applyBorder="1" applyAlignment="1">
      <alignment horizontal="left" vertical="center" wrapText="1"/>
    </xf>
    <xf numFmtId="0" fontId="4" fillId="0" borderId="34" xfId="0" applyNumberFormat="1" applyFont="1" applyBorder="1" applyAlignment="1">
      <alignment horizontal="left" vertical="top" wrapText="1"/>
    </xf>
    <xf numFmtId="0" fontId="4" fillId="0" borderId="17" xfId="0" applyNumberFormat="1" applyFont="1" applyBorder="1" applyAlignment="1">
      <alignment horizontal="left" vertical="top" wrapText="1"/>
    </xf>
    <xf numFmtId="186" fontId="0" fillId="13" borderId="7" xfId="0" applyNumberFormat="1" applyFont="1" applyFill="1" applyBorder="1" applyAlignment="1" applyProtection="1">
      <alignment horizontal="left" vertical="center" wrapText="1" indent="1"/>
      <protection locked="0"/>
    </xf>
    <xf numFmtId="0" fontId="4" fillId="2" borderId="11" xfId="0" applyNumberFormat="1" applyFont="1" applyFill="1" applyBorder="1" applyAlignment="1">
      <alignment horizontal="left" vertical="center" wrapText="1" indent="1"/>
    </xf>
    <xf numFmtId="186" fontId="4" fillId="13" borderId="11" xfId="0" applyNumberFormat="1" applyFont="1" applyFill="1" applyBorder="1" applyAlignment="1" applyProtection="1">
      <alignment horizontal="left" vertical="center" wrapText="1" indent="1"/>
      <protection locked="0"/>
    </xf>
    <xf numFmtId="0" fontId="23" fillId="0" borderId="0" xfId="0" applyNumberFormat="1" applyFont="1" applyAlignment="1">
      <alignment vertical="center" wrapText="1"/>
    </xf>
    <xf numFmtId="188" fontId="4" fillId="0" borderId="14" xfId="0" applyNumberFormat="1" applyFont="1" applyBorder="1" applyAlignment="1">
      <alignment horizontal="center" vertical="center" wrapText="1"/>
    </xf>
    <xf numFmtId="49" fontId="3" fillId="12" borderId="15" xfId="0" applyNumberFormat="1" applyFont="1" applyFill="1" applyBorder="1" applyAlignment="1">
      <alignment horizontal="right" vertical="center" wrapText="1"/>
    </xf>
    <xf numFmtId="0" fontId="38" fillId="0" borderId="0" xfId="0" applyNumberFormat="1" applyFont="1" applyAlignment="1">
      <alignment vertical="center" wrapText="1"/>
    </xf>
    <xf numFmtId="0" fontId="49" fillId="0" borderId="0" xfId="0" applyNumberFormat="1" applyFont="1" applyAlignment="1">
      <alignment horizontal="center" vertical="center" wrapText="1"/>
    </xf>
    <xf numFmtId="186" fontId="4" fillId="13" borderId="6" xfId="0" applyNumberFormat="1" applyFont="1" applyFill="1" applyBorder="1" applyAlignment="1" applyProtection="1">
      <alignment horizontal="left" vertical="center" wrapText="1" indent="1"/>
      <protection locked="0"/>
    </xf>
    <xf numFmtId="0" fontId="8" fillId="0" borderId="10" xfId="0" applyNumberFormat="1" applyFont="1" applyBorder="1" applyAlignment="1">
      <alignment horizontal="left" vertical="center" wrapText="1" indent="1"/>
    </xf>
    <xf numFmtId="49" fontId="0" fillId="12" borderId="17" xfId="0" applyNumberFormat="1" applyFont="1" applyFill="1" applyBorder="1" applyAlignment="1">
      <alignment horizontal="right" vertical="center" wrapText="1"/>
    </xf>
    <xf numFmtId="0" fontId="50" fillId="3" borderId="0" xfId="0" applyNumberFormat="1" applyFont="1" applyFill="1" applyAlignment="1"/>
    <xf numFmtId="0" fontId="21" fillId="3" borderId="0" xfId="0" applyNumberFormat="1" applyFont="1" applyFill="1" applyAlignment="1"/>
    <xf numFmtId="0" fontId="10" fillId="3" borderId="0" xfId="0" applyNumberFormat="1" applyFont="1" applyFill="1" applyAlignment="1"/>
    <xf numFmtId="0" fontId="0" fillId="3" borderId="0" xfId="0" applyNumberFormat="1" applyFont="1" applyFill="1" applyAlignment="1">
      <alignment horizontal="center"/>
    </xf>
    <xf numFmtId="49" fontId="51" fillId="0" borderId="0" xfId="0" applyNumberFormat="1" applyFont="1" applyAlignment="1">
      <alignment horizontal="center" vertical="center" wrapText="1"/>
    </xf>
    <xf numFmtId="49" fontId="4" fillId="3" borderId="3" xfId="0" applyNumberFormat="1" applyFont="1" applyFill="1" applyBorder="1" applyAlignment="1">
      <alignment horizontal="center" vertical="center"/>
    </xf>
    <xf numFmtId="0" fontId="4" fillId="13" borderId="3" xfId="0" applyNumberFormat="1" applyFont="1" applyFill="1" applyBorder="1" applyAlignment="1" applyProtection="1">
      <alignment horizontal="center" vertical="center" wrapText="1"/>
      <protection locked="0"/>
    </xf>
    <xf numFmtId="0" fontId="8" fillId="3" borderId="0" xfId="0" applyNumberFormat="1" applyFont="1" applyFill="1" applyAlignment="1"/>
    <xf numFmtId="0" fontId="4" fillId="0" borderId="34" xfId="0" applyNumberFormat="1" applyFont="1" applyBorder="1" applyAlignment="1">
      <alignment horizontal="left" vertical="center" wrapText="1" indent="1"/>
    </xf>
    <xf numFmtId="0" fontId="4" fillId="0" borderId="4" xfId="0" applyNumberFormat="1" applyFont="1" applyBorder="1" applyAlignment="1">
      <alignment horizontal="left" vertical="center" wrapText="1" indent="1"/>
    </xf>
    <xf numFmtId="0" fontId="4" fillId="0" borderId="14" xfId="0" applyNumberFormat="1" applyFont="1" applyBorder="1" applyAlignment="1">
      <alignment horizontal="left" vertical="center" wrapText="1" indent="1"/>
    </xf>
    <xf numFmtId="0" fontId="4" fillId="0" borderId="9" xfId="0" applyNumberFormat="1" applyFont="1" applyBorder="1" applyAlignment="1">
      <alignment horizontal="left" vertical="center" wrapText="1" indent="1"/>
    </xf>
    <xf numFmtId="0" fontId="52" fillId="0" borderId="0" xfId="0" applyNumberFormat="1" applyFont="1" applyAlignment="1">
      <alignment vertical="center"/>
    </xf>
    <xf numFmtId="0" fontId="4" fillId="3" borderId="0" xfId="0" applyNumberFormat="1" applyFont="1" applyFill="1" applyAlignment="1">
      <alignment horizontal="center" vertical="center" wrapText="1"/>
    </xf>
    <xf numFmtId="0" fontId="53" fillId="3" borderId="0" xfId="0" applyNumberFormat="1" applyFont="1" applyFill="1" applyAlignment="1">
      <alignment horizontal="left" vertical="center" wrapText="1"/>
    </xf>
    <xf numFmtId="49" fontId="4" fillId="3" borderId="3" xfId="0" applyNumberFormat="1" applyFont="1" applyFill="1" applyBorder="1" applyAlignment="1">
      <alignment horizontal="center" vertical="center" wrapText="1"/>
    </xf>
    <xf numFmtId="0" fontId="0" fillId="3" borderId="3" xfId="0" applyNumberFormat="1" applyFont="1" applyFill="1" applyBorder="1" applyAlignment="1">
      <alignment horizontal="center" vertical="center" wrapText="1"/>
    </xf>
    <xf numFmtId="0" fontId="27" fillId="3" borderId="0" xfId="0" applyNumberFormat="1" applyFont="1" applyFill="1" applyAlignment="1">
      <alignment horizontal="center" vertical="center"/>
    </xf>
    <xf numFmtId="0" fontId="22" fillId="3" borderId="0" xfId="0" applyNumberFormat="1" applyFont="1" applyFill="1" applyAlignment="1"/>
    <xf numFmtId="49" fontId="4" fillId="0" borderId="3" xfId="0" applyNumberFormat="1" applyFont="1" applyBorder="1" applyAlignment="1">
      <alignment horizontal="center" vertical="center"/>
    </xf>
    <xf numFmtId="0" fontId="4" fillId="0" borderId="3" xfId="0" applyNumberFormat="1" applyFont="1" applyBorder="1" applyAlignment="1">
      <alignment horizontal="left" vertical="center" wrapText="1" indent="1"/>
    </xf>
    <xf numFmtId="0" fontId="10" fillId="3" borderId="0" xfId="0" applyNumberFormat="1" applyFont="1" applyFill="1" applyAlignment="1">
      <alignment horizontal="center" vertical="center" wrapText="1"/>
    </xf>
    <xf numFmtId="0" fontId="0" fillId="3" borderId="4" xfId="0" applyNumberFormat="1" applyFont="1" applyFill="1" applyBorder="1" applyAlignment="1">
      <alignment horizontal="left" vertical="top" wrapText="1"/>
    </xf>
    <xf numFmtId="0" fontId="7" fillId="3" borderId="0" xfId="0" applyNumberFormat="1" applyFont="1" applyFill="1" applyAlignment="1">
      <alignment vertical="center" wrapText="1"/>
    </xf>
    <xf numFmtId="0" fontId="10" fillId="3" borderId="3" xfId="0" applyNumberFormat="1" applyFont="1" applyFill="1" applyBorder="1" applyAlignment="1">
      <alignment horizontal="center" vertical="center"/>
    </xf>
    <xf numFmtId="0" fontId="10" fillId="3" borderId="3" xfId="0" applyNumberFormat="1" applyFont="1" applyFill="1" applyBorder="1" applyAlignment="1">
      <alignment horizontal="left" vertical="center" wrapText="1" indent="2"/>
    </xf>
    <xf numFmtId="0" fontId="10" fillId="0" borderId="3" xfId="0" applyNumberFormat="1" applyFont="1" applyBorder="1" applyAlignment="1">
      <alignment horizontal="center" vertical="center" wrapText="1"/>
    </xf>
    <xf numFmtId="0" fontId="0" fillId="3" borderId="10" xfId="0" applyNumberFormat="1" applyFont="1" applyFill="1" applyBorder="1" applyAlignment="1">
      <alignment horizontal="left" vertical="top" wrapText="1"/>
    </xf>
    <xf numFmtId="0" fontId="4" fillId="12" borderId="6" xfId="0" applyNumberFormat="1" applyFont="1" applyFill="1" applyBorder="1" applyAlignment="1">
      <alignment horizontal="center"/>
    </xf>
    <xf numFmtId="0" fontId="16" fillId="12" borderId="13" xfId="0" applyNumberFormat="1" applyFont="1" applyFill="1" applyBorder="1" applyAlignment="1">
      <alignment horizontal="left" vertical="center"/>
    </xf>
    <xf numFmtId="0" fontId="0" fillId="3" borderId="11" xfId="0" applyNumberFormat="1" applyFont="1" applyFill="1" applyBorder="1" applyAlignment="1">
      <alignment horizontal="left" vertical="top" wrapText="1"/>
    </xf>
    <xf numFmtId="0" fontId="54" fillId="3" borderId="0" xfId="0" applyNumberFormat="1" applyFont="1" applyFill="1" applyAlignment="1"/>
    <xf numFmtId="0" fontId="4" fillId="3" borderId="3" xfId="0" applyNumberFormat="1" applyFont="1" applyFill="1" applyBorder="1" applyAlignment="1">
      <alignment horizontal="left" vertical="top" wrapText="1"/>
    </xf>
    <xf numFmtId="49" fontId="45" fillId="11" borderId="11" xfId="0" applyNumberFormat="1" applyFont="1" applyFill="1" applyBorder="1" applyAlignment="1" applyProtection="1">
      <alignment horizontal="left" vertical="center" wrapText="1"/>
      <protection locked="0"/>
    </xf>
    <xf numFmtId="0" fontId="4" fillId="3" borderId="3" xfId="0" applyNumberFormat="1" applyFont="1" applyFill="1" applyBorder="1" applyAlignment="1">
      <alignment vertical="top" wrapText="1"/>
    </xf>
    <xf numFmtId="0" fontId="33" fillId="0" borderId="0" xfId="0" applyNumberFormat="1" applyFont="1" applyAlignment="1">
      <alignment vertical="center"/>
    </xf>
    <xf numFmtId="49" fontId="4" fillId="0" borderId="0" xfId="0" applyNumberFormat="1" applyFont="1" applyAlignment="1">
      <alignment horizontal="center" vertical="top"/>
    </xf>
    <xf numFmtId="49" fontId="0" fillId="0" borderId="0" xfId="0" applyNumberFormat="1" applyFont="1" applyAlignment="1">
      <alignment vertical="center" wrapText="1"/>
    </xf>
    <xf numFmtId="49" fontId="20" fillId="17" borderId="0" xfId="0" applyNumberFormat="1" applyFont="1" applyFill="1" applyAlignment="1">
      <alignment horizontal="center" vertical="center"/>
    </xf>
    <xf numFmtId="0" fontId="4" fillId="0" borderId="3" xfId="0" applyNumberFormat="1" applyFont="1" applyBorder="1" applyAlignment="1">
      <alignment vertical="center"/>
    </xf>
    <xf numFmtId="0" fontId="0" fillId="0" borderId="3" xfId="0" applyNumberFormat="1" applyFont="1" applyBorder="1" applyAlignment="1">
      <alignment vertical="center"/>
    </xf>
    <xf numFmtId="0" fontId="4" fillId="0" borderId="6" xfId="0" applyNumberFormat="1" applyFont="1" applyBorder="1" applyAlignment="1">
      <alignment vertical="center"/>
    </xf>
    <xf numFmtId="0" fontId="0" fillId="18" borderId="5" xfId="0" applyNumberFormat="1" applyFont="1" applyFill="1" applyBorder="1" applyAlignment="1">
      <alignment horizontal="center"/>
    </xf>
    <xf numFmtId="0" fontId="0" fillId="0" borderId="13" xfId="0" applyNumberFormat="1" applyFont="1" applyBorder="1" applyAlignment="1">
      <alignment vertical="center"/>
    </xf>
    <xf numFmtId="49" fontId="23" fillId="19" borderId="0" xfId="0" applyNumberFormat="1" applyFont="1" applyFill="1" applyAlignment="1">
      <alignment vertical="center" wrapText="1"/>
    </xf>
    <xf numFmtId="0" fontId="0" fillId="0" borderId="5" xfId="0" applyNumberFormat="1" applyFont="1" applyBorder="1" applyAlignment="1">
      <alignment horizontal="center"/>
    </xf>
    <xf numFmtId="49" fontId="20" fillId="17" borderId="0" xfId="0" applyNumberFormat="1" applyFont="1" applyFill="1" applyAlignment="1">
      <alignment horizontal="center" vertical="center" wrapText="1"/>
    </xf>
    <xf numFmtId="49" fontId="0" fillId="11" borderId="30" xfId="0" applyNumberFormat="1" applyFont="1" applyFill="1" applyBorder="1" applyAlignment="1" applyProtection="1">
      <alignment horizontal="left" vertical="center"/>
      <protection locked="0"/>
    </xf>
    <xf numFmtId="49" fontId="0" fillId="0" borderId="30" xfId="0" applyNumberFormat="1" applyFont="1" applyBorder="1" applyAlignment="1">
      <alignment horizontal="right" vertical="center"/>
    </xf>
    <xf numFmtId="0" fontId="0" fillId="2" borderId="30" xfId="0" applyNumberFormat="1" applyFont="1" applyFill="1" applyBorder="1" applyAlignment="1">
      <alignment horizontal="center" vertical="center"/>
    </xf>
    <xf numFmtId="49" fontId="0" fillId="0" borderId="30" xfId="0" applyNumberFormat="1" applyFont="1" applyBorder="1" applyAlignment="1">
      <alignment horizontal="center" vertical="center"/>
    </xf>
    <xf numFmtId="49" fontId="0" fillId="0" borderId="0" xfId="0" applyNumberFormat="1" applyFont="1" applyAlignment="1">
      <alignment horizontal="left" vertical="center"/>
    </xf>
    <xf numFmtId="0" fontId="5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20" fillId="17" borderId="3" xfId="0" applyNumberFormat="1" applyFont="1" applyFill="1" applyBorder="1" applyAlignment="1">
      <alignment horizontal="right" vertical="center"/>
    </xf>
    <xf numFmtId="49" fontId="4" fillId="11" borderId="14" xfId="0" applyNumberFormat="1" applyFont="1" applyFill="1" applyBorder="1" applyProtection="1">
      <alignment vertical="top"/>
      <protection locked="0"/>
    </xf>
    <xf numFmtId="0" fontId="4" fillId="0" borderId="3" xfId="0" applyNumberFormat="1" applyFont="1" applyBorder="1">
      <alignment vertical="top"/>
    </xf>
    <xf numFmtId="0" fontId="0" fillId="14" borderId="3" xfId="0" applyNumberFormat="1" applyFont="1" applyFill="1" applyBorder="1" applyAlignment="1">
      <alignment horizontal="right" vertical="center"/>
    </xf>
    <xf numFmtId="49" fontId="4" fillId="14" borderId="11" xfId="0" applyNumberFormat="1" applyFont="1" applyFill="1" applyBorder="1">
      <alignment vertical="top"/>
    </xf>
    <xf numFmtId="49" fontId="4" fillId="14" borderId="3" xfId="0" applyNumberFormat="1" applyFont="1" applyFill="1" applyBorder="1">
      <alignment vertical="top"/>
    </xf>
    <xf numFmtId="0" fontId="4" fillId="0" borderId="0" xfId="0" applyNumberFormat="1" applyFont="1">
      <alignment vertical="top"/>
    </xf>
    <xf numFmtId="49" fontId="4" fillId="0" borderId="3" xfId="0" applyNumberFormat="1" applyFont="1" applyBorder="1" applyAlignment="1">
      <alignment horizontal="center" vertical="top"/>
    </xf>
    <xf numFmtId="49" fontId="4" fillId="0" borderId="13" xfId="0" applyNumberFormat="1" applyFont="1" applyBorder="1" applyAlignment="1">
      <alignment horizontal="center" vertical="top"/>
    </xf>
    <xf numFmtId="49" fontId="4" fillId="0" borderId="6" xfId="0" applyNumberFormat="1" applyFont="1" applyBorder="1" applyAlignment="1">
      <alignment horizontal="center" vertical="top"/>
    </xf>
    <xf numFmtId="0" fontId="0" fillId="0" borderId="38" xfId="0" applyNumberFormat="1" applyFont="1" applyBorder="1" applyAlignment="1">
      <alignment horizontal="center" vertical="center"/>
    </xf>
    <xf numFmtId="49" fontId="20" fillId="17" borderId="6" xfId="0" applyNumberFormat="1" applyFont="1" applyFill="1" applyBorder="1" applyAlignment="1">
      <alignment horizontal="right" vertical="center"/>
    </xf>
    <xf numFmtId="49" fontId="4" fillId="0" borderId="3" xfId="0" applyNumberFormat="1" applyFont="1" applyBorder="1">
      <alignment vertical="top"/>
    </xf>
    <xf numFmtId="0" fontId="4" fillId="0" borderId="6" xfId="0" applyNumberFormat="1" applyFont="1" applyBorder="1" applyAlignment="1">
      <alignment horizontal="left" vertical="center"/>
    </xf>
    <xf numFmtId="49" fontId="4" fillId="0" borderId="39" xfId="0" applyNumberFormat="1" applyFont="1" applyBorder="1" applyAlignment="1">
      <alignment vertical="center"/>
    </xf>
    <xf numFmtId="49" fontId="4" fillId="0" borderId="6" xfId="0" applyNumberFormat="1" applyFont="1" applyBorder="1">
      <alignment vertical="top"/>
    </xf>
    <xf numFmtId="0" fontId="0" fillId="0" borderId="6" xfId="0" applyNumberFormat="1" applyFont="1" applyBorder="1" applyAlignment="1">
      <alignment horizontal="left" vertical="center"/>
    </xf>
    <xf numFmtId="49" fontId="4" fillId="0" borderId="30" xfId="0" applyNumberFormat="1" applyFont="1" applyBorder="1" applyAlignment="1">
      <alignment horizontal="center" vertical="center"/>
    </xf>
    <xf numFmtId="49" fontId="56" fillId="0" borderId="40" xfId="0" applyNumberFormat="1" applyFont="1" applyBorder="1">
      <alignment vertical="top"/>
    </xf>
    <xf numFmtId="49" fontId="4" fillId="18" borderId="0" xfId="0" applyNumberFormat="1" applyFont="1" applyFill="1" applyAlignment="1">
      <alignment horizontal="center" vertical="center"/>
    </xf>
    <xf numFmtId="0" fontId="4" fillId="2" borderId="15" xfId="0" applyNumberFormat="1" applyFont="1" applyFill="1" applyBorder="1" applyAlignment="1">
      <alignment horizontal="center" vertical="top"/>
    </xf>
    <xf numFmtId="0" fontId="4" fillId="2" borderId="15" xfId="0" applyNumberFormat="1" applyFont="1" applyFill="1" applyBorder="1" applyAlignment="1">
      <alignment horizontal="left" vertical="top"/>
    </xf>
    <xf numFmtId="0" fontId="0" fillId="0" borderId="41" xfId="0" applyNumberFormat="1" applyFont="1" applyBorder="1" applyAlignment="1">
      <alignment horizontal="center" vertical="center"/>
    </xf>
    <xf numFmtId="0" fontId="4" fillId="0" borderId="3" xfId="0" applyNumberFormat="1" applyFont="1" applyBorder="1" applyAlignment="1">
      <alignment horizontal="left" vertical="top"/>
    </xf>
    <xf numFmtId="49" fontId="4" fillId="0" borderId="0" xfId="0" applyNumberFormat="1" applyFont="1" applyAlignment="1">
      <alignment horizontal="left" vertical="top"/>
    </xf>
    <xf numFmtId="0" fontId="0" fillId="0" borderId="32" xfId="0" applyNumberFormat="1" applyFont="1" applyBorder="1" applyAlignment="1">
      <alignment horizontal="center" vertical="center"/>
    </xf>
    <xf numFmtId="49" fontId="4" fillId="0" borderId="42" xfId="0" applyNumberFormat="1" applyFont="1" applyBorder="1">
      <alignment vertical="top"/>
    </xf>
    <xf numFmtId="49" fontId="4" fillId="0" borderId="40" xfId="0" applyNumberFormat="1" applyFont="1" applyBorder="1">
      <alignment vertical="top"/>
    </xf>
    <xf numFmtId="0" fontId="0" fillId="0" borderId="3" xfId="0" applyNumberFormat="1" applyFont="1" applyBorder="1" applyAlignment="1">
      <alignment horizontal="right" vertical="top"/>
    </xf>
    <xf numFmtId="0" fontId="0" fillId="0" borderId="3" xfId="0" applyNumberFormat="1" applyFont="1" applyBorder="1">
      <alignment vertical="top"/>
    </xf>
    <xf numFmtId="49" fontId="4" fillId="0" borderId="3" xfId="0" applyNumberFormat="1" applyFont="1" applyBorder="1" applyAlignment="1">
      <alignment horizontal="right" vertical="top"/>
    </xf>
    <xf numFmtId="49" fontId="4" fillId="0" borderId="4" xfId="0" applyNumberFormat="1" applyFont="1" applyBorder="1" applyAlignment="1">
      <alignment horizontal="right" vertical="top"/>
    </xf>
    <xf numFmtId="0" fontId="0" fillId="0" borderId="4" xfId="0" applyNumberFormat="1" applyFont="1" applyBorder="1">
      <alignment vertical="top"/>
    </xf>
    <xf numFmtId="49" fontId="4" fillId="0" borderId="3" xfId="0" applyNumberFormat="1" applyFont="1" applyBorder="1" applyAlignment="1">
      <alignment horizontal="right" vertical="center"/>
    </xf>
    <xf numFmtId="0" fontId="4" fillId="0" borderId="13" xfId="0" applyNumberFormat="1" applyFont="1" applyBorder="1" applyAlignment="1">
      <alignment vertical="center"/>
    </xf>
    <xf numFmtId="49" fontId="4" fillId="0" borderId="3" xfId="0" applyNumberFormat="1" applyFont="1" applyBorder="1" applyAlignment="1">
      <alignment vertical="center"/>
    </xf>
    <xf numFmtId="0" fontId="4" fillId="0" borderId="4" xfId="0" applyNumberFormat="1" applyFont="1" applyBorder="1" applyAlignment="1">
      <alignment vertical="center"/>
    </xf>
    <xf numFmtId="0" fontId="0" fillId="18" borderId="0" xfId="0" applyNumberFormat="1" applyFont="1" applyFill="1" applyAlignment="1">
      <alignment horizontal="right" vertical="center"/>
    </xf>
    <xf numFmtId="49" fontId="8" fillId="17" borderId="0" xfId="0" applyNumberFormat="1" applyFont="1" applyFill="1" applyAlignment="1">
      <alignment horizontal="center" vertical="center" wrapText="1"/>
    </xf>
    <xf numFmtId="0" fontId="0" fillId="20" borderId="3" xfId="0" applyNumberFormat="1" applyFont="1" applyFill="1" applyBorder="1" applyAlignment="1">
      <alignment horizontal="center" vertical="center"/>
    </xf>
    <xf numFmtId="49" fontId="8" fillId="17" borderId="3" xfId="0" applyNumberFormat="1" applyFont="1" applyFill="1" applyBorder="1" applyAlignment="1">
      <alignment horizontal="center" vertical="center"/>
    </xf>
    <xf numFmtId="49" fontId="8" fillId="21" borderId="3" xfId="0" applyNumberFormat="1" applyFont="1" applyFill="1" applyBorder="1" applyAlignment="1">
      <alignment horizontal="center" vertical="center"/>
    </xf>
    <xf numFmtId="49" fontId="0" fillId="22" borderId="0" xfId="0" applyNumberFormat="1" applyFont="1" applyFill="1" applyAlignment="1">
      <alignment vertical="center" wrapText="1"/>
    </xf>
    <xf numFmtId="0" fontId="0" fillId="18" borderId="0" xfId="0" applyNumberFormat="1" applyFont="1" applyFill="1" applyAlignment="1">
      <alignment horizontal="left" vertical="center"/>
    </xf>
    <xf numFmtId="0" fontId="4" fillId="18" borderId="0" xfId="0" applyNumberFormat="1" applyFont="1" applyFill="1" applyAlignment="1">
      <alignment horizontal="left" vertical="center"/>
    </xf>
    <xf numFmtId="49" fontId="0" fillId="23" borderId="3" xfId="0" applyNumberFormat="1" applyFont="1" applyFill="1" applyBorder="1" applyAlignment="1">
      <alignment horizontal="center" vertical="center"/>
    </xf>
    <xf numFmtId="49" fontId="20" fillId="0" borderId="0" xfId="0" applyNumberFormat="1" applyFont="1" applyAlignment="1">
      <alignment horizontal="center" vertical="center"/>
    </xf>
    <xf numFmtId="0" fontId="0" fillId="0" borderId="0" xfId="0" applyNumberFormat="1" applyFont="1" applyAlignment="1">
      <alignment horizontal="right" vertical="top"/>
    </xf>
    <xf numFmtId="0" fontId="57" fillId="18" borderId="0" xfId="0" applyNumberFormat="1" applyFont="1" applyFill="1" applyAlignment="1">
      <alignment horizontal="left" vertical="center"/>
    </xf>
    <xf numFmtId="0" fontId="57" fillId="0" borderId="0" xfId="0" applyNumberFormat="1" applyFont="1" applyAlignment="1">
      <alignment horizontal="left" vertical="center"/>
    </xf>
    <xf numFmtId="0" fontId="0" fillId="18" borderId="0" xfId="0" applyNumberFormat="1" applyFont="1" applyFill="1" applyAlignment="1">
      <alignment horizontal="right" vertical="top" wrapText="1"/>
    </xf>
    <xf numFmtId="0" fontId="58" fillId="0" borderId="0" xfId="0" applyNumberFormat="1" applyFont="1" applyAlignment="1">
      <alignment vertical="center" wrapText="1"/>
    </xf>
    <xf numFmtId="0" fontId="4" fillId="0" borderId="8" xfId="0" applyNumberFormat="1" applyFont="1" applyBorder="1" applyAlignment="1">
      <alignment horizontal="left" vertical="top" wrapText="1" indent="1"/>
    </xf>
    <xf numFmtId="0" fontId="4" fillId="0" borderId="6" xfId="0" applyNumberFormat="1" applyFont="1" applyBorder="1" applyAlignment="1">
      <alignment vertical="center" wrapText="1"/>
    </xf>
    <xf numFmtId="0" fontId="4" fillId="0" borderId="7" xfId="0" applyNumberFormat="1" applyFont="1" applyBorder="1" applyAlignment="1">
      <alignment horizontal="right" vertical="center" wrapText="1" indent="1"/>
    </xf>
    <xf numFmtId="0" fontId="4" fillId="0" borderId="13" xfId="0" applyNumberFormat="1" applyFont="1" applyBorder="1" applyAlignment="1">
      <alignment horizontal="right" vertical="center" wrapText="1" indent="1"/>
    </xf>
    <xf numFmtId="0" fontId="4" fillId="2" borderId="6" xfId="0" applyNumberFormat="1" applyFont="1" applyFill="1" applyBorder="1" applyAlignment="1">
      <alignment horizontal="left" vertical="top" wrapText="1" indent="1"/>
    </xf>
    <xf numFmtId="0" fontId="4" fillId="2" borderId="13" xfId="0" applyNumberFormat="1" applyFont="1" applyFill="1" applyBorder="1" applyAlignment="1">
      <alignment horizontal="left" vertical="top" wrapText="1" indent="1"/>
    </xf>
    <xf numFmtId="0" fontId="4" fillId="0" borderId="6" xfId="0" applyNumberFormat="1" applyFont="1" applyBorder="1" applyAlignment="1">
      <alignment horizontal="right" vertical="center" wrapText="1"/>
    </xf>
    <xf numFmtId="0" fontId="4" fillId="0" borderId="7" xfId="0" applyNumberFormat="1" applyFont="1" applyBorder="1" applyAlignment="1">
      <alignment horizontal="right" vertical="center" wrapText="1"/>
    </xf>
    <xf numFmtId="49" fontId="27" fillId="0" borderId="0" xfId="0" applyNumberFormat="1" applyFont="1" applyAlignment="1">
      <alignment horizontal="center" vertical="center" wrapText="1"/>
    </xf>
    <xf numFmtId="187" fontId="4" fillId="0" borderId="6" xfId="0" applyNumberFormat="1" applyFont="1" applyBorder="1" applyAlignment="1">
      <alignment vertical="center" wrapText="1"/>
    </xf>
    <xf numFmtId="187" fontId="4" fillId="11" borderId="6" xfId="0" applyNumberFormat="1" applyFont="1" applyFill="1" applyBorder="1" applyAlignment="1" applyProtection="1">
      <alignment horizontal="right" vertical="center" wrapText="1"/>
      <protection locked="0"/>
    </xf>
    <xf numFmtId="185" fontId="4" fillId="11" borderId="6" xfId="0" applyNumberFormat="1" applyFont="1" applyFill="1" applyBorder="1" applyAlignment="1" applyProtection="1">
      <alignment horizontal="right" vertical="center" wrapText="1"/>
      <protection locked="0"/>
    </xf>
    <xf numFmtId="185" fontId="4" fillId="0" borderId="6" xfId="0" applyNumberFormat="1" applyFont="1" applyBorder="1" applyAlignment="1">
      <alignment horizontal="right" vertical="center" wrapText="1"/>
    </xf>
    <xf numFmtId="185" fontId="4" fillId="0" borderId="15" xfId="0" applyNumberFormat="1" applyFont="1" applyBorder="1" applyAlignment="1">
      <alignment horizontal="right" vertical="center" wrapText="1"/>
    </xf>
    <xf numFmtId="0" fontId="4" fillId="0" borderId="13" xfId="0" applyNumberFormat="1" applyFont="1" applyBorder="1" applyAlignment="1">
      <alignment vertical="center" wrapText="1"/>
    </xf>
    <xf numFmtId="0" fontId="45" fillId="0" borderId="0" xfId="0" applyNumberFormat="1" applyFont="1" applyAlignment="1">
      <alignment vertical="center" wrapText="1"/>
    </xf>
    <xf numFmtId="0" fontId="4" fillId="3" borderId="0" xfId="0" applyNumberFormat="1" applyFont="1" applyFill="1" applyAlignment="1">
      <alignment horizontal="right" vertical="center" wrapText="1"/>
    </xf>
    <xf numFmtId="0" fontId="4" fillId="0" borderId="34" xfId="0" applyNumberFormat="1" applyFont="1" applyBorder="1" applyAlignment="1">
      <alignment horizontal="left" vertical="top" wrapText="1" indent="1"/>
    </xf>
    <xf numFmtId="0" fontId="4" fillId="0" borderId="4" xfId="0" applyNumberFormat="1" applyFont="1" applyBorder="1" applyAlignment="1">
      <alignment horizontal="left" vertical="top" wrapText="1" indent="1"/>
    </xf>
    <xf numFmtId="0" fontId="4" fillId="0" borderId="14" xfId="0" applyNumberFormat="1" applyFont="1" applyBorder="1" applyAlignment="1">
      <alignment horizontal="left" vertical="top" wrapText="1" indent="1"/>
    </xf>
    <xf numFmtId="0" fontId="4" fillId="0" borderId="17" xfId="0" applyNumberFormat="1" applyFont="1" applyBorder="1" applyAlignment="1">
      <alignment horizontal="left" vertical="center" wrapText="1" indent="1"/>
    </xf>
    <xf numFmtId="0" fontId="4" fillId="0" borderId="15" xfId="0" applyNumberFormat="1" applyFont="1" applyBorder="1" applyAlignment="1">
      <alignment horizontal="left" vertical="center" wrapText="1" indent="1"/>
    </xf>
    <xf numFmtId="0" fontId="4" fillId="3" borderId="0" xfId="0" applyNumberFormat="1" applyFont="1" applyFill="1" applyAlignment="1">
      <alignment horizontal="right" vertical="center"/>
    </xf>
    <xf numFmtId="0" fontId="0" fillId="0" borderId="3" xfId="0" applyNumberFormat="1" applyFont="1" applyBorder="1" applyAlignment="1">
      <alignment horizontal="left" vertical="top" wrapText="1"/>
    </xf>
    <xf numFmtId="0" fontId="4" fillId="0" borderId="10" xfId="0" applyNumberFormat="1" applyFont="1" applyBorder="1" applyAlignment="1">
      <alignment horizontal="left" vertical="top" wrapText="1"/>
    </xf>
    <xf numFmtId="49" fontId="17" fillId="12" borderId="7" xfId="0" applyNumberFormat="1" applyFont="1" applyFill="1" applyBorder="1" applyAlignment="1">
      <alignment horizontal="left" vertical="center" indent="2"/>
    </xf>
    <xf numFmtId="0" fontId="4" fillId="0" borderId="8" xfId="0" applyNumberFormat="1" applyFont="1" applyBorder="1" applyAlignment="1">
      <alignment vertical="center" wrapText="1"/>
    </xf>
    <xf numFmtId="49" fontId="17" fillId="0" borderId="8" xfId="0" applyNumberFormat="1" applyFont="1" applyBorder="1" applyAlignment="1">
      <alignment horizontal="left" vertical="center"/>
    </xf>
    <xf numFmtId="49" fontId="17" fillId="0" borderId="8" xfId="0" applyNumberFormat="1" applyFont="1" applyBorder="1" applyAlignment="1">
      <alignment horizontal="left" vertical="center" indent="2"/>
    </xf>
    <xf numFmtId="49" fontId="46" fillId="0" borderId="8" xfId="0" applyNumberFormat="1" applyFont="1" applyBorder="1" applyAlignment="1">
      <alignment horizontal="center" vertical="top"/>
    </xf>
    <xf numFmtId="0" fontId="4" fillId="0" borderId="8" xfId="0" applyNumberFormat="1" applyFont="1" applyBorder="1" applyAlignment="1">
      <alignment horizontal="left" vertical="top" wrapText="1"/>
    </xf>
    <xf numFmtId="0" fontId="4" fillId="0" borderId="0" xfId="0" applyNumberFormat="1" applyFont="1" applyAlignment="1">
      <alignment horizontal="right" vertical="top" wrapText="1"/>
    </xf>
    <xf numFmtId="0" fontId="4" fillId="0" borderId="0" xfId="0" applyNumberFormat="1" applyFont="1" applyAlignment="1">
      <alignment horizontal="left" vertical="center" wrapText="1" indent="2"/>
    </xf>
    <xf numFmtId="49" fontId="4" fillId="0" borderId="0" xfId="0" applyNumberFormat="1" applyFont="1" applyAlignment="1">
      <alignment vertical="top" wrapText="1"/>
    </xf>
    <xf numFmtId="0" fontId="4" fillId="0" borderId="0" xfId="0" applyNumberFormat="1" applyFont="1" applyAlignment="1">
      <alignment vertical="top" wrapText="1"/>
    </xf>
    <xf numFmtId="0" fontId="0" fillId="2" borderId="3" xfId="0" applyNumberFormat="1" applyFont="1" applyFill="1" applyBorder="1" applyAlignment="1">
      <alignment horizontal="center" vertical="center" wrapText="1"/>
    </xf>
    <xf numFmtId="0" fontId="4" fillId="0" borderId="7" xfId="0" applyNumberFormat="1" applyFont="1" applyBorder="1" applyAlignment="1">
      <alignment horizontal="left" vertical="top" wrapText="1" indent="1"/>
    </xf>
    <xf numFmtId="0" fontId="0" fillId="3" borderId="6" xfId="0" applyNumberFormat="1" applyFont="1" applyFill="1" applyBorder="1" applyAlignment="1">
      <alignment horizontal="right" vertical="center" wrapText="1" indent="1"/>
    </xf>
    <xf numFmtId="186" fontId="4" fillId="2" borderId="3" xfId="0" applyNumberFormat="1" applyFont="1" applyFill="1" applyBorder="1" applyAlignment="1">
      <alignment horizontal="left" vertical="center" wrapText="1" indent="1"/>
    </xf>
    <xf numFmtId="49" fontId="27" fillId="3" borderId="8" xfId="0" applyNumberFormat="1" applyFont="1" applyFill="1" applyBorder="1" applyAlignment="1">
      <alignment horizontal="center" vertical="center" wrapText="1"/>
    </xf>
    <xf numFmtId="49" fontId="0" fillId="3" borderId="4" xfId="0" applyNumberFormat="1" applyFont="1" applyFill="1" applyBorder="1" applyAlignment="1">
      <alignment horizontal="center" vertical="center" wrapText="1"/>
    </xf>
    <xf numFmtId="0" fontId="0" fillId="0" borderId="4" xfId="0" applyNumberFormat="1" applyFont="1" applyBorder="1" applyAlignment="1">
      <alignment horizontal="left" vertical="center" wrapText="1"/>
    </xf>
    <xf numFmtId="0" fontId="9" fillId="3" borderId="0" xfId="0" applyNumberFormat="1" applyFont="1" applyFill="1" applyAlignment="1">
      <alignment horizontal="center" vertical="top" wrapText="1"/>
    </xf>
    <xf numFmtId="0" fontId="0" fillId="2" borderId="6" xfId="0" applyNumberFormat="1" applyFont="1" applyFill="1" applyBorder="1" applyAlignment="1">
      <alignment horizontal="left" vertical="center" wrapText="1" indent="1"/>
    </xf>
    <xf numFmtId="49" fontId="17" fillId="12" borderId="9" xfId="0" applyNumberFormat="1" applyFont="1" applyFill="1" applyBorder="1" applyAlignment="1">
      <alignment horizontal="left" vertical="center" indent="2"/>
    </xf>
    <xf numFmtId="0" fontId="9" fillId="3" borderId="12" xfId="0" applyNumberFormat="1" applyFont="1" applyFill="1" applyBorder="1" applyAlignment="1">
      <alignment horizontal="center" vertical="top" wrapText="1"/>
    </xf>
    <xf numFmtId="49" fontId="0" fillId="3" borderId="11" xfId="0" applyNumberFormat="1" applyFont="1" applyFill="1" applyBorder="1" applyAlignment="1">
      <alignment horizontal="center" vertical="center" wrapText="1"/>
    </xf>
    <xf numFmtId="0" fontId="0" fillId="2" borderId="11" xfId="0" applyNumberFormat="1" applyFont="1" applyFill="1" applyBorder="1" applyAlignment="1">
      <alignment horizontal="left" vertical="center" wrapText="1" indent="1"/>
    </xf>
    <xf numFmtId="186" fontId="0" fillId="13" borderId="13" xfId="0" applyNumberFormat="1" applyFont="1" applyFill="1" applyBorder="1" applyAlignment="1" applyProtection="1">
      <alignment horizontal="left" vertical="center" wrapText="1"/>
      <protection locked="0"/>
    </xf>
    <xf numFmtId="186" fontId="0" fillId="13" borderId="6" xfId="0" applyNumberFormat="1" applyFont="1" applyFill="1" applyBorder="1" applyAlignment="1" applyProtection="1">
      <alignment horizontal="left" vertical="center" wrapText="1"/>
      <protection locked="0"/>
    </xf>
    <xf numFmtId="0" fontId="0" fillId="0" borderId="10" xfId="0" applyNumberFormat="1" applyFont="1" applyBorder="1" applyAlignment="1">
      <alignment horizontal="center" vertical="center" wrapText="1"/>
    </xf>
    <xf numFmtId="0" fontId="59" fillId="0" borderId="0" xfId="0" applyNumberFormat="1" applyFont="1" applyAlignment="1">
      <alignment vertical="center" wrapText="1"/>
    </xf>
    <xf numFmtId="0" fontId="4" fillId="3" borderId="7" xfId="0" applyNumberFormat="1" applyFont="1" applyFill="1" applyBorder="1" applyAlignment="1">
      <alignment horizontal="center" vertical="center" wrapText="1"/>
    </xf>
    <xf numFmtId="0" fontId="4" fillId="3" borderId="13" xfId="0" applyNumberFormat="1" applyFont="1" applyFill="1" applyBorder="1" applyAlignment="1">
      <alignment horizontal="center" vertical="center" wrapText="1"/>
    </xf>
    <xf numFmtId="186" fontId="0" fillId="11" borderId="13" xfId="0" applyNumberFormat="1" applyFont="1" applyFill="1" applyBorder="1" applyAlignment="1" applyProtection="1">
      <alignment horizontal="left" vertical="center" wrapText="1"/>
      <protection locked="0"/>
    </xf>
    <xf numFmtId="186" fontId="0" fillId="11" borderId="6" xfId="0" applyNumberFormat="1" applyFont="1" applyFill="1" applyBorder="1" applyAlignment="1" applyProtection="1">
      <alignment horizontal="left" vertical="center" wrapText="1"/>
      <protection locked="0"/>
    </xf>
    <xf numFmtId="0" fontId="4" fillId="11" borderId="3" xfId="0" applyNumberFormat="1" applyFont="1" applyFill="1" applyBorder="1" applyAlignment="1" applyProtection="1">
      <alignment horizontal="left" vertical="center" wrapText="1"/>
      <protection locked="0"/>
    </xf>
    <xf numFmtId="49" fontId="0" fillId="3" borderId="6" xfId="0" applyNumberFormat="1" applyFont="1" applyFill="1" applyBorder="1" applyAlignment="1">
      <alignment horizontal="center" vertical="center" wrapText="1"/>
    </xf>
    <xf numFmtId="0" fontId="4" fillId="0" borderId="3" xfId="0" applyNumberFormat="1" applyFont="1" applyBorder="1" applyAlignment="1">
      <alignment vertical="top" wrapText="1"/>
    </xf>
    <xf numFmtId="0" fontId="4" fillId="0" borderId="4" xfId="0" applyNumberFormat="1" applyFont="1" applyBorder="1" applyAlignment="1">
      <alignment vertical="top" wrapText="1"/>
    </xf>
    <xf numFmtId="49" fontId="4" fillId="0" borderId="8" xfId="0" applyNumberFormat="1" applyFont="1" applyBorder="1">
      <alignment vertical="top"/>
    </xf>
    <xf numFmtId="0" fontId="2" fillId="0" borderId="0" xfId="0" applyNumberFormat="1" applyFont="1" applyAlignment="1">
      <alignment horizontal="right" vertical="top" wrapText="1"/>
    </xf>
    <xf numFmtId="0" fontId="0" fillId="13"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186" fontId="0" fillId="13" borderId="3" xfId="0" applyNumberFormat="1" applyFont="1" applyFill="1" applyBorder="1" applyAlignment="1" applyProtection="1">
      <alignment horizontal="left" vertical="center" wrapText="1"/>
      <protection locked="0"/>
    </xf>
    <xf numFmtId="49" fontId="17" fillId="12" borderId="7" xfId="0" applyNumberFormat="1" applyFont="1" applyFill="1" applyBorder="1" applyAlignment="1">
      <alignment horizontal="left" vertical="center" indent="3"/>
    </xf>
    <xf numFmtId="0" fontId="0" fillId="13" borderId="3" xfId="0" applyNumberFormat="1" applyFont="1" applyFill="1" applyBorder="1" applyAlignment="1" applyProtection="1">
      <alignment horizontal="left" vertical="center" wrapText="1" indent="2"/>
      <protection locked="0"/>
    </xf>
    <xf numFmtId="49" fontId="45" fillId="13" borderId="6" xfId="0" applyNumberFormat="1" applyFont="1" applyFill="1" applyBorder="1" applyAlignment="1" applyProtection="1">
      <alignment horizontal="left" vertical="center" wrapText="1"/>
      <protection locked="0"/>
    </xf>
    <xf numFmtId="49" fontId="21" fillId="0" borderId="3" xfId="0" applyNumberFormat="1" applyFont="1" applyBorder="1" applyAlignment="1">
      <alignment horizontal="center" vertical="center" wrapText="1"/>
    </xf>
    <xf numFmtId="0" fontId="21" fillId="0" borderId="3" xfId="0" applyNumberFormat="1" applyFont="1" applyBorder="1" applyAlignment="1">
      <alignment horizontal="left" vertical="center" wrapText="1" indent="2"/>
    </xf>
    <xf numFmtId="49" fontId="60" fillId="0" borderId="6" xfId="0" applyNumberFormat="1" applyFont="1" applyBorder="1" applyAlignment="1">
      <alignment horizontal="left" vertical="center" wrapText="1"/>
    </xf>
    <xf numFmtId="0" fontId="4" fillId="0" borderId="11" xfId="0" applyNumberFormat="1" applyFont="1" applyBorder="1" applyAlignment="1">
      <alignment vertical="top" wrapText="1"/>
    </xf>
    <xf numFmtId="0" fontId="0" fillId="11" borderId="3" xfId="0" applyNumberFormat="1" applyFont="1" applyFill="1" applyBorder="1" applyAlignment="1" applyProtection="1">
      <alignment horizontal="left" vertical="center" wrapText="1" indent="2"/>
      <protection locked="0"/>
    </xf>
    <xf numFmtId="49" fontId="45" fillId="11" borderId="6" xfId="0" applyNumberFormat="1" applyFont="1" applyFill="1" applyBorder="1" applyAlignment="1" applyProtection="1">
      <alignment horizontal="left" vertical="center" wrapText="1"/>
      <protection locked="0"/>
    </xf>
    <xf numFmtId="187" fontId="4" fillId="13" borderId="6" xfId="0" applyNumberFormat="1" applyFont="1" applyFill="1" applyBorder="1" applyAlignment="1" applyProtection="1">
      <alignment vertical="center" wrapText="1"/>
      <protection locked="0"/>
    </xf>
    <xf numFmtId="49" fontId="4" fillId="11" borderId="6" xfId="0" applyNumberFormat="1" applyFont="1" applyFill="1" applyBorder="1" applyAlignment="1" applyProtection="1">
      <alignment horizontal="left" vertical="center" wrapText="1"/>
      <protection locked="0"/>
    </xf>
    <xf numFmtId="185" fontId="4" fillId="2" borderId="6" xfId="0" applyNumberFormat="1" applyFont="1" applyFill="1" applyBorder="1" applyAlignment="1">
      <alignment horizontal="right" vertical="center" wrapText="1"/>
    </xf>
    <xf numFmtId="0" fontId="8" fillId="0" borderId="3" xfId="0" applyNumberFormat="1" applyFont="1" applyBorder="1" applyAlignment="1">
      <alignment vertical="top" wrapText="1"/>
    </xf>
    <xf numFmtId="49" fontId="4" fillId="0" borderId="0" xfId="0" applyNumberFormat="1" applyFont="1" applyAlignment="1">
      <alignment horizontal="center" vertical="top" wrapText="1"/>
    </xf>
    <xf numFmtId="49" fontId="23" fillId="0" borderId="0" xfId="0" applyNumberFormat="1" applyFont="1" applyAlignment="1">
      <alignment horizontal="center" vertical="center" wrapText="1"/>
    </xf>
    <xf numFmtId="49" fontId="23" fillId="0" borderId="0" xfId="0" applyNumberFormat="1" applyFont="1" applyAlignment="1">
      <alignment vertical="center" wrapText="1"/>
    </xf>
    <xf numFmtId="49" fontId="37" fillId="0" borderId="0" xfId="0" applyNumberFormat="1" applyFont="1" applyAlignment="1">
      <alignment vertical="center" wrapText="1"/>
    </xf>
    <xf numFmtId="49" fontId="20" fillId="0" borderId="0" xfId="0" applyNumberFormat="1" applyFont="1" applyAlignment="1">
      <alignment horizontal="center" vertical="top" wrapText="1"/>
    </xf>
    <xf numFmtId="49" fontId="4" fillId="3" borderId="0" xfId="0" applyNumberFormat="1" applyFont="1" applyFill="1" applyAlignment="1">
      <alignment horizontal="center" vertical="top" wrapText="1"/>
    </xf>
    <xf numFmtId="49" fontId="20"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23" fillId="0" borderId="0" xfId="0" applyNumberFormat="1" applyFont="1" applyAlignment="1">
      <alignment horizontal="center" vertical="center" wrapText="1"/>
    </xf>
    <xf numFmtId="49" fontId="4" fillId="0" borderId="6"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23" fillId="3" borderId="0" xfId="0" applyNumberFormat="1" applyFont="1" applyFill="1" applyAlignment="1">
      <alignment vertical="center" wrapText="1"/>
    </xf>
    <xf numFmtId="49" fontId="27" fillId="0" borderId="3" xfId="0" applyNumberFormat="1" applyFont="1" applyBorder="1" applyAlignment="1">
      <alignment horizontal="center" vertical="center"/>
    </xf>
    <xf numFmtId="49" fontId="8"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0" fontId="4" fillId="0" borderId="4" xfId="0" applyNumberFormat="1" applyFont="1" applyBorder="1" applyAlignment="1">
      <alignment horizontal="right" vertical="center"/>
    </xf>
    <xf numFmtId="0" fontId="4" fillId="20" borderId="6" xfId="0" applyNumberFormat="1" applyFont="1" applyFill="1" applyBorder="1" applyAlignment="1">
      <alignment horizontal="center" vertical="center" wrapText="1"/>
    </xf>
    <xf numFmtId="0" fontId="4" fillId="20" borderId="7" xfId="0" applyNumberFormat="1" applyFont="1" applyFill="1" applyBorder="1" applyAlignment="1">
      <alignment horizontal="center" vertical="center" wrapText="1"/>
    </xf>
    <xf numFmtId="49" fontId="4" fillId="14" borderId="3" xfId="0" applyNumberFormat="1" applyFont="1" applyFill="1" applyBorder="1" applyAlignment="1">
      <alignment horizontal="center" vertical="center" wrapText="1"/>
    </xf>
    <xf numFmtId="0" fontId="4" fillId="3" borderId="14" xfId="0" applyNumberFormat="1" applyFont="1" applyFill="1" applyBorder="1" applyAlignment="1">
      <alignment horizontal="center" vertical="center" wrapText="1"/>
    </xf>
    <xf numFmtId="0" fontId="4" fillId="3" borderId="34" xfId="0" applyNumberFormat="1" applyFont="1" applyFill="1" applyBorder="1" applyAlignment="1">
      <alignment horizontal="center" vertical="center" wrapText="1"/>
    </xf>
    <xf numFmtId="0" fontId="4" fillId="3" borderId="15" xfId="0" applyNumberFormat="1" applyFont="1" applyFill="1" applyBorder="1" applyAlignment="1">
      <alignment horizontal="center" vertical="center" wrapText="1"/>
    </xf>
    <xf numFmtId="0" fontId="4" fillId="3" borderId="17" xfId="0" applyNumberFormat="1" applyFont="1" applyFill="1" applyBorder="1" applyAlignment="1">
      <alignment horizontal="center" vertical="center" wrapText="1"/>
    </xf>
    <xf numFmtId="49" fontId="27" fillId="14" borderId="3" xfId="0" applyNumberFormat="1" applyFont="1" applyFill="1" applyBorder="1" applyAlignment="1">
      <alignment horizontal="center" vertical="center"/>
    </xf>
    <xf numFmtId="0" fontId="4" fillId="3" borderId="16" xfId="0" applyNumberFormat="1" applyFont="1" applyFill="1" applyBorder="1" applyAlignment="1">
      <alignment horizontal="center" vertical="center" wrapText="1"/>
    </xf>
    <xf numFmtId="0" fontId="27" fillId="0" borderId="3" xfId="0" applyNumberFormat="1" applyFont="1" applyBorder="1" applyAlignment="1">
      <alignment horizontal="center" vertical="center"/>
    </xf>
    <xf numFmtId="0" fontId="4" fillId="0" borderId="4" xfId="0" applyNumberFormat="1" applyFont="1" applyBorder="1" applyAlignment="1">
      <alignment horizontal="center" vertical="center"/>
    </xf>
    <xf numFmtId="185" fontId="23" fillId="3" borderId="0" xfId="0" applyNumberFormat="1" applyFont="1" applyFill="1" applyAlignment="1">
      <alignment vertical="center"/>
    </xf>
    <xf numFmtId="0" fontId="4" fillId="14" borderId="3" xfId="0" applyNumberFormat="1" applyFont="1" applyFill="1" applyBorder="1" applyAlignment="1">
      <alignment horizontal="center" vertical="center" wrapText="1"/>
    </xf>
    <xf numFmtId="0" fontId="4" fillId="20" borderId="13" xfId="0" applyNumberFormat="1" applyFont="1" applyFill="1" applyBorder="1" applyAlignment="1">
      <alignment horizontal="center" vertical="center" wrapText="1"/>
    </xf>
    <xf numFmtId="49" fontId="8" fillId="17" borderId="6" xfId="0" applyNumberFormat="1" applyFont="1" applyFill="1" applyBorder="1" applyAlignment="1">
      <alignment horizontal="center" vertical="center" wrapText="1"/>
    </xf>
    <xf numFmtId="0" fontId="4" fillId="14" borderId="6" xfId="0" applyNumberFormat="1" applyFont="1" applyFill="1" applyBorder="1" applyAlignment="1">
      <alignment horizontal="center" vertical="center" wrapText="1"/>
    </xf>
    <xf numFmtId="49" fontId="27" fillId="0" borderId="11" xfId="0" applyNumberFormat="1" applyFont="1" applyBorder="1" applyAlignment="1">
      <alignment horizontal="center" vertical="center"/>
    </xf>
    <xf numFmtId="49" fontId="38" fillId="0" borderId="0" xfId="0" applyNumberFormat="1" applyFont="1" applyAlignment="1">
      <alignment vertical="center" wrapText="1"/>
    </xf>
    <xf numFmtId="49" fontId="8" fillId="17" borderId="7" xfId="0" applyNumberFormat="1" applyFont="1" applyFill="1" applyBorder="1" applyAlignment="1">
      <alignment horizontal="center" vertical="center" wrapText="1"/>
    </xf>
    <xf numFmtId="0" fontId="4" fillId="14" borderId="13" xfId="0" applyNumberFormat="1" applyFont="1" applyFill="1" applyBorder="1" applyAlignment="1">
      <alignment horizontal="center" vertical="center" wrapText="1"/>
    </xf>
    <xf numFmtId="49" fontId="8" fillId="17" borderId="13" xfId="0" applyNumberFormat="1" applyFont="1" applyFill="1" applyBorder="1" applyAlignment="1">
      <alignment horizontal="center" vertical="center" wrapText="1"/>
    </xf>
    <xf numFmtId="49" fontId="8" fillId="21" borderId="6" xfId="0" applyNumberFormat="1" applyFont="1" applyFill="1" applyBorder="1" applyAlignment="1">
      <alignment horizontal="center" vertical="center" wrapText="1"/>
    </xf>
    <xf numFmtId="49" fontId="8" fillId="21" borderId="7" xfId="0" applyNumberFormat="1" applyFont="1" applyFill="1" applyBorder="1" applyAlignment="1">
      <alignment horizontal="center" vertical="center" wrapText="1"/>
    </xf>
    <xf numFmtId="49" fontId="8" fillId="21" borderId="13" xfId="0" applyNumberFormat="1" applyFont="1" applyFill="1" applyBorder="1" applyAlignment="1">
      <alignment horizontal="center" vertical="center" wrapText="1"/>
    </xf>
    <xf numFmtId="49" fontId="4" fillId="23" borderId="6" xfId="0" applyNumberFormat="1" applyFont="1" applyFill="1" applyBorder="1" applyAlignment="1">
      <alignment horizontal="center" vertical="center" wrapText="1"/>
    </xf>
    <xf numFmtId="49" fontId="4" fillId="23" borderId="7" xfId="0" applyNumberFormat="1" applyFont="1" applyFill="1" applyBorder="1" applyAlignment="1">
      <alignment horizontal="center" vertical="center" wrapText="1"/>
    </xf>
    <xf numFmtId="49" fontId="4" fillId="14" borderId="8" xfId="0" applyNumberFormat="1" applyFont="1" applyFill="1" applyBorder="1" applyAlignment="1">
      <alignment horizontal="center" vertical="center" wrapText="1"/>
    </xf>
    <xf numFmtId="49" fontId="4" fillId="14" borderId="0" xfId="0" applyNumberFormat="1" applyFont="1" applyFill="1" applyAlignment="1">
      <alignment horizontal="center" vertical="center" wrapText="1"/>
    </xf>
    <xf numFmtId="49" fontId="4" fillId="14" borderId="9" xfId="0" applyNumberFormat="1" applyFont="1" applyFill="1" applyBorder="1" applyAlignment="1">
      <alignment horizontal="center" vertical="center" wrapText="1"/>
    </xf>
    <xf numFmtId="0" fontId="4" fillId="3" borderId="8" xfId="0" applyNumberFormat="1" applyFont="1" applyFill="1" applyBorder="1" applyAlignment="1">
      <alignment vertical="center" wrapText="1"/>
    </xf>
    <xf numFmtId="0" fontId="10" fillId="0" borderId="43" xfId="0" applyNumberFormat="1" applyFont="1" applyBorder="1" applyAlignment="1">
      <alignment vertical="center" wrapText="1"/>
    </xf>
    <xf numFmtId="0" fontId="4" fillId="0" borderId="44" xfId="0" applyNumberFormat="1" applyFont="1" applyBorder="1" applyAlignment="1">
      <alignment horizontal="center" vertical="center"/>
    </xf>
    <xf numFmtId="0" fontId="4" fillId="0" borderId="27"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0" borderId="10" xfId="0" applyNumberFormat="1" applyFont="1" applyBorder="1" applyAlignment="1">
      <alignment horizontal="center" vertical="center" wrapText="1"/>
    </xf>
    <xf numFmtId="49" fontId="0" fillId="0" borderId="11" xfId="0" applyNumberFormat="1" applyFont="1" applyBorder="1" applyAlignment="1">
      <alignment horizontal="center" vertical="center" wrapText="1"/>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left" vertical="center" wrapText="1" indent="3"/>
    </xf>
    <xf numFmtId="49" fontId="0" fillId="2" borderId="3" xfId="0" applyNumberFormat="1" applyFont="1" applyFill="1" applyBorder="1" applyAlignment="1">
      <alignment horizontal="center" vertical="center"/>
    </xf>
    <xf numFmtId="185" fontId="0" fillId="11" borderId="3" xfId="0" applyNumberFormat="1" applyFont="1" applyFill="1" applyBorder="1" applyAlignment="1" applyProtection="1">
      <alignment horizontal="right" vertical="center" wrapText="1"/>
      <protection locked="0"/>
    </xf>
    <xf numFmtId="0" fontId="4" fillId="0" borderId="45" xfId="0" applyNumberFormat="1" applyFont="1" applyBorder="1" applyAlignment="1">
      <alignment vertical="center"/>
    </xf>
    <xf numFmtId="49" fontId="4" fillId="0" borderId="16" xfId="0" applyNumberFormat="1" applyFont="1" applyBorder="1">
      <alignment vertical="top"/>
    </xf>
    <xf numFmtId="0" fontId="4" fillId="3" borderId="43" xfId="0" applyNumberFormat="1" applyFont="1" applyFill="1" applyBorder="1" applyAlignment="1">
      <alignment vertical="center" wrapText="1"/>
    </xf>
    <xf numFmtId="0" fontId="4" fillId="0" borderId="46" xfId="0" applyNumberFormat="1" applyFont="1" applyBorder="1" applyAlignment="1">
      <alignment horizontal="center" vertical="center"/>
    </xf>
    <xf numFmtId="0" fontId="4" fillId="0" borderId="47" xfId="0" applyNumberFormat="1" applyFont="1" applyBorder="1" applyAlignment="1">
      <alignment horizontal="center" vertical="center"/>
    </xf>
    <xf numFmtId="49" fontId="61" fillId="0" borderId="0" xfId="0" applyNumberFormat="1" applyFont="1" applyAlignment="1">
      <alignment horizontal="center" vertical="center" wrapText="1"/>
    </xf>
    <xf numFmtId="0" fontId="4" fillId="0" borderId="0" xfId="0" applyNumberFormat="1" applyFont="1" applyAlignment="1">
      <alignment horizontal="left" vertical="center" wrapText="1" indent="3"/>
    </xf>
    <xf numFmtId="49" fontId="16" fillId="0" borderId="43" xfId="0" applyNumberFormat="1" applyFont="1" applyBorder="1">
      <alignment vertical="top"/>
    </xf>
    <xf numFmtId="49" fontId="4" fillId="3" borderId="3" xfId="0" applyNumberFormat="1" applyFont="1" applyFill="1" applyBorder="1" applyAlignment="1">
      <alignment horizontal="left" vertical="center" wrapText="1"/>
    </xf>
    <xf numFmtId="0" fontId="3" fillId="3" borderId="43" xfId="0" applyNumberFormat="1" applyFont="1" applyFill="1" applyBorder="1" applyAlignment="1">
      <alignment horizontal="center" wrapText="1"/>
    </xf>
    <xf numFmtId="0" fontId="4" fillId="0" borderId="14" xfId="0" applyNumberFormat="1" applyFont="1" applyBorder="1" applyAlignment="1">
      <alignment horizontal="center" vertical="center" wrapText="1"/>
    </xf>
    <xf numFmtId="0" fontId="4" fillId="0" borderId="34" xfId="0" applyNumberFormat="1" applyFont="1" applyBorder="1" applyAlignment="1">
      <alignment horizontal="center" vertical="center" wrapText="1"/>
    </xf>
    <xf numFmtId="0" fontId="4" fillId="0" borderId="16"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4" fillId="0" borderId="17" xfId="0" applyNumberFormat="1" applyFont="1" applyBorder="1" applyAlignment="1">
      <alignment horizontal="center" vertical="center" wrapText="1"/>
    </xf>
    <xf numFmtId="0" fontId="4" fillId="0" borderId="48" xfId="0" applyNumberFormat="1" applyFont="1" applyBorder="1" applyAlignment="1">
      <alignment horizontal="center" vertical="center"/>
    </xf>
    <xf numFmtId="0" fontId="4" fillId="0" borderId="45" xfId="0" applyNumberFormat="1" applyFont="1" applyBorder="1" applyAlignment="1">
      <alignment vertical="center" wrapText="1"/>
    </xf>
    <xf numFmtId="49" fontId="17" fillId="12" borderId="6" xfId="0" applyNumberFormat="1" applyFont="1" applyFill="1" applyBorder="1" applyAlignment="1">
      <alignment horizontal="left" vertical="center" indent="1"/>
    </xf>
    <xf numFmtId="0" fontId="0" fillId="3" borderId="4" xfId="0" applyNumberFormat="1" applyFont="1" applyFill="1" applyBorder="1" applyAlignment="1">
      <alignment horizontal="center" vertical="center" wrapText="1"/>
    </xf>
    <xf numFmtId="0" fontId="0" fillId="3" borderId="14" xfId="0" applyNumberFormat="1" applyFont="1" applyFill="1" applyBorder="1" applyAlignment="1">
      <alignment horizontal="center" vertical="center" wrapText="1"/>
    </xf>
    <xf numFmtId="49" fontId="4" fillId="3" borderId="4" xfId="0" applyNumberFormat="1" applyFont="1" applyFill="1" applyBorder="1" applyAlignment="1">
      <alignment horizontal="left" vertical="center" wrapText="1" indent="1"/>
    </xf>
    <xf numFmtId="0" fontId="4" fillId="12" borderId="9" xfId="0" applyNumberFormat="1" applyFont="1" applyFill="1" applyBorder="1" applyAlignment="1">
      <alignment vertical="center" wrapText="1"/>
    </xf>
    <xf numFmtId="0" fontId="4" fillId="12" borderId="17" xfId="0" applyNumberFormat="1" applyFont="1" applyFill="1" applyBorder="1" applyAlignment="1">
      <alignment vertical="center" wrapText="1"/>
    </xf>
    <xf numFmtId="0" fontId="0" fillId="0" borderId="6" xfId="0" applyNumberFormat="1" applyFont="1" applyBorder="1" applyAlignment="1">
      <alignment horizontal="center" vertical="center"/>
    </xf>
    <xf numFmtId="186" fontId="0" fillId="11" borderId="3" xfId="0" applyNumberFormat="1" applyFont="1" applyFill="1" applyBorder="1" applyAlignment="1" applyProtection="1">
      <alignment horizontal="left" vertical="center" wrapText="1" indent="1"/>
      <protection locked="0"/>
    </xf>
    <xf numFmtId="49" fontId="0" fillId="0" borderId="6" xfId="0" applyNumberFormat="1" applyFont="1" applyBorder="1" applyAlignment="1">
      <alignment horizontal="center" vertical="center"/>
    </xf>
    <xf numFmtId="0" fontId="4" fillId="12" borderId="8" xfId="0" applyNumberFormat="1" applyFont="1" applyFill="1" applyBorder="1" applyAlignment="1">
      <alignment vertical="center" wrapText="1"/>
    </xf>
    <xf numFmtId="0" fontId="8" fillId="12" borderId="13" xfId="0" applyNumberFormat="1" applyFont="1" applyFill="1" applyBorder="1" applyAlignment="1">
      <alignment vertical="center" wrapText="1"/>
    </xf>
    <xf numFmtId="0" fontId="3" fillId="0" borderId="0" xfId="0" applyNumberFormat="1" applyFont="1" applyAlignment="1">
      <alignment horizontal="center" vertical="center" wrapText="1"/>
    </xf>
    <xf numFmtId="0" fontId="10" fillId="0" borderId="9" xfId="0" applyNumberFormat="1" applyFont="1" applyBorder="1" applyAlignment="1">
      <alignment vertical="center" wrapText="1"/>
    </xf>
    <xf numFmtId="0" fontId="4" fillId="2" borderId="6" xfId="0" applyNumberFormat="1" applyFont="1" applyFill="1" applyBorder="1" applyAlignment="1">
      <alignment horizontal="left" vertical="top" wrapText="1"/>
    </xf>
    <xf numFmtId="0" fontId="4" fillId="2" borderId="13" xfId="0" applyNumberFormat="1" applyFont="1" applyFill="1" applyBorder="1" applyAlignment="1">
      <alignment horizontal="left" vertical="top" wrapText="1"/>
    </xf>
    <xf numFmtId="49" fontId="4" fillId="24" borderId="0" xfId="0" applyNumberFormat="1" applyFont="1" applyFill="1" applyAlignment="1">
      <alignment horizontal="center" vertical="center" textRotation="90" wrapText="1"/>
    </xf>
    <xf numFmtId="185" fontId="4" fillId="0" borderId="3" xfId="0" applyNumberFormat="1" applyFont="1" applyBorder="1" applyAlignment="1">
      <alignment horizontal="center" vertical="center" wrapText="1"/>
    </xf>
    <xf numFmtId="185" fontId="4" fillId="13" borderId="3" xfId="0" applyNumberFormat="1" applyFont="1" applyFill="1" applyBorder="1" applyAlignment="1" applyProtection="1">
      <alignment horizontal="right" vertical="center" wrapText="1"/>
      <protection locked="0"/>
    </xf>
    <xf numFmtId="0" fontId="4" fillId="0" borderId="3" xfId="0" applyNumberFormat="1" applyFont="1" applyBorder="1" applyAlignment="1">
      <alignment horizontal="left" vertical="center" wrapText="1" indent="2"/>
    </xf>
    <xf numFmtId="0" fontId="4" fillId="0" borderId="3" xfId="0" applyNumberFormat="1" applyFont="1" applyBorder="1" applyAlignment="1">
      <alignment horizontal="left" vertical="center" wrapText="1" indent="3"/>
    </xf>
    <xf numFmtId="0" fontId="23" fillId="0" borderId="0" xfId="0" applyNumberFormat="1" applyFont="1">
      <alignment vertical="top"/>
    </xf>
    <xf numFmtId="49" fontId="4" fillId="0" borderId="38" xfId="0" applyNumberFormat="1" applyFont="1" applyBorder="1" applyAlignment="1">
      <alignment horizontal="center" vertical="center" wrapText="1"/>
    </xf>
    <xf numFmtId="0" fontId="4" fillId="0" borderId="38" xfId="0" applyNumberFormat="1" applyFont="1" applyBorder="1" applyAlignment="1">
      <alignment horizontal="left" vertical="center" wrapText="1"/>
    </xf>
    <xf numFmtId="185" fontId="4" fillId="0" borderId="49" xfId="0" applyNumberFormat="1" applyFont="1" applyBorder="1" applyAlignment="1">
      <alignment horizontal="center" vertical="center" wrapText="1"/>
    </xf>
    <xf numFmtId="49" fontId="45" fillId="0" borderId="15" xfId="0" applyNumberFormat="1" applyFont="1" applyBorder="1" applyAlignment="1">
      <alignment horizontal="left" vertical="center" wrapText="1"/>
    </xf>
    <xf numFmtId="49" fontId="4" fillId="0" borderId="30" xfId="0" applyNumberFormat="1" applyFont="1" applyBorder="1" applyAlignment="1">
      <alignment horizontal="center" vertical="center" wrapText="1"/>
    </xf>
    <xf numFmtId="0" fontId="4" fillId="0" borderId="32" xfId="0" applyNumberFormat="1" applyFont="1" applyBorder="1" applyAlignment="1">
      <alignment horizontal="left" vertical="center" wrapText="1" indent="1"/>
    </xf>
    <xf numFmtId="49" fontId="45" fillId="0" borderId="6" xfId="0" applyNumberFormat="1" applyFont="1" applyBorder="1" applyAlignment="1">
      <alignment horizontal="left" vertical="center" wrapText="1"/>
    </xf>
    <xf numFmtId="185" fontId="4" fillId="13" borderId="50" xfId="0" applyNumberFormat="1" applyFont="1" applyFill="1" applyBorder="1" applyAlignment="1" applyProtection="1">
      <alignment horizontal="right" vertical="center" wrapText="1"/>
      <protection locked="0"/>
    </xf>
    <xf numFmtId="0" fontId="4" fillId="0" borderId="32" xfId="0" applyNumberFormat="1" applyFont="1" applyBorder="1" applyAlignment="1">
      <alignment horizontal="left" vertical="center" wrapText="1"/>
    </xf>
    <xf numFmtId="49" fontId="45" fillId="0" borderId="7" xfId="0" applyNumberFormat="1" applyFont="1" applyBorder="1" applyAlignment="1">
      <alignment horizontal="left" vertical="center" wrapText="1"/>
    </xf>
    <xf numFmtId="0" fontId="4" fillId="0" borderId="30" xfId="0" applyNumberFormat="1" applyFont="1" applyBorder="1" applyAlignment="1">
      <alignment horizontal="left" vertical="center" wrapText="1" indent="1"/>
    </xf>
    <xf numFmtId="185" fontId="4" fillId="0" borderId="38" xfId="0" applyNumberFormat="1" applyFont="1" applyBorder="1" applyAlignment="1">
      <alignment horizontal="center" vertical="center" wrapText="1"/>
    </xf>
    <xf numFmtId="185" fontId="4" fillId="13" borderId="11" xfId="0" applyNumberFormat="1" applyFont="1" applyFill="1" applyBorder="1" applyAlignment="1" applyProtection="1">
      <alignment horizontal="right" vertical="center" wrapText="1"/>
      <protection locked="0"/>
    </xf>
    <xf numFmtId="0" fontId="4" fillId="0" borderId="30" xfId="0" applyNumberFormat="1" applyFont="1" applyBorder="1" applyAlignment="1">
      <alignment horizontal="left" vertical="center" wrapText="1"/>
    </xf>
    <xf numFmtId="0" fontId="4" fillId="0" borderId="30" xfId="0" applyNumberFormat="1" applyFont="1" applyBorder="1" applyAlignment="1">
      <alignment horizontal="left" vertical="center" wrapText="1" indent="2"/>
    </xf>
    <xf numFmtId="185" fontId="4" fillId="0" borderId="30" xfId="0" applyNumberFormat="1" applyFont="1" applyBorder="1" applyAlignment="1">
      <alignment horizontal="center" vertical="center" wrapText="1"/>
    </xf>
    <xf numFmtId="49" fontId="4" fillId="0" borderId="41" xfId="0" applyNumberFormat="1" applyFont="1" applyBorder="1" applyAlignment="1">
      <alignment horizontal="center" vertical="center" wrapText="1"/>
    </xf>
    <xf numFmtId="0" fontId="59" fillId="0" borderId="16" xfId="0" applyNumberFormat="1" applyFont="1" applyBorder="1" applyAlignment="1">
      <alignment vertical="center" wrapText="1"/>
    </xf>
    <xf numFmtId="0" fontId="4" fillId="0" borderId="50" xfId="0" applyNumberFormat="1" applyFont="1" applyBorder="1" applyAlignment="1">
      <alignment horizontal="left" vertical="center" wrapText="1"/>
    </xf>
    <xf numFmtId="185" fontId="4" fillId="0" borderId="50" xfId="0" applyNumberFormat="1" applyFont="1" applyBorder="1" applyAlignment="1">
      <alignment horizontal="center" vertical="center" wrapText="1"/>
    </xf>
    <xf numFmtId="49" fontId="45" fillId="0" borderId="14" xfId="0" applyNumberFormat="1" applyFont="1" applyBorder="1" applyAlignment="1">
      <alignment horizontal="left" vertical="center" wrapText="1"/>
    </xf>
    <xf numFmtId="49" fontId="4" fillId="0" borderId="32" xfId="0" applyNumberFormat="1" applyFont="1" applyBorder="1" applyAlignment="1">
      <alignment horizontal="center" vertical="center" wrapText="1"/>
    </xf>
    <xf numFmtId="185" fontId="4" fillId="13" borderId="6" xfId="0" applyNumberFormat="1" applyFont="1" applyFill="1" applyBorder="1" applyAlignment="1" applyProtection="1">
      <alignment horizontal="right" vertical="center" wrapText="1"/>
      <protection locked="0"/>
    </xf>
    <xf numFmtId="185" fontId="4" fillId="0" borderId="32" xfId="0" applyNumberFormat="1" applyFont="1" applyBorder="1" applyAlignment="1">
      <alignment horizontal="center" vertical="center" wrapText="1"/>
    </xf>
    <xf numFmtId="185" fontId="4" fillId="13" borderId="41" xfId="0" applyNumberFormat="1" applyFont="1" applyFill="1" applyBorder="1" applyAlignment="1" applyProtection="1">
      <alignment horizontal="right" vertical="center" wrapText="1"/>
      <protection locked="0"/>
    </xf>
    <xf numFmtId="49" fontId="25" fillId="0" borderId="0" xfId="0" applyNumberFormat="1" applyFont="1" applyAlignment="1">
      <alignment horizontal="center" vertical="center" wrapText="1"/>
    </xf>
    <xf numFmtId="0" fontId="57" fillId="0" borderId="0" xfId="0" applyNumberFormat="1" applyFont="1" applyAlignment="1">
      <alignment vertical="center" wrapText="1"/>
    </xf>
    <xf numFmtId="0" fontId="62" fillId="3" borderId="0" xfId="0" applyNumberFormat="1" applyFont="1" applyFill="1" applyAlignment="1">
      <alignment horizontal="right" vertical="center"/>
    </xf>
    <xf numFmtId="0" fontId="10" fillId="0" borderId="6" xfId="0" applyNumberFormat="1" applyFont="1" applyBorder="1" applyAlignment="1">
      <alignment vertical="center" wrapText="1"/>
    </xf>
    <xf numFmtId="0" fontId="10" fillId="0" borderId="7" xfId="0" applyNumberFormat="1" applyFont="1" applyBorder="1" applyAlignment="1">
      <alignment horizontal="right" vertical="center" wrapText="1" indent="1"/>
    </xf>
    <xf numFmtId="0" fontId="10" fillId="0" borderId="13" xfId="0" applyNumberFormat="1" applyFont="1" applyBorder="1" applyAlignment="1">
      <alignment horizontal="right" vertical="center" wrapText="1" indent="1"/>
    </xf>
    <xf numFmtId="0" fontId="10" fillId="0" borderId="6" xfId="0" applyNumberFormat="1" applyFont="1" applyBorder="1" applyAlignment="1">
      <alignment horizontal="left" vertical="top" wrapText="1"/>
    </xf>
    <xf numFmtId="49" fontId="4" fillId="0" borderId="51" xfId="0" applyNumberFormat="1" applyFont="1" applyBorder="1" applyAlignment="1">
      <alignment horizontal="center" vertical="center" wrapText="1"/>
    </xf>
    <xf numFmtId="49" fontId="0" fillId="0" borderId="4" xfId="0" applyNumberFormat="1" applyFont="1" applyBorder="1" applyAlignment="1">
      <alignment horizontal="left" vertical="center" wrapText="1"/>
    </xf>
    <xf numFmtId="49" fontId="4" fillId="0" borderId="52" xfId="0" applyNumberFormat="1" applyFont="1" applyBorder="1" applyAlignment="1">
      <alignment horizontal="center" vertical="center" wrapText="1"/>
    </xf>
    <xf numFmtId="49" fontId="4" fillId="0" borderId="53" xfId="0" applyNumberFormat="1" applyFont="1" applyBorder="1" applyAlignment="1">
      <alignment horizontal="center" vertical="center" wrapText="1"/>
    </xf>
    <xf numFmtId="185" fontId="4" fillId="2" borderId="4" xfId="0" applyNumberFormat="1" applyFont="1" applyFill="1" applyBorder="1" applyAlignment="1">
      <alignment horizontal="right" vertical="center" wrapText="1"/>
    </xf>
    <xf numFmtId="0" fontId="10" fillId="0" borderId="3" xfId="0" applyNumberFormat="1" applyFont="1" applyBorder="1" applyAlignment="1">
      <alignment horizontal="left" vertical="center" wrapText="1" indent="3"/>
    </xf>
    <xf numFmtId="49" fontId="10" fillId="0" borderId="3" xfId="0" applyNumberFormat="1" applyFont="1" applyBorder="1" applyAlignment="1">
      <alignment vertical="center" wrapText="1"/>
    </xf>
    <xf numFmtId="49" fontId="4" fillId="12" borderId="6" xfId="0" applyNumberFormat="1" applyFont="1" applyFill="1" applyBorder="1" applyAlignment="1">
      <alignment vertical="center" wrapText="1"/>
    </xf>
    <xf numFmtId="49" fontId="17" fillId="12" borderId="8" xfId="0" applyNumberFormat="1" applyFont="1" applyFill="1" applyBorder="1" applyAlignment="1">
      <alignment horizontal="left" vertical="center" indent="2"/>
    </xf>
    <xf numFmtId="49" fontId="3" fillId="0" borderId="0" xfId="0" applyNumberFormat="1" applyFont="1" applyAlignment="1">
      <alignment horizontal="center" vertical="center"/>
    </xf>
    <xf numFmtId="184" fontId="4" fillId="0" borderId="3" xfId="0" applyNumberFormat="1" applyFont="1" applyBorder="1" applyAlignment="1">
      <alignment horizontal="right" vertical="center" wrapText="1"/>
    </xf>
    <xf numFmtId="184" fontId="4" fillId="11" borderId="3" xfId="0" applyNumberFormat="1" applyFont="1" applyFill="1" applyBorder="1" applyAlignment="1" applyProtection="1">
      <alignment horizontal="right" vertical="center" wrapText="1"/>
      <protection locked="0"/>
    </xf>
    <xf numFmtId="0" fontId="63" fillId="0" borderId="0" xfId="0" applyNumberFormat="1" applyFont="1" applyAlignment="1">
      <alignment vertical="center" wrapText="1"/>
    </xf>
    <xf numFmtId="0" fontId="4" fillId="0" borderId="13" xfId="0" applyNumberFormat="1" applyFont="1" applyBorder="1" applyAlignment="1">
      <alignment vertical="top" wrapText="1"/>
    </xf>
    <xf numFmtId="0" fontId="54" fillId="0" borderId="0" xfId="0" applyNumberFormat="1" applyFont="1" applyAlignment="1">
      <alignment vertical="center" wrapText="1"/>
    </xf>
    <xf numFmtId="0" fontId="10" fillId="0" borderId="4" xfId="0" applyNumberFormat="1" applyFont="1" applyBorder="1" applyAlignment="1">
      <alignment vertical="top" wrapText="1"/>
    </xf>
    <xf numFmtId="0" fontId="25" fillId="0" borderId="0" xfId="0" applyNumberFormat="1" applyFont="1" applyAlignment="1">
      <alignment vertical="center" wrapText="1"/>
    </xf>
    <xf numFmtId="0" fontId="4" fillId="0" borderId="8" xfId="0" applyNumberFormat="1" applyFont="1" applyBorder="1" applyAlignment="1">
      <alignment horizontal="left" vertical="center" wrapText="1" indent="1"/>
    </xf>
    <xf numFmtId="49" fontId="4" fillId="0" borderId="54" xfId="0" applyNumberFormat="1" applyFont="1" applyBorder="1" applyAlignment="1">
      <alignment horizontal="center" vertical="center" wrapText="1"/>
    </xf>
    <xf numFmtId="185" fontId="4" fillId="13" borderId="4" xfId="0" applyNumberFormat="1" applyFont="1" applyFill="1" applyBorder="1" applyAlignment="1" applyProtection="1">
      <alignment horizontal="right" vertical="center" wrapText="1"/>
      <protection locked="0"/>
    </xf>
    <xf numFmtId="185" fontId="4" fillId="11" borderId="4" xfId="0" applyNumberFormat="1" applyFont="1" applyFill="1" applyBorder="1" applyAlignment="1" applyProtection="1">
      <alignment horizontal="right" vertical="center" wrapText="1"/>
      <protection locked="0"/>
    </xf>
    <xf numFmtId="49" fontId="25" fillId="25" borderId="0" xfId="0" applyNumberFormat="1" applyFont="1" applyFill="1" applyAlignment="1">
      <alignment horizontal="center" vertical="center" wrapText="1"/>
    </xf>
    <xf numFmtId="184" fontId="4" fillId="13" borderId="3" xfId="0" applyNumberFormat="1" applyFont="1" applyFill="1" applyBorder="1" applyAlignment="1" applyProtection="1">
      <alignment horizontal="right" vertical="center" wrapText="1"/>
      <protection locked="0"/>
    </xf>
    <xf numFmtId="0" fontId="8" fillId="26" borderId="3" xfId="0" applyNumberFormat="1" applyFont="1" applyFill="1" applyBorder="1" applyAlignment="1">
      <alignment horizontal="left" vertical="center" wrapText="1"/>
    </xf>
    <xf numFmtId="0" fontId="4" fillId="19" borderId="3" xfId="74" applyFont="1" applyFill="1" applyBorder="1" applyAlignment="1">
      <alignment vertical="center"/>
    </xf>
    <xf numFmtId="49" fontId="0" fillId="27" borderId="3" xfId="0" applyNumberFormat="1" applyFont="1" applyFill="1" applyBorder="1" applyAlignment="1">
      <alignment horizontal="center" vertical="center" wrapText="1"/>
    </xf>
    <xf numFmtId="49" fontId="64" fillId="0" borderId="4" xfId="0" applyNumberFormat="1" applyFont="1" applyBorder="1" applyAlignment="1">
      <alignment horizontal="center" vertical="center" wrapText="1"/>
    </xf>
    <xf numFmtId="49" fontId="64" fillId="0" borderId="3" xfId="0" applyNumberFormat="1" applyFont="1" applyBorder="1" applyAlignment="1">
      <alignment horizontal="center" vertical="center" wrapText="1"/>
    </xf>
    <xf numFmtId="0" fontId="25" fillId="0" borderId="0" xfId="0" applyNumberFormat="1" applyFont="1" applyAlignment="1">
      <alignment horizontal="center" vertical="center" wrapText="1"/>
    </xf>
    <xf numFmtId="0" fontId="4" fillId="0" borderId="8" xfId="0" applyNumberFormat="1" applyFont="1" applyBorder="1" applyAlignment="1">
      <alignment horizontal="right" vertical="center" wrapText="1" indent="1"/>
    </xf>
    <xf numFmtId="185" fontId="4" fillId="13" borderId="14" xfId="0" applyNumberFormat="1" applyFont="1" applyFill="1" applyBorder="1" applyAlignment="1" applyProtection="1">
      <alignment horizontal="right" vertical="center" wrapText="1"/>
      <protection locked="0"/>
    </xf>
    <xf numFmtId="0" fontId="10" fillId="0" borderId="3" xfId="0" applyNumberFormat="1" applyFont="1" applyBorder="1" applyAlignment="1">
      <alignment vertical="top" wrapText="1"/>
    </xf>
    <xf numFmtId="0" fontId="8" fillId="12" borderId="7" xfId="0" applyNumberFormat="1" applyFont="1" applyFill="1" applyBorder="1" applyAlignment="1">
      <alignment vertical="center" wrapText="1"/>
    </xf>
    <xf numFmtId="187" fontId="4" fillId="13" borderId="6" xfId="0" applyNumberFormat="1" applyFont="1" applyFill="1" applyBorder="1" applyAlignment="1" applyProtection="1">
      <alignment horizontal="right" vertical="center" wrapText="1"/>
      <protection locked="0"/>
    </xf>
    <xf numFmtId="187" fontId="4" fillId="13" borderId="3" xfId="0" applyNumberFormat="1" applyFont="1" applyFill="1" applyBorder="1" applyAlignment="1" applyProtection="1">
      <alignment horizontal="right" vertical="center" wrapText="1"/>
      <protection locked="0"/>
    </xf>
    <xf numFmtId="0" fontId="4" fillId="0" borderId="9" xfId="0" applyNumberFormat="1" applyFont="1" applyBorder="1" applyAlignment="1">
      <alignment vertical="center" wrapText="1"/>
    </xf>
    <xf numFmtId="49" fontId="63"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10" fillId="0" borderId="4"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7" fillId="0" borderId="8" xfId="0" applyNumberFormat="1" applyFont="1" applyBorder="1" applyAlignment="1">
      <alignment horizontal="right" vertical="center"/>
    </xf>
    <xf numFmtId="0" fontId="23" fillId="0" borderId="0" xfId="0" applyNumberFormat="1" applyFont="1" applyAlignment="1">
      <alignment horizontal="right" vertical="top" wrapText="1"/>
    </xf>
    <xf numFmtId="0" fontId="23" fillId="0" borderId="0" xfId="0" applyNumberFormat="1" applyFont="1" applyAlignment="1">
      <alignment horizontal="left" vertical="top" wrapText="1"/>
    </xf>
    <xf numFmtId="0" fontId="65" fillId="0" borderId="0" xfId="0" applyNumberFormat="1" applyFont="1" applyAlignment="1">
      <alignment horizontal="center" vertical="center" wrapText="1"/>
    </xf>
    <xf numFmtId="0" fontId="18" fillId="3" borderId="0" xfId="0" applyNumberFormat="1" applyFont="1" applyFill="1" applyAlignment="1">
      <alignment horizontal="right" vertical="center"/>
    </xf>
    <xf numFmtId="9" fontId="3" fillId="0" borderId="0" xfId="0" applyNumberFormat="1" applyFont="1" applyAlignment="1">
      <alignment horizontal="center" vertical="center" wrapText="1"/>
    </xf>
    <xf numFmtId="0" fontId="4" fillId="0" borderId="51" xfId="0" applyNumberFormat="1" applyFont="1" applyBorder="1" applyAlignment="1">
      <alignment horizontal="center" vertical="center" wrapText="1"/>
    </xf>
    <xf numFmtId="0" fontId="4" fillId="13" borderId="3" xfId="0" applyNumberFormat="1" applyFont="1" applyFill="1" applyBorder="1" applyAlignment="1" applyProtection="1">
      <alignment horizontal="left" vertical="center" wrapText="1" indent="2"/>
      <protection locked="0"/>
    </xf>
    <xf numFmtId="0" fontId="10" fillId="0" borderId="51" xfId="0" applyNumberFormat="1" applyFont="1" applyBorder="1" applyAlignment="1">
      <alignment horizontal="center" vertical="center" wrapText="1"/>
    </xf>
    <xf numFmtId="0" fontId="10" fillId="0" borderId="3" xfId="0" applyNumberFormat="1" applyFont="1" applyBorder="1" applyAlignment="1">
      <alignment horizontal="left" vertical="center" wrapText="1" indent="2"/>
    </xf>
    <xf numFmtId="49" fontId="4" fillId="13" borderId="3" xfId="0" applyNumberFormat="1" applyFont="1" applyFill="1" applyBorder="1" applyAlignment="1" applyProtection="1">
      <alignment horizontal="center" vertical="center" wrapText="1"/>
      <protection locked="0"/>
    </xf>
    <xf numFmtId="49" fontId="25" fillId="25" borderId="0" xfId="0" applyNumberFormat="1" applyFont="1" applyFill="1" applyAlignment="1">
      <alignment horizontal="center" vertical="center" textRotation="90" wrapText="1"/>
    </xf>
    <xf numFmtId="49" fontId="7" fillId="0" borderId="51" xfId="0" applyNumberFormat="1" applyFont="1" applyBorder="1" applyAlignment="1">
      <alignment horizontal="center" vertical="center" wrapText="1"/>
    </xf>
    <xf numFmtId="0" fontId="7" fillId="0" borderId="3" xfId="0" applyNumberFormat="1" applyFont="1" applyBorder="1" applyAlignment="1">
      <alignment horizontal="left" vertical="center" wrapText="1" indent="2"/>
    </xf>
    <xf numFmtId="0" fontId="7" fillId="0" borderId="3" xfId="0" applyNumberFormat="1" applyFont="1" applyBorder="1" applyAlignment="1">
      <alignment horizontal="center" vertical="center" wrapText="1"/>
    </xf>
    <xf numFmtId="49" fontId="7" fillId="0" borderId="3" xfId="0" applyNumberFormat="1" applyFont="1" applyBorder="1" applyAlignment="1">
      <alignment horizontal="left" vertical="center" wrapText="1"/>
    </xf>
    <xf numFmtId="0" fontId="7" fillId="0" borderId="51" xfId="0" applyNumberFormat="1" applyFont="1" applyBorder="1" applyAlignment="1">
      <alignment horizontal="center" vertical="center" wrapText="1"/>
    </xf>
    <xf numFmtId="0" fontId="7" fillId="0" borderId="3" xfId="0" applyNumberFormat="1" applyFont="1" applyBorder="1" applyAlignment="1">
      <alignment horizontal="left" vertical="center" wrapText="1" indent="3"/>
    </xf>
    <xf numFmtId="185" fontId="7" fillId="0" borderId="3" xfId="0" applyNumberFormat="1" applyFont="1" applyBorder="1" applyAlignment="1">
      <alignment horizontal="right" vertical="center" wrapText="1"/>
    </xf>
    <xf numFmtId="186" fontId="4" fillId="0" borderId="0" xfId="0" applyNumberFormat="1" applyFont="1" applyAlignment="1">
      <alignment horizontal="center" vertical="center" wrapText="1"/>
    </xf>
    <xf numFmtId="49" fontId="25" fillId="0" borderId="0" xfId="0" applyNumberFormat="1" applyFont="1" applyAlignment="1">
      <alignment horizontal="left" vertical="center" wrapText="1"/>
    </xf>
    <xf numFmtId="0" fontId="4" fillId="0" borderId="34" xfId="0" applyNumberFormat="1" applyFont="1" applyBorder="1" applyAlignment="1">
      <alignment vertical="center" wrapText="1"/>
    </xf>
    <xf numFmtId="0" fontId="7" fillId="0" borderId="3" xfId="0" applyNumberFormat="1" applyFont="1" applyBorder="1" applyAlignment="1">
      <alignment vertical="center" wrapText="1"/>
    </xf>
    <xf numFmtId="0" fontId="66" fillId="0" borderId="0" xfId="0" applyNumberFormat="1" applyFont="1" applyAlignment="1">
      <alignment vertical="center" wrapText="1"/>
    </xf>
    <xf numFmtId="0" fontId="57"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4" fillId="0" borderId="6" xfId="0" applyNumberFormat="1" applyFont="1" applyBorder="1" applyAlignment="1">
      <alignment horizontal="left" vertical="center" wrapText="1" indent="2"/>
    </xf>
    <xf numFmtId="185" fontId="4" fillId="13" borderId="13" xfId="0" applyNumberFormat="1" applyFont="1" applyFill="1" applyBorder="1" applyAlignment="1" applyProtection="1">
      <alignment horizontal="right" vertical="center" wrapText="1"/>
      <protection locked="0"/>
    </xf>
    <xf numFmtId="49" fontId="45" fillId="11" borderId="13" xfId="0" applyNumberFormat="1" applyFont="1" applyFill="1" applyBorder="1" applyAlignment="1" applyProtection="1">
      <alignment horizontal="left" vertical="center" wrapText="1"/>
      <protection locked="0"/>
    </xf>
    <xf numFmtId="184" fontId="4" fillId="13" borderId="13" xfId="0" applyNumberFormat="1" applyFont="1" applyFill="1" applyBorder="1" applyAlignment="1" applyProtection="1">
      <alignment horizontal="right" vertical="center" wrapText="1"/>
      <protection locked="0"/>
    </xf>
    <xf numFmtId="184" fontId="4" fillId="2" borderId="13" xfId="0" applyNumberFormat="1" applyFont="1" applyFill="1" applyBorder="1" applyAlignment="1">
      <alignment horizontal="right" vertical="center" wrapText="1"/>
    </xf>
    <xf numFmtId="185" fontId="4" fillId="13" borderId="17" xfId="0" applyNumberFormat="1" applyFont="1" applyFill="1" applyBorder="1" applyAlignment="1" applyProtection="1">
      <alignment horizontal="right" vertical="center" wrapText="1"/>
      <protection locked="0"/>
    </xf>
    <xf numFmtId="0" fontId="10" fillId="0" borderId="10" xfId="0" applyNumberFormat="1" applyFont="1" applyBorder="1" applyAlignment="1">
      <alignment horizontal="left" vertical="center" wrapText="1" indent="1"/>
    </xf>
    <xf numFmtId="0" fontId="10" fillId="0" borderId="10" xfId="0" applyNumberFormat="1" applyFont="1" applyBorder="1" applyAlignment="1">
      <alignment horizontal="center" vertical="center" wrapText="1"/>
    </xf>
    <xf numFmtId="49" fontId="4" fillId="12" borderId="14" xfId="0" applyNumberFormat="1" applyFont="1" applyFill="1" applyBorder="1" applyAlignment="1">
      <alignment vertical="center" wrapText="1"/>
    </xf>
    <xf numFmtId="49" fontId="17" fillId="12" borderId="8" xfId="0" applyNumberFormat="1" applyFont="1" applyFill="1" applyBorder="1" applyAlignment="1">
      <alignment horizontal="left" vertical="center" indent="1"/>
    </xf>
    <xf numFmtId="185" fontId="4" fillId="11" borderId="13" xfId="0" applyNumberFormat="1" applyFont="1" applyFill="1" applyBorder="1" applyAlignment="1" applyProtection="1">
      <alignment horizontal="right" vertical="center" wrapText="1"/>
      <protection locked="0"/>
    </xf>
    <xf numFmtId="184" fontId="4" fillId="13" borderId="4" xfId="0" applyNumberFormat="1" applyFont="1" applyFill="1" applyBorder="1" applyAlignment="1" applyProtection="1">
      <alignment horizontal="right" vertical="center" wrapText="1"/>
      <protection locked="0"/>
    </xf>
    <xf numFmtId="0" fontId="10" fillId="0" borderId="11" xfId="0" applyNumberFormat="1" applyFont="1" applyBorder="1" applyAlignment="1">
      <alignment horizontal="left" vertical="center" wrapText="1" indent="1"/>
    </xf>
    <xf numFmtId="0" fontId="10" fillId="0" borderId="4" xfId="0" applyNumberFormat="1" applyFont="1" applyBorder="1" applyAlignment="1">
      <alignment horizontal="center" vertical="center" wrapText="1"/>
    </xf>
    <xf numFmtId="0" fontId="10" fillId="0" borderId="4" xfId="0" applyNumberFormat="1" applyFont="1" applyBorder="1" applyAlignment="1">
      <alignment horizontal="left" vertical="center" wrapText="1" indent="1"/>
    </xf>
    <xf numFmtId="184" fontId="4" fillId="2" borderId="3" xfId="0" applyNumberFormat="1" applyFont="1" applyFill="1" applyBorder="1" applyAlignment="1">
      <alignment horizontal="right" vertical="center" wrapText="1"/>
    </xf>
    <xf numFmtId="0" fontId="10" fillId="0" borderId="4" xfId="0" applyNumberFormat="1" applyFont="1" applyBorder="1" applyAlignment="1">
      <alignment vertical="center" wrapText="1"/>
    </xf>
    <xf numFmtId="0" fontId="57" fillId="0" borderId="0" xfId="0" applyNumberFormat="1" applyFont="1" applyAlignment="1">
      <alignment vertical="center"/>
    </xf>
    <xf numFmtId="0" fontId="8" fillId="0" borderId="0" xfId="0" applyNumberFormat="1" applyFont="1" applyAlignment="1">
      <alignment horizontal="left" vertical="center"/>
    </xf>
    <xf numFmtId="0" fontId="67" fillId="0" borderId="0" xfId="0" applyNumberFormat="1" applyFont="1" applyAlignment="1">
      <alignment vertical="center" wrapText="1"/>
    </xf>
    <xf numFmtId="0" fontId="8" fillId="0" borderId="3" xfId="0" applyNumberFormat="1" applyFont="1" applyBorder="1" applyAlignment="1">
      <alignment horizontal="center" vertical="center"/>
    </xf>
    <xf numFmtId="0" fontId="8" fillId="0" borderId="6" xfId="0" applyNumberFormat="1" applyFont="1" applyBorder="1" applyAlignment="1">
      <alignment horizontal="center" vertical="center"/>
    </xf>
    <xf numFmtId="0" fontId="8" fillId="0" borderId="0" xfId="0" applyNumberFormat="1" applyFont="1" applyAlignment="1">
      <alignment horizontal="center" vertical="center"/>
    </xf>
    <xf numFmtId="0" fontId="68" fillId="0" borderId="0" xfId="0" applyNumberFormat="1" applyFont="1" applyAlignment="1">
      <alignment vertical="center" wrapText="1"/>
    </xf>
    <xf numFmtId="0" fontId="69" fillId="0" borderId="0" xfId="0" applyNumberFormat="1" applyFont="1" applyAlignment="1">
      <alignment vertical="center" wrapText="1"/>
    </xf>
    <xf numFmtId="49" fontId="10" fillId="0" borderId="0" xfId="0" applyNumberFormat="1" applyFont="1" applyAlignment="1">
      <alignment vertical="center" wrapText="1"/>
    </xf>
    <xf numFmtId="0" fontId="8" fillId="0" borderId="6" xfId="0" applyNumberFormat="1" applyFont="1" applyBorder="1" applyAlignment="1">
      <alignment horizontal="center" vertical="center" wrapText="1"/>
    </xf>
    <xf numFmtId="49" fontId="10" fillId="0" borderId="0" xfId="0" applyNumberFormat="1" applyFont="1" applyAlignment="1">
      <alignment horizontal="left" vertical="center"/>
    </xf>
    <xf numFmtId="49" fontId="8" fillId="0" borderId="3" xfId="0" applyNumberFormat="1" applyFont="1" applyBorder="1" applyAlignment="1">
      <alignment vertical="center" wrapText="1"/>
    </xf>
    <xf numFmtId="0" fontId="4" fillId="2" borderId="7" xfId="0" applyNumberFormat="1" applyFont="1" applyFill="1" applyBorder="1" applyAlignment="1">
      <alignment horizontal="left" vertical="center" wrapText="1"/>
    </xf>
    <xf numFmtId="0" fontId="68" fillId="3" borderId="0" xfId="0" applyNumberFormat="1" applyFont="1" applyFill="1" applyAlignment="1">
      <alignment horizontal="center" vertical="center" wrapText="1"/>
    </xf>
    <xf numFmtId="0" fontId="69" fillId="3" borderId="0" xfId="0" applyNumberFormat="1" applyFont="1" applyFill="1" applyAlignment="1">
      <alignment horizontal="center" vertical="center" wrapText="1"/>
    </xf>
    <xf numFmtId="0" fontId="10" fillId="3" borderId="3" xfId="0" applyNumberFormat="1" applyFont="1" applyFill="1" applyBorder="1" applyAlignment="1">
      <alignment horizontal="left" vertical="center" wrapText="1" indent="3"/>
    </xf>
    <xf numFmtId="0" fontId="10" fillId="0" borderId="3" xfId="0" applyNumberFormat="1" applyFont="1" applyBorder="1" applyAlignment="1">
      <alignment horizontal="left" vertical="center" wrapText="1" indent="6"/>
    </xf>
    <xf numFmtId="0" fontId="10" fillId="0" borderId="7" xfId="0" applyNumberFormat="1" applyFont="1" applyBorder="1" applyAlignment="1">
      <alignment horizontal="left" vertical="center" wrapText="1"/>
    </xf>
    <xf numFmtId="0" fontId="10" fillId="0" borderId="3" xfId="0" applyNumberFormat="1" applyFont="1" applyBorder="1" applyAlignment="1">
      <alignment horizontal="left" vertical="center" wrapText="1" indent="4"/>
    </xf>
    <xf numFmtId="0" fontId="10" fillId="0" borderId="3" xfId="0" applyNumberFormat="1" applyFont="1" applyBorder="1" applyAlignment="1">
      <alignment horizontal="left" vertical="center" wrapText="1" indent="5"/>
    </xf>
    <xf numFmtId="0" fontId="10" fillId="0" borderId="12" xfId="0" applyNumberFormat="1" applyFont="1" applyBorder="1" applyAlignment="1">
      <alignment horizontal="center" vertical="top" wrapText="1"/>
    </xf>
    <xf numFmtId="0" fontId="4" fillId="3" borderId="4" xfId="0" applyNumberFormat="1" applyFont="1" applyFill="1" applyBorder="1" applyAlignment="1">
      <alignment horizontal="left" vertical="center" wrapText="1"/>
    </xf>
    <xf numFmtId="49" fontId="4" fillId="11" borderId="4" xfId="0" applyNumberFormat="1" applyFont="1" applyFill="1" applyBorder="1" applyAlignment="1" applyProtection="1">
      <alignment horizontal="left" vertical="center" wrapText="1" indent="6"/>
      <protection locked="0"/>
    </xf>
    <xf numFmtId="0" fontId="4" fillId="3" borderId="10" xfId="0" applyNumberFormat="1" applyFont="1" applyFill="1" applyBorder="1" applyAlignment="1">
      <alignment horizontal="left" vertical="center" wrapText="1"/>
    </xf>
    <xf numFmtId="49" fontId="4" fillId="11" borderId="10" xfId="0" applyNumberFormat="1" applyFont="1" applyFill="1" applyBorder="1" applyAlignment="1" applyProtection="1">
      <alignment horizontal="left" vertical="center" wrapText="1" indent="6"/>
      <protection locked="0"/>
    </xf>
    <xf numFmtId="185" fontId="4" fillId="12" borderId="7" xfId="0" applyNumberFormat="1" applyFont="1" applyFill="1" applyBorder="1" applyAlignment="1">
      <alignment horizontal="right" vertical="center" wrapText="1"/>
    </xf>
    <xf numFmtId="183" fontId="4" fillId="12" borderId="7" xfId="0" applyNumberFormat="1" applyFont="1" applyFill="1" applyBorder="1" applyAlignment="1">
      <alignment horizontal="right" vertical="center" wrapText="1"/>
    </xf>
    <xf numFmtId="0" fontId="4" fillId="3" borderId="11" xfId="0" applyNumberFormat="1" applyFont="1" applyFill="1" applyBorder="1" applyAlignment="1">
      <alignment horizontal="left" vertical="center" wrapText="1"/>
    </xf>
    <xf numFmtId="49" fontId="4" fillId="11" borderId="11" xfId="0" applyNumberFormat="1" applyFont="1" applyFill="1" applyBorder="1" applyAlignment="1" applyProtection="1">
      <alignment horizontal="left" vertical="center" wrapText="1" indent="6"/>
      <protection locked="0"/>
    </xf>
    <xf numFmtId="185" fontId="10" fillId="12" borderId="7" xfId="0" applyNumberFormat="1" applyFont="1" applyFill="1" applyBorder="1" applyAlignment="1">
      <alignment horizontal="center" vertical="center" wrapText="1"/>
    </xf>
    <xf numFmtId="49" fontId="62" fillId="0" borderId="6" xfId="0" applyNumberFormat="1" applyFont="1" applyBorder="1" applyAlignment="1">
      <alignment horizontal="left" vertical="center"/>
    </xf>
    <xf numFmtId="49" fontId="10" fillId="0" borderId="7" xfId="0" applyNumberFormat="1" applyFont="1" applyBorder="1" applyAlignment="1">
      <alignment horizontal="left" vertical="center" indent="4"/>
    </xf>
    <xf numFmtId="49" fontId="10" fillId="0" borderId="7" xfId="0" applyNumberFormat="1" applyFont="1" applyBorder="1" applyAlignment="1">
      <alignment horizontal="center" vertical="center" wrapText="1"/>
    </xf>
    <xf numFmtId="49" fontId="13" fillId="0" borderId="0" xfId="0" applyNumberFormat="1" applyFont="1">
      <alignment vertical="top"/>
    </xf>
    <xf numFmtId="49" fontId="10" fillId="0" borderId="12" xfId="0" applyNumberFormat="1" applyFont="1" applyBorder="1">
      <alignment vertical="top"/>
    </xf>
    <xf numFmtId="49" fontId="62" fillId="0" borderId="0" xfId="0" applyNumberFormat="1" applyFont="1" applyAlignment="1">
      <alignment horizontal="left" vertical="center"/>
    </xf>
    <xf numFmtId="49" fontId="10" fillId="0" borderId="0" xfId="0" applyNumberFormat="1" applyFont="1" applyAlignment="1">
      <alignment horizontal="left" vertical="center" indent="1"/>
    </xf>
    <xf numFmtId="0" fontId="67" fillId="0" borderId="0" xfId="0" applyNumberFormat="1" applyFont="1" applyAlignment="1">
      <alignment horizontal="left" vertical="center"/>
    </xf>
    <xf numFmtId="0" fontId="67" fillId="3" borderId="0" xfId="0" applyNumberFormat="1" applyFont="1" applyFill="1" applyAlignment="1">
      <alignment vertical="center" wrapText="1"/>
    </xf>
    <xf numFmtId="0" fontId="0" fillId="0" borderId="7" xfId="0" applyNumberFormat="1" applyFont="1" applyBorder="1" applyAlignment="1">
      <alignment vertical="center"/>
    </xf>
    <xf numFmtId="0" fontId="4" fillId="2" borderId="13" xfId="0" applyNumberFormat="1" applyFont="1" applyFill="1" applyBorder="1" applyAlignment="1">
      <alignment horizontal="left" vertical="center" wrapText="1"/>
    </xf>
    <xf numFmtId="0" fontId="4" fillId="2" borderId="6" xfId="0" applyNumberFormat="1" applyFont="1" applyFill="1" applyBorder="1" applyAlignment="1">
      <alignment horizontal="left" vertical="center" wrapText="1"/>
    </xf>
    <xf numFmtId="0" fontId="10" fillId="0" borderId="13" xfId="0" applyNumberFormat="1" applyFont="1" applyBorder="1" applyAlignment="1">
      <alignment horizontal="left" vertical="center" wrapText="1"/>
    </xf>
    <xf numFmtId="0" fontId="10" fillId="0" borderId="6" xfId="0" applyNumberFormat="1" applyFont="1" applyBorder="1" applyAlignment="1">
      <alignment horizontal="left" vertical="center" wrapText="1"/>
    </xf>
    <xf numFmtId="0" fontId="11" fillId="0" borderId="3" xfId="0" applyNumberFormat="1" applyFont="1" applyBorder="1" applyAlignment="1">
      <alignment horizontal="center" vertical="center" wrapText="1"/>
    </xf>
    <xf numFmtId="49" fontId="17" fillId="12" borderId="6" xfId="0" applyNumberFormat="1" applyFont="1" applyFill="1" applyBorder="1" applyAlignment="1">
      <alignment vertical="center" wrapText="1"/>
    </xf>
    <xf numFmtId="49" fontId="17" fillId="12" borderId="7" xfId="0" applyNumberFormat="1" applyFont="1" applyFill="1" applyBorder="1" applyAlignment="1">
      <alignment vertical="center" wrapText="1"/>
    </xf>
    <xf numFmtId="49" fontId="4" fillId="12" borderId="6"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49" fontId="4" fillId="0" borderId="3" xfId="0" applyNumberFormat="1" applyFont="1" applyBorder="1" applyAlignment="1">
      <alignment vertical="center" wrapText="1"/>
    </xf>
    <xf numFmtId="0" fontId="0" fillId="3" borderId="8" xfId="0" applyNumberFormat="1" applyFont="1" applyFill="1" applyBorder="1" applyAlignment="1">
      <alignment horizontal="center" vertical="center" wrapText="1"/>
    </xf>
    <xf numFmtId="0" fontId="4" fillId="0" borderId="8" xfId="0" applyNumberFormat="1" applyFont="1" applyBorder="1" applyAlignment="1">
      <alignment horizontal="center" vertical="center" wrapText="1"/>
    </xf>
    <xf numFmtId="0" fontId="0" fillId="3" borderId="16" xfId="0" applyNumberFormat="1" applyFont="1" applyFill="1" applyBorder="1" applyAlignment="1">
      <alignment horizontal="center" vertical="center" wrapText="1"/>
    </xf>
    <xf numFmtId="0" fontId="0" fillId="3" borderId="0" xfId="0" applyNumberFormat="1" applyFont="1" applyFill="1" applyAlignment="1">
      <alignment horizontal="center" vertical="center" wrapText="1"/>
    </xf>
    <xf numFmtId="0" fontId="4" fillId="0" borderId="9" xfId="0" applyNumberFormat="1" applyFont="1" applyBorder="1" applyAlignment="1">
      <alignment horizontal="center" vertical="center" wrapText="1"/>
    </xf>
    <xf numFmtId="0" fontId="0" fillId="3" borderId="15" xfId="0" applyNumberFormat="1" applyFont="1" applyFill="1" applyBorder="1" applyAlignment="1">
      <alignment horizontal="center" vertical="center" wrapText="1"/>
    </xf>
    <xf numFmtId="0" fontId="0" fillId="3" borderId="9" xfId="0" applyNumberFormat="1" applyFont="1" applyFill="1" applyBorder="1" applyAlignment="1">
      <alignment horizontal="center" vertical="center" wrapText="1"/>
    </xf>
    <xf numFmtId="185" fontId="4" fillId="13" borderId="3" xfId="0" applyNumberFormat="1" applyFont="1" applyFill="1" applyBorder="1" applyAlignment="1" applyProtection="1">
      <alignment horizontal="left" vertical="center" wrapText="1" indent="1"/>
      <protection locked="0"/>
    </xf>
    <xf numFmtId="49" fontId="4" fillId="10" borderId="3" xfId="0" applyNumberFormat="1" applyFont="1" applyFill="1" applyBorder="1" applyAlignment="1">
      <alignment horizontal="left" vertical="center" wrapText="1" indent="1"/>
    </xf>
    <xf numFmtId="49" fontId="17" fillId="12" borderId="7" xfId="0" applyNumberFormat="1" applyFont="1" applyFill="1" applyBorder="1" applyAlignment="1">
      <alignment vertical="center"/>
    </xf>
    <xf numFmtId="49" fontId="10" fillId="0" borderId="0" xfId="0" applyNumberFormat="1" applyFont="1" applyAlignment="1">
      <alignment horizontal="left" vertical="center" wrapText="1" indent="1"/>
    </xf>
    <xf numFmtId="0" fontId="10" fillId="0" borderId="0" xfId="0" applyNumberFormat="1" applyFont="1" applyAlignment="1">
      <alignment horizontal="left" vertical="center" wrapText="1" indent="4"/>
    </xf>
    <xf numFmtId="0" fontId="0" fillId="3" borderId="34" xfId="0" applyNumberFormat="1" applyFont="1" applyFill="1" applyBorder="1" applyAlignment="1">
      <alignment horizontal="center" vertical="center" wrapText="1"/>
    </xf>
    <xf numFmtId="0" fontId="0" fillId="3" borderId="12" xfId="0" applyNumberFormat="1" applyFont="1" applyFill="1" applyBorder="1" applyAlignment="1">
      <alignment horizontal="center" vertical="center" wrapText="1"/>
    </xf>
    <xf numFmtId="0" fontId="0" fillId="3" borderId="17" xfId="0" applyNumberFormat="1" applyFont="1" applyFill="1" applyBorder="1" applyAlignment="1">
      <alignment horizontal="center" vertical="center" wrapText="1"/>
    </xf>
    <xf numFmtId="0" fontId="10" fillId="0" borderId="8" xfId="0" applyNumberFormat="1" applyFont="1" applyBorder="1" applyAlignment="1">
      <alignment horizontal="left" vertical="center" wrapText="1"/>
    </xf>
    <xf numFmtId="185" fontId="4" fillId="13" borderId="3"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lignment horizontal="center" vertical="center" wrapText="1"/>
    </xf>
    <xf numFmtId="0" fontId="4" fillId="0" borderId="3" xfId="0" applyNumberFormat="1" applyFont="1" applyBorder="1" applyAlignment="1">
      <alignment horizontal="left" vertical="center" wrapText="1" indent="4"/>
    </xf>
    <xf numFmtId="49" fontId="4" fillId="10" borderId="17" xfId="0" applyNumberFormat="1" applyFont="1" applyFill="1" applyBorder="1" applyAlignment="1">
      <alignment horizontal="center" vertical="center" wrapText="1"/>
    </xf>
    <xf numFmtId="183" fontId="4" fillId="0" borderId="3" xfId="0" applyNumberFormat="1" applyFont="1" applyBorder="1" applyAlignment="1">
      <alignment horizontal="right" vertical="center" wrapText="1"/>
    </xf>
    <xf numFmtId="185" fontId="4" fillId="0" borderId="4" xfId="0" applyNumberFormat="1" applyFont="1" applyBorder="1" applyAlignment="1">
      <alignment horizontal="right" vertical="center" wrapText="1"/>
    </xf>
    <xf numFmtId="183" fontId="4" fillId="12" borderId="13" xfId="0" applyNumberFormat="1" applyFont="1" applyFill="1" applyBorder="1" applyAlignment="1">
      <alignment horizontal="right" vertical="center" wrapText="1"/>
    </xf>
    <xf numFmtId="185" fontId="10" fillId="12" borderId="13" xfId="0" applyNumberFormat="1" applyFont="1" applyFill="1" applyBorder="1" applyAlignment="1">
      <alignment horizontal="center" vertical="center" wrapText="1"/>
    </xf>
    <xf numFmtId="49" fontId="10" fillId="0" borderId="13" xfId="0" applyNumberFormat="1" applyFont="1" applyBorder="1" applyAlignment="1">
      <alignment horizontal="center" vertical="center" wrapText="1"/>
    </xf>
    <xf numFmtId="186" fontId="10" fillId="0" borderId="3" xfId="0" applyNumberFormat="1" applyFont="1" applyBorder="1" applyAlignment="1">
      <alignment horizontal="center" vertical="center" wrapText="1"/>
    </xf>
    <xf numFmtId="0" fontId="10" fillId="0" borderId="0" xfId="0" applyNumberFormat="1" applyFont="1" applyAlignment="1">
      <alignment horizontal="left" vertical="center"/>
    </xf>
    <xf numFmtId="0" fontId="4" fillId="11" borderId="6" xfId="0" applyNumberFormat="1" applyFont="1" applyFill="1" applyBorder="1" applyAlignment="1" applyProtection="1">
      <alignment horizontal="left" vertical="center" wrapText="1"/>
      <protection locked="0"/>
    </xf>
    <xf numFmtId="0" fontId="4" fillId="11" borderId="7" xfId="0" applyNumberFormat="1" applyFont="1" applyFill="1" applyBorder="1" applyAlignment="1" applyProtection="1">
      <alignment horizontal="left" vertical="center" wrapText="1"/>
      <protection locked="0"/>
    </xf>
    <xf numFmtId="49" fontId="4" fillId="11" borderId="3" xfId="0" applyNumberFormat="1" applyFont="1" applyFill="1" applyBorder="1" applyAlignment="1" applyProtection="1">
      <alignment horizontal="left" vertical="center" wrapText="1" indent="6"/>
      <protection locked="0"/>
    </xf>
    <xf numFmtId="0" fontId="70" fillId="0" borderId="0" xfId="0" applyNumberFormat="1" applyFont="1" applyAlignment="1">
      <alignment vertical="center" wrapText="1"/>
    </xf>
    <xf numFmtId="49" fontId="4" fillId="3" borderId="3" xfId="73" applyNumberFormat="1" applyFont="1" applyFill="1" applyBorder="1" applyAlignment="1">
      <alignment horizontal="center" vertical="center" wrapText="1"/>
    </xf>
    <xf numFmtId="0" fontId="4" fillId="11" borderId="13" xfId="0" applyNumberFormat="1" applyFont="1" applyFill="1" applyBorder="1" applyAlignment="1" applyProtection="1">
      <alignment horizontal="left" vertical="center" wrapText="1"/>
      <protection locked="0"/>
    </xf>
    <xf numFmtId="183" fontId="8" fillId="0" borderId="3" xfId="0" applyNumberFormat="1" applyFont="1" applyBorder="1" applyAlignment="1">
      <alignment horizontal="right" vertical="center" wrapText="1"/>
    </xf>
    <xf numFmtId="186" fontId="8" fillId="0" borderId="3" xfId="0" applyNumberFormat="1" applyFont="1" applyBorder="1" applyAlignment="1">
      <alignment horizontal="center" vertical="center" wrapText="1"/>
    </xf>
    <xf numFmtId="49" fontId="4" fillId="11" borderId="7" xfId="0" applyNumberFormat="1" applyFont="1" applyFill="1" applyBorder="1" applyAlignment="1" applyProtection="1">
      <alignment horizontal="left" vertical="center" wrapText="1"/>
      <protection locked="0"/>
    </xf>
    <xf numFmtId="49" fontId="4" fillId="11" borderId="13" xfId="0" applyNumberFormat="1" applyFont="1" applyFill="1" applyBorder="1" applyAlignment="1" applyProtection="1">
      <alignment horizontal="left" vertical="center" wrapText="1"/>
      <protection locked="0"/>
    </xf>
    <xf numFmtId="0" fontId="23" fillId="0" borderId="4" xfId="0" applyNumberFormat="1" applyFont="1" applyBorder="1" applyAlignment="1">
      <alignment vertical="top" wrapText="1"/>
    </xf>
    <xf numFmtId="186" fontId="0" fillId="13" borderId="4" xfId="0" applyNumberFormat="1" applyFont="1" applyFill="1" applyBorder="1" applyAlignment="1" applyProtection="1">
      <alignment horizontal="center" vertical="center" wrapText="1"/>
      <protection locked="0"/>
    </xf>
    <xf numFmtId="185" fontId="4" fillId="0" borderId="14" xfId="0" applyNumberFormat="1" applyFont="1" applyBorder="1" applyAlignment="1">
      <alignment horizontal="right" vertical="center" wrapText="1"/>
    </xf>
    <xf numFmtId="0" fontId="23" fillId="0" borderId="3" xfId="0" applyNumberFormat="1" applyFont="1" applyBorder="1" applyAlignment="1">
      <alignment horizontal="left" vertical="top" wrapText="1"/>
    </xf>
    <xf numFmtId="49" fontId="0" fillId="13" borderId="11" xfId="0" applyNumberFormat="1" applyFont="1" applyFill="1" applyBorder="1" applyAlignment="1" applyProtection="1">
      <alignment horizontal="center" vertical="center" wrapText="1"/>
      <protection locked="0"/>
    </xf>
    <xf numFmtId="49" fontId="0" fillId="12" borderId="17" xfId="0" applyNumberFormat="1" applyFont="1" applyFill="1" applyBorder="1" applyAlignment="1">
      <alignment horizontal="center" vertical="center" wrapText="1"/>
    </xf>
    <xf numFmtId="0" fontId="14" fillId="3" borderId="0" xfId="0" applyNumberFormat="1" applyFont="1" applyFill="1" applyAlignment="1">
      <alignment horizontal="center" vertical="center" wrapText="1"/>
    </xf>
    <xf numFmtId="0" fontId="4" fillId="0" borderId="3" xfId="0" applyNumberFormat="1" applyFont="1" applyBorder="1" applyAlignment="1">
      <alignment horizontal="center" vertical="center"/>
    </xf>
    <xf numFmtId="0" fontId="4" fillId="0" borderId="6" xfId="0" applyNumberFormat="1" applyFont="1" applyBorder="1" applyAlignment="1">
      <alignment horizontal="center" vertical="center"/>
    </xf>
    <xf numFmtId="0" fontId="7" fillId="0" borderId="0" xfId="0" applyNumberFormat="1" applyFont="1" applyAlignment="1">
      <alignment horizontal="left" vertical="center" indent="1"/>
    </xf>
    <xf numFmtId="0" fontId="4" fillId="0" borderId="0" xfId="0" applyNumberFormat="1" applyFont="1" applyAlignment="1">
      <alignment horizontal="left" vertical="center"/>
    </xf>
    <xf numFmtId="0" fontId="7"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7" fillId="0" borderId="0" xfId="0" applyNumberFormat="1" applyFont="1" applyAlignment="1">
      <alignment horizontal="left" vertical="center"/>
    </xf>
    <xf numFmtId="49" fontId="4" fillId="0" borderId="0" xfId="0" applyNumberFormat="1" applyFont="1" applyAlignment="1">
      <alignment horizontal="left" vertical="center"/>
    </xf>
    <xf numFmtId="49" fontId="4" fillId="13" borderId="4" xfId="0" applyNumberFormat="1" applyFont="1" applyFill="1" applyBorder="1" applyAlignment="1" applyProtection="1">
      <alignment horizontal="left" vertical="center" wrapText="1" indent="6"/>
      <protection locked="0"/>
    </xf>
    <xf numFmtId="0" fontId="0" fillId="3" borderId="13" xfId="0" applyNumberFormat="1" applyFont="1" applyFill="1" applyBorder="1" applyAlignment="1">
      <alignment horizontal="right" vertical="center" wrapText="1" indent="1"/>
    </xf>
    <xf numFmtId="0" fontId="4" fillId="2" borderId="3" xfId="0" applyNumberFormat="1" applyFont="1" applyFill="1" applyBorder="1" applyAlignment="1">
      <alignment horizontal="center" vertical="center" wrapText="1"/>
    </xf>
    <xf numFmtId="49" fontId="7" fillId="0" borderId="12" xfId="0" applyNumberFormat="1" applyFont="1" applyBorder="1">
      <alignment vertical="top"/>
    </xf>
    <xf numFmtId="183" fontId="10" fillId="0" borderId="3" xfId="0" applyNumberFormat="1" applyFont="1" applyBorder="1" applyAlignment="1">
      <alignment horizontal="right" vertical="center" wrapText="1"/>
    </xf>
    <xf numFmtId="0" fontId="4" fillId="13" borderId="13" xfId="0" applyNumberFormat="1" applyFont="1" applyFill="1" applyBorder="1" applyAlignment="1" applyProtection="1">
      <alignment horizontal="center" vertical="center" wrapText="1"/>
      <protection locked="0"/>
    </xf>
    <xf numFmtId="0" fontId="0" fillId="0" borderId="7" xfId="0" applyNumberFormat="1" applyFont="1" applyBorder="1" applyAlignment="1">
      <alignment horizontal="center" vertical="center" wrapText="1"/>
    </xf>
    <xf numFmtId="49" fontId="4" fillId="13" borderId="10" xfId="0" applyNumberFormat="1" applyFont="1" applyFill="1" applyBorder="1" applyAlignment="1" applyProtection="1">
      <alignment horizontal="left" vertical="center" wrapText="1" indent="6"/>
      <protection locked="0"/>
    </xf>
    <xf numFmtId="49" fontId="4" fillId="13" borderId="11" xfId="0" applyNumberFormat="1" applyFont="1" applyFill="1" applyBorder="1" applyAlignment="1" applyProtection="1">
      <alignment horizontal="left" vertical="center" wrapText="1" indent="6"/>
      <protection locked="0"/>
    </xf>
    <xf numFmtId="49" fontId="4" fillId="0" borderId="3" xfId="0" applyNumberFormat="1" applyFont="1" applyBorder="1" applyAlignment="1">
      <alignment horizontal="left" vertical="center" wrapText="1" indent="1"/>
    </xf>
    <xf numFmtId="0" fontId="10" fillId="0" borderId="12" xfId="0" applyNumberFormat="1" applyFont="1" applyBorder="1" applyAlignment="1">
      <alignment horizontal="left" vertical="center" wrapText="1" indent="1"/>
    </xf>
    <xf numFmtId="185" fontId="4" fillId="0" borderId="10" xfId="0" applyNumberFormat="1" applyFont="1" applyBorder="1" applyAlignment="1">
      <alignment horizontal="right" vertical="center" wrapText="1"/>
    </xf>
    <xf numFmtId="185" fontId="4" fillId="0" borderId="11" xfId="0" applyNumberFormat="1" applyFont="1" applyBorder="1" applyAlignment="1">
      <alignment horizontal="right" vertical="center" wrapText="1"/>
    </xf>
    <xf numFmtId="0" fontId="4" fillId="11" borderId="3" xfId="0" applyNumberFormat="1" applyFont="1" applyFill="1" applyBorder="1" applyAlignment="1" applyProtection="1">
      <alignment horizontal="left" vertical="center" wrapText="1" indent="7"/>
      <protection locked="0"/>
    </xf>
    <xf numFmtId="0" fontId="4" fillId="12" borderId="7" xfId="0" applyNumberFormat="1" applyFont="1" applyFill="1" applyBorder="1" applyAlignment="1">
      <alignment horizontal="left" vertical="center" wrapText="1" indent="6"/>
    </xf>
    <xf numFmtId="49" fontId="62" fillId="0" borderId="8" xfId="0" applyNumberFormat="1" applyFont="1" applyBorder="1" applyAlignment="1">
      <alignment horizontal="left" vertical="center"/>
    </xf>
    <xf numFmtId="49" fontId="10" fillId="0" borderId="8" xfId="0" applyNumberFormat="1" applyFont="1" applyBorder="1" applyAlignment="1">
      <alignment horizontal="left" vertical="center" indent="3"/>
    </xf>
    <xf numFmtId="49" fontId="10" fillId="0" borderId="8" xfId="0" applyNumberFormat="1" applyFont="1" applyBorder="1" applyAlignment="1">
      <alignment horizontal="center" vertical="center" wrapText="1"/>
    </xf>
    <xf numFmtId="49" fontId="10" fillId="0" borderId="0" xfId="0" applyNumberFormat="1" applyFont="1" applyAlignment="1">
      <alignment horizontal="left" vertical="center" indent="2"/>
    </xf>
    <xf numFmtId="0" fontId="4" fillId="10" borderId="8" xfId="0" applyNumberFormat="1" applyFont="1" applyFill="1" applyBorder="1" applyAlignment="1">
      <alignment horizontal="left" vertical="center" wrapText="1"/>
    </xf>
    <xf numFmtId="0" fontId="4" fillId="10" borderId="34" xfId="0" applyNumberFormat="1" applyFont="1" applyFill="1" applyBorder="1" applyAlignment="1">
      <alignment horizontal="left" vertical="center" wrapText="1"/>
    </xf>
    <xf numFmtId="183" fontId="4" fillId="11" borderId="6" xfId="0" applyNumberFormat="1" applyFont="1" applyFill="1" applyBorder="1" applyAlignment="1" applyProtection="1">
      <alignment horizontal="right" vertical="center" wrapText="1"/>
      <protection locked="0"/>
    </xf>
    <xf numFmtId="185" fontId="10" fillId="0" borderId="6" xfId="0" applyNumberFormat="1" applyFont="1" applyBorder="1" applyAlignment="1">
      <alignment horizontal="center" vertical="center" wrapText="1"/>
    </xf>
    <xf numFmtId="49" fontId="4" fillId="12" borderId="9"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34"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17" xfId="0" applyNumberFormat="1" applyFont="1" applyBorder="1" applyAlignment="1">
      <alignment horizontal="center" vertical="center" wrapText="1"/>
    </xf>
    <xf numFmtId="185" fontId="4" fillId="0" borderId="13" xfId="0" applyNumberFormat="1" applyFont="1" applyBorder="1" applyAlignment="1">
      <alignment horizontal="right" vertical="center" wrapText="1"/>
    </xf>
    <xf numFmtId="185" fontId="4" fillId="12" borderId="13" xfId="0" applyNumberFormat="1" applyFont="1" applyFill="1" applyBorder="1" applyAlignment="1">
      <alignment horizontal="right" vertical="center" wrapText="1"/>
    </xf>
    <xf numFmtId="0" fontId="8" fillId="0" borderId="4"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8" fillId="0" borderId="0" xfId="0" applyNumberFormat="1" applyFont="1" applyAlignment="1">
      <alignment vertical="top" wrapText="1"/>
    </xf>
    <xf numFmtId="0" fontId="4" fillId="3" borderId="4" xfId="0" applyNumberFormat="1" applyFont="1" applyFill="1" applyBorder="1" applyAlignment="1">
      <alignment horizontal="left" vertical="center" wrapText="1" indent="2"/>
    </xf>
    <xf numFmtId="0" fontId="4" fillId="0" borderId="4" xfId="0" applyNumberFormat="1" applyFont="1" applyBorder="1" applyAlignment="1">
      <alignment horizontal="left" vertical="center" wrapText="1" indent="6"/>
    </xf>
    <xf numFmtId="0" fontId="4" fillId="2" borderId="14" xfId="0" applyNumberFormat="1" applyFont="1" applyFill="1" applyBorder="1" applyAlignment="1">
      <alignment horizontal="left" vertical="center" wrapText="1"/>
    </xf>
    <xf numFmtId="0" fontId="4" fillId="2" borderId="8" xfId="0" applyNumberFormat="1" applyFont="1" applyFill="1" applyBorder="1" applyAlignment="1">
      <alignment horizontal="left" vertical="center" wrapText="1"/>
    </xf>
    <xf numFmtId="0" fontId="4" fillId="10" borderId="11" xfId="0" applyNumberFormat="1" applyFont="1" applyFill="1" applyBorder="1" applyAlignment="1">
      <alignment horizontal="left" vertical="center" wrapText="1" indent="6"/>
    </xf>
    <xf numFmtId="0" fontId="4" fillId="0" borderId="11" xfId="0" applyNumberFormat="1" applyFont="1" applyBorder="1" applyAlignment="1">
      <alignment horizontal="left" vertical="center" wrapText="1" indent="6"/>
    </xf>
    <xf numFmtId="185" fontId="4" fillId="11" borderId="11" xfId="0" applyNumberFormat="1" applyFont="1" applyFill="1" applyBorder="1" applyAlignment="1" applyProtection="1">
      <alignment horizontal="right" vertical="center" wrapText="1"/>
      <protection locked="0"/>
    </xf>
    <xf numFmtId="0" fontId="4" fillId="2" borderId="34" xfId="0" applyNumberFormat="1" applyFont="1" applyFill="1" applyBorder="1" applyAlignment="1">
      <alignment horizontal="left" vertical="center" wrapText="1"/>
    </xf>
    <xf numFmtId="183" fontId="4" fillId="11" borderId="11" xfId="0" applyNumberFormat="1" applyFont="1" applyFill="1" applyBorder="1" applyAlignment="1" applyProtection="1">
      <alignment horizontal="right" vertical="center" wrapText="1"/>
      <protection locked="0"/>
    </xf>
    <xf numFmtId="186" fontId="0" fillId="13" borderId="11" xfId="0" applyNumberFormat="1" applyFont="1" applyFill="1" applyBorder="1" applyAlignment="1" applyProtection="1">
      <alignment horizontal="center" vertical="center" wrapText="1"/>
      <protection locked="0"/>
    </xf>
    <xf numFmtId="0" fontId="23" fillId="0" borderId="13" xfId="0" applyNumberFormat="1" applyFont="1" applyBorder="1" applyAlignment="1">
      <alignment vertical="top" wrapText="1"/>
    </xf>
    <xf numFmtId="0" fontId="10" fillId="0" borderId="13" xfId="0" applyNumberFormat="1" applyFont="1" applyBorder="1" applyAlignment="1">
      <alignment vertical="top" wrapText="1"/>
    </xf>
    <xf numFmtId="0" fontId="71" fillId="0" borderId="0" xfId="0" applyNumberFormat="1" applyFont="1" applyAlignment="1">
      <alignment vertical="center" wrapText="1"/>
    </xf>
    <xf numFmtId="0" fontId="72" fillId="3" borderId="0" xfId="0" applyNumberFormat="1" applyFont="1" applyFill="1" applyAlignment="1">
      <alignment horizontal="center" vertical="center" wrapText="1"/>
    </xf>
    <xf numFmtId="0" fontId="26" fillId="3" borderId="0" xfId="0" applyNumberFormat="1" applyFont="1" applyFill="1" applyAlignment="1">
      <alignment vertical="center" wrapText="1"/>
    </xf>
    <xf numFmtId="185" fontId="26" fillId="0" borderId="0" xfId="0" applyNumberFormat="1" applyFont="1" applyAlignment="1">
      <alignment horizontal="right" vertical="center" wrapText="1"/>
    </xf>
    <xf numFmtId="0" fontId="27" fillId="3" borderId="0" xfId="0" applyNumberFormat="1" applyFont="1" applyFill="1" applyAlignment="1">
      <alignment horizontal="center" vertical="center" wrapText="1"/>
    </xf>
    <xf numFmtId="49" fontId="27" fillId="3" borderId="7" xfId="0" applyNumberFormat="1" applyFont="1" applyFill="1" applyBorder="1" applyAlignment="1">
      <alignment horizontal="center" vertical="center" wrapText="1"/>
    </xf>
    <xf numFmtId="0" fontId="11" fillId="3" borderId="12" xfId="0" applyNumberFormat="1" applyFont="1" applyFill="1" applyBorder="1" applyAlignment="1">
      <alignment vertical="top" wrapText="1"/>
    </xf>
    <xf numFmtId="186" fontId="4" fillId="12" borderId="7" xfId="0" applyNumberFormat="1" applyFont="1" applyFill="1" applyBorder="1" applyAlignment="1">
      <alignment horizontal="center" vertical="center" wrapText="1"/>
    </xf>
    <xf numFmtId="0" fontId="10" fillId="3" borderId="11" xfId="0" applyNumberFormat="1" applyFont="1" applyFill="1" applyBorder="1" applyAlignment="1">
      <alignment horizontal="center" vertical="center" wrapText="1"/>
    </xf>
    <xf numFmtId="49" fontId="3" fillId="12" borderId="7" xfId="0" applyNumberFormat="1" applyFont="1" applyFill="1" applyBorder="1" applyAlignment="1">
      <alignment horizontal="center" vertical="center"/>
    </xf>
    <xf numFmtId="49" fontId="16" fillId="12" borderId="7" xfId="0" applyNumberFormat="1" applyFont="1" applyFill="1" applyBorder="1" applyAlignment="1">
      <alignment horizontal="left" vertical="center" indent="1"/>
    </xf>
    <xf numFmtId="0" fontId="72" fillId="0" borderId="0" xfId="0" applyNumberFormat="1" applyFont="1" applyAlignment="1">
      <alignment horizontal="center" vertical="center" wrapText="1"/>
    </xf>
    <xf numFmtId="0" fontId="23" fillId="0" borderId="0" xfId="0" applyNumberFormat="1" applyFont="1" applyAlignment="1">
      <alignment vertical="top" wrapText="1"/>
    </xf>
    <xf numFmtId="0" fontId="26" fillId="3" borderId="0" xfId="0" applyNumberFormat="1" applyFont="1" applyFill="1" applyAlignment="1">
      <alignment horizontal="right" vertical="center"/>
    </xf>
    <xf numFmtId="0" fontId="26" fillId="3" borderId="0" xfId="0" applyNumberFormat="1" applyFont="1" applyFill="1" applyAlignment="1">
      <alignment horizontal="right" vertical="center" wrapText="1"/>
    </xf>
    <xf numFmtId="0" fontId="4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6" fillId="0" borderId="0" xfId="0" applyNumberFormat="1" applyFont="1" applyAlignment="1">
      <alignment horizontal="left" vertical="center" wrapText="1" indent="1"/>
    </xf>
    <xf numFmtId="0" fontId="0" fillId="0" borderId="4" xfId="0" applyNumberFormat="1" applyFont="1" applyBorder="1" applyAlignment="1">
      <alignment horizontal="left" vertical="top" wrapText="1"/>
    </xf>
    <xf numFmtId="186" fontId="28" fillId="12" borderId="7" xfId="0" applyNumberFormat="1" applyFont="1" applyFill="1" applyBorder="1" applyAlignment="1">
      <alignment horizontal="center" vertical="center" wrapText="1"/>
    </xf>
    <xf numFmtId="49" fontId="45" fillId="12" borderId="13" xfId="0" applyNumberFormat="1" applyFont="1" applyFill="1" applyBorder="1" applyAlignment="1">
      <alignment horizontal="left" vertical="center" wrapText="1"/>
    </xf>
    <xf numFmtId="0" fontId="0" fillId="0" borderId="10" xfId="0" applyNumberFormat="1" applyFont="1" applyBorder="1" applyAlignment="1">
      <alignment horizontal="left" vertical="top" wrapText="1"/>
    </xf>
    <xf numFmtId="49" fontId="16" fillId="12" borderId="13" xfId="0" applyNumberFormat="1" applyFont="1" applyFill="1" applyBorder="1" applyAlignment="1">
      <alignment horizontal="left" vertical="center" indent="1"/>
    </xf>
    <xf numFmtId="0" fontId="0" fillId="0" borderId="11" xfId="0" applyNumberFormat="1" applyFont="1" applyBorder="1" applyAlignment="1">
      <alignment horizontal="left" vertical="top" wrapText="1"/>
    </xf>
    <xf numFmtId="0" fontId="73" fillId="0" borderId="0" xfId="0" applyNumberFormat="1" applyFont="1" applyAlignment="1">
      <alignment vertical="center" wrapText="1"/>
    </xf>
    <xf numFmtId="49" fontId="0" fillId="0" borderId="14" xfId="0" applyNumberFormat="1" applyFont="1" applyBorder="1" applyAlignment="1">
      <alignment horizontal="center" vertical="center" wrapText="1"/>
    </xf>
    <xf numFmtId="0" fontId="11" fillId="3" borderId="3" xfId="0" applyNumberFormat="1" applyFont="1" applyFill="1" applyBorder="1" applyAlignment="1">
      <alignment horizontal="center" vertical="center" wrapText="1"/>
    </xf>
    <xf numFmtId="49" fontId="0" fillId="0" borderId="15" xfId="0" applyNumberFormat="1" applyFont="1" applyBorder="1" applyAlignment="1">
      <alignment horizontal="center" vertical="center" wrapText="1"/>
    </xf>
    <xf numFmtId="0" fontId="4" fillId="10" borderId="9" xfId="0" applyNumberFormat="1" applyFont="1" applyFill="1" applyBorder="1" applyAlignment="1">
      <alignment horizontal="left" vertical="center" wrapText="1"/>
    </xf>
    <xf numFmtId="0" fontId="17" fillId="12" borderId="7" xfId="0" applyNumberFormat="1" applyFont="1" applyFill="1" applyBorder="1" applyAlignment="1">
      <alignment vertical="center"/>
    </xf>
    <xf numFmtId="0" fontId="73" fillId="3" borderId="0" xfId="0" applyNumberFormat="1" applyFont="1" applyFill="1" applyAlignment="1">
      <alignment horizontal="center" vertical="center" wrapText="1"/>
    </xf>
    <xf numFmtId="0" fontId="73" fillId="3" borderId="0" xfId="0" applyNumberFormat="1" applyFont="1" applyFill="1" applyAlignment="1">
      <alignment horizontal="right" vertical="center" wrapText="1"/>
    </xf>
    <xf numFmtId="49" fontId="7" fillId="0" borderId="4" xfId="0" applyNumberFormat="1" applyFont="1" applyBorder="1" applyAlignment="1">
      <alignment horizontal="left" vertical="center" wrapText="1"/>
    </xf>
    <xf numFmtId="49" fontId="16" fillId="12" borderId="7" xfId="0" applyNumberFormat="1" applyFont="1" applyFill="1" applyBorder="1" applyAlignment="1">
      <alignment vertical="center"/>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1"/>
    </xf>
    <xf numFmtId="0" fontId="4" fillId="0" borderId="0" xfId="0" applyNumberFormat="1" applyFont="1" applyAlignment="1">
      <alignment horizontal="right" vertical="center"/>
    </xf>
    <xf numFmtId="49" fontId="16" fillId="12" borderId="13" xfId="0" applyNumberFormat="1" applyFont="1" applyFill="1" applyBorder="1" applyAlignment="1">
      <alignment vertical="center"/>
    </xf>
    <xf numFmtId="0" fontId="74" fillId="3" borderId="0" xfId="0" applyNumberFormat="1" applyFont="1" applyFill="1" applyAlignment="1"/>
    <xf numFmtId="0" fontId="50" fillId="3" borderId="0" xfId="0" applyNumberFormat="1" applyFont="1" applyFill="1" applyAlignment="1">
      <alignment horizontal="center"/>
    </xf>
    <xf numFmtId="49" fontId="10" fillId="0" borderId="3" xfId="0" applyNumberFormat="1" applyFont="1" applyBorder="1" applyAlignment="1">
      <alignment horizontal="center" vertical="center"/>
    </xf>
    <xf numFmtId="0" fontId="10" fillId="0" borderId="3" xfId="0" applyNumberFormat="1" applyFont="1" applyBorder="1" applyAlignment="1">
      <alignment horizontal="left" vertical="center" wrapText="1" indent="1"/>
    </xf>
    <xf numFmtId="49" fontId="4" fillId="3" borderId="0" xfId="0" applyNumberFormat="1" applyFont="1" applyFill="1" applyAlignment="1">
      <alignment vertical="center" wrapText="1"/>
    </xf>
    <xf numFmtId="0" fontId="16" fillId="12" borderId="7" xfId="0" applyNumberFormat="1" applyFont="1" applyFill="1" applyBorder="1" applyAlignment="1">
      <alignment horizontal="left" vertical="center"/>
    </xf>
    <xf numFmtId="49" fontId="10" fillId="3" borderId="3" xfId="0" applyNumberFormat="1" applyFont="1" applyFill="1" applyBorder="1" applyAlignment="1">
      <alignment horizontal="center" vertical="center"/>
    </xf>
    <xf numFmtId="0" fontId="10" fillId="3" borderId="3" xfId="0" applyNumberFormat="1" applyFont="1" applyFill="1" applyBorder="1" applyAlignment="1">
      <alignment vertical="center" wrapText="1"/>
    </xf>
    <xf numFmtId="0" fontId="10" fillId="3" borderId="3" xfId="0" applyNumberFormat="1" applyFont="1" applyFill="1" applyBorder="1" applyAlignment="1">
      <alignment horizontal="left" vertical="center" wrapText="1" indent="1"/>
    </xf>
    <xf numFmtId="49" fontId="10" fillId="0" borderId="3" xfId="0" applyNumberFormat="1" applyFont="1" applyBorder="1" applyAlignment="1">
      <alignment horizontal="left" vertical="center" wrapText="1"/>
    </xf>
    <xf numFmtId="0" fontId="0" fillId="3" borderId="3" xfId="0" applyNumberFormat="1" applyFont="1" applyFill="1" applyBorder="1" applyAlignment="1">
      <alignment horizontal="left" vertical="center" wrapText="1"/>
    </xf>
    <xf numFmtId="0" fontId="0" fillId="3" borderId="4" xfId="0" applyNumberFormat="1" applyFont="1" applyFill="1" applyBorder="1" applyAlignment="1">
      <alignment horizontal="left" vertical="center" wrapText="1"/>
    </xf>
    <xf numFmtId="0" fontId="4" fillId="3" borderId="4" xfId="0" applyNumberFormat="1" applyFont="1" applyFill="1" applyBorder="1" applyAlignment="1">
      <alignment horizontal="left" vertical="top" wrapText="1"/>
    </xf>
    <xf numFmtId="0" fontId="4" fillId="3" borderId="10" xfId="0" applyNumberFormat="1" applyFont="1" applyFill="1" applyBorder="1" applyAlignment="1">
      <alignment horizontal="left" vertical="top" wrapText="1"/>
    </xf>
    <xf numFmtId="0" fontId="4" fillId="3" borderId="11" xfId="0" applyNumberFormat="1" applyFont="1" applyFill="1" applyBorder="1" applyAlignment="1">
      <alignment horizontal="left" vertical="top" wrapText="1"/>
    </xf>
    <xf numFmtId="0" fontId="35" fillId="3" borderId="0" xfId="0" applyNumberFormat="1" applyFont="1" applyFill="1" applyAlignment="1"/>
    <xf numFmtId="0" fontId="0" fillId="3" borderId="6" xfId="0" applyNumberFormat="1" applyFont="1" applyFill="1" applyBorder="1" applyAlignment="1">
      <alignment horizontal="left" vertical="center" wrapText="1" indent="1"/>
    </xf>
    <xf numFmtId="0" fontId="0" fillId="3" borderId="3" xfId="0" applyNumberFormat="1" applyFont="1" applyFill="1" applyBorder="1" applyAlignment="1">
      <alignment vertical="top" wrapText="1"/>
    </xf>
    <xf numFmtId="0" fontId="0" fillId="3" borderId="6" xfId="0" applyNumberFormat="1" applyFont="1" applyFill="1" applyBorder="1" applyAlignment="1">
      <alignment horizontal="left" vertical="center" wrapText="1"/>
    </xf>
    <xf numFmtId="0" fontId="0" fillId="3" borderId="11" xfId="0" applyNumberFormat="1" applyFont="1" applyFill="1" applyBorder="1" applyAlignment="1">
      <alignment vertical="center" wrapText="1"/>
    </xf>
    <xf numFmtId="0" fontId="23" fillId="0" borderId="0" xfId="0" applyNumberFormat="1" applyFont="1" applyAlignment="1">
      <alignment horizontal="left" vertical="top" wrapText="1" indent="1"/>
    </xf>
    <xf numFmtId="0" fontId="32" fillId="3" borderId="0" xfId="0" applyNumberFormat="1" applyFont="1" applyFill="1" applyAlignment="1">
      <alignment horizontal="center"/>
    </xf>
    <xf numFmtId="0" fontId="32" fillId="3" borderId="0" xfId="0" applyNumberFormat="1" applyFont="1" applyFill="1" applyAlignment="1"/>
    <xf numFmtId="0" fontId="75" fillId="3" borderId="0" xfId="0" applyNumberFormat="1" applyFont="1" applyFill="1" applyAlignment="1">
      <alignment horizontal="right" vertical="center"/>
    </xf>
    <xf numFmtId="0" fontId="76" fillId="3" borderId="0" xfId="0" applyNumberFormat="1" applyFont="1" applyFill="1" applyAlignment="1">
      <alignment vertical="center"/>
    </xf>
    <xf numFmtId="0" fontId="75" fillId="3" borderId="0" xfId="0" applyNumberFormat="1" applyFont="1" applyFill="1" applyAlignment="1">
      <alignment horizontal="right" vertical="top"/>
    </xf>
    <xf numFmtId="0" fontId="76" fillId="3" borderId="0" xfId="0" applyNumberFormat="1" applyFont="1" applyFill="1" applyAlignment="1">
      <alignment vertical="center" wrapText="1"/>
    </xf>
    <xf numFmtId="49" fontId="10" fillId="0" borderId="0" xfId="0" applyNumberFormat="1" applyFont="1" applyAlignment="1">
      <alignment horizontal="center" vertical="center"/>
    </xf>
    <xf numFmtId="0" fontId="4" fillId="0" borderId="14" xfId="0" applyNumberFormat="1" applyFont="1" applyBorder="1" applyAlignment="1">
      <alignment horizontal="left" vertical="center" wrapText="1"/>
    </xf>
    <xf numFmtId="0" fontId="15" fillId="0" borderId="0" xfId="0" applyNumberFormat="1" applyFont="1" applyAlignment="1">
      <alignment vertical="center"/>
    </xf>
    <xf numFmtId="49" fontId="8" fillId="0" borderId="0" xfId="0" applyNumberFormat="1" applyFont="1" applyAlignment="1">
      <alignment horizontal="center" vertical="center"/>
    </xf>
    <xf numFmtId="0" fontId="77" fillId="0" borderId="0" xfId="0" applyNumberFormat="1" applyFont="1" applyAlignment="1">
      <alignment vertical="center" wrapText="1"/>
    </xf>
    <xf numFmtId="0" fontId="78" fillId="0" borderId="0" xfId="0" applyNumberFormat="1" applyFont="1" applyAlignment="1">
      <alignment vertical="center" wrapText="1"/>
    </xf>
    <xf numFmtId="0" fontId="79" fillId="0" borderId="0" xfId="0" applyNumberFormat="1" applyFont="1" applyAlignment="1">
      <alignment vertical="center"/>
    </xf>
    <xf numFmtId="0" fontId="21" fillId="0" borderId="0" xfId="0" applyNumberFormat="1" applyFont="1" applyAlignment="1">
      <alignment vertical="center"/>
    </xf>
    <xf numFmtId="0" fontId="80" fillId="0" borderId="0" xfId="0" applyNumberFormat="1" applyFont="1" applyAlignment="1">
      <alignment vertical="center"/>
    </xf>
    <xf numFmtId="0" fontId="4" fillId="0" borderId="9" xfId="0" applyNumberFormat="1" applyFont="1" applyBorder="1" applyAlignment="1">
      <alignment horizontal="left" vertical="center" indent="1"/>
    </xf>
    <xf numFmtId="0" fontId="7" fillId="0" borderId="12" xfId="0" applyNumberFormat="1" applyFont="1" applyBorder="1" applyAlignment="1">
      <alignment horizontal="left" vertical="center" wrapText="1" indent="1"/>
    </xf>
    <xf numFmtId="0" fontId="7" fillId="0" borderId="10" xfId="0" applyNumberFormat="1" applyFont="1" applyBorder="1" applyAlignment="1">
      <alignment horizontal="left" vertical="center" wrapText="1" indent="1"/>
    </xf>
    <xf numFmtId="0" fontId="81" fillId="0" borderId="0" xfId="0" applyNumberFormat="1" applyFont="1" applyAlignment="1">
      <alignment vertical="center"/>
    </xf>
    <xf numFmtId="49" fontId="10" fillId="3" borderId="0" xfId="0" applyNumberFormat="1" applyFont="1" applyFill="1" applyAlignment="1">
      <alignment horizontal="center" vertical="center" wrapText="1"/>
    </xf>
    <xf numFmtId="49" fontId="10" fillId="3" borderId="9" xfId="0" applyNumberFormat="1" applyFont="1" applyFill="1" applyBorder="1" applyAlignment="1">
      <alignment horizontal="center" vertical="center" wrapText="1"/>
    </xf>
    <xf numFmtId="0" fontId="0" fillId="0" borderId="3" xfId="0" applyNumberFormat="1" applyFont="1" applyBorder="1" applyAlignment="1">
      <alignment horizontal="center" vertical="top"/>
    </xf>
    <xf numFmtId="0" fontId="4" fillId="13" borderId="3" xfId="0" applyNumberFormat="1" applyFont="1" applyFill="1" applyBorder="1" applyAlignment="1" applyProtection="1">
      <alignment horizontal="left" vertical="top" wrapText="1"/>
      <protection locked="0"/>
    </xf>
    <xf numFmtId="0" fontId="0" fillId="13" borderId="3" xfId="0" applyNumberFormat="1" applyFont="1" applyFill="1" applyBorder="1" applyAlignment="1" applyProtection="1">
      <alignment horizontal="left" vertical="top"/>
      <protection locked="0"/>
    </xf>
    <xf numFmtId="0" fontId="0" fillId="0" borderId="4" xfId="0" applyNumberFormat="1" applyFont="1" applyBorder="1" applyAlignment="1">
      <alignment horizontal="center" vertical="top"/>
    </xf>
    <xf numFmtId="0" fontId="0" fillId="0" borderId="10" xfId="0" applyNumberFormat="1" applyFont="1" applyBorder="1" applyAlignment="1">
      <alignment horizontal="center" vertical="top"/>
    </xf>
    <xf numFmtId="0" fontId="0" fillId="0" borderId="11" xfId="0" applyNumberFormat="1" applyFont="1" applyBorder="1" applyAlignment="1">
      <alignment horizontal="center" vertical="top"/>
    </xf>
    <xf numFmtId="0" fontId="82" fillId="0" borderId="0" xfId="0" applyNumberFormat="1" applyFont="1" applyAlignment="1">
      <alignment vertical="center"/>
    </xf>
    <xf numFmtId="0" fontId="7" fillId="0" borderId="16" xfId="0" applyNumberFormat="1" applyFont="1" applyBorder="1" applyAlignment="1">
      <alignment horizontal="left" vertical="center" wrapText="1" indent="1"/>
    </xf>
    <xf numFmtId="49" fontId="0" fillId="0" borderId="3" xfId="0" applyNumberFormat="1" applyFont="1" applyBorder="1" applyAlignment="1">
      <alignment horizontal="left" vertical="center"/>
    </xf>
    <xf numFmtId="0" fontId="83" fillId="0" borderId="0" xfId="0" applyNumberFormat="1" applyFont="1" applyAlignment="1">
      <alignment vertical="center"/>
    </xf>
    <xf numFmtId="49" fontId="4" fillId="0" borderId="0" xfId="0" applyNumberFormat="1" applyFont="1" applyAlignment="1">
      <alignment horizontal="left" vertical="center" indent="1"/>
    </xf>
    <xf numFmtId="0" fontId="0" fillId="0" borderId="0" xfId="0" applyNumberFormat="1" applyFont="1" applyAlignment="1">
      <alignment horizontal="left" vertical="top" wrapText="1" indent="1"/>
    </xf>
    <xf numFmtId="0" fontId="0" fillId="0" borderId="0" xfId="0" applyNumberFormat="1" applyFont="1" applyAlignment="1">
      <alignment vertical="top" wrapText="1"/>
    </xf>
    <xf numFmtId="0" fontId="4" fillId="0" borderId="17" xfId="0" applyNumberFormat="1" applyFont="1" applyBorder="1" applyAlignment="1">
      <alignment horizontal="left" vertical="center" indent="1"/>
    </xf>
    <xf numFmtId="0" fontId="4" fillId="0" borderId="11" xfId="0" applyNumberFormat="1" applyFont="1" applyBorder="1" applyAlignment="1">
      <alignment horizontal="left" vertical="center" inden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 fillId="28" borderId="0" xfId="0" applyNumberFormat="1" applyFont="1" applyFill="1" applyAlignment="1">
      <alignment horizontal="center" vertical="center" wrapText="1"/>
    </xf>
    <xf numFmtId="0" fontId="32" fillId="0" borderId="14" xfId="0" applyNumberFormat="1" applyFont="1" applyBorder="1" applyAlignment="1">
      <alignment horizontal="center" vertical="center" wrapText="1"/>
    </xf>
    <xf numFmtId="0" fontId="32" fillId="0" borderId="8" xfId="0" applyNumberFormat="1" applyFont="1" applyBorder="1" applyAlignment="1">
      <alignment horizontal="center" vertical="center" wrapText="1"/>
    </xf>
    <xf numFmtId="0" fontId="84" fillId="0" borderId="0" xfId="0" applyNumberFormat="1" applyFont="1" applyAlignment="1">
      <alignment horizontal="center" vertical="center" wrapText="1"/>
    </xf>
    <xf numFmtId="0" fontId="4" fillId="0" borderId="55" xfId="0" applyNumberFormat="1" applyFont="1" applyBorder="1" applyAlignment="1">
      <alignment horizontal="center" vertical="center" wrapText="1"/>
    </xf>
    <xf numFmtId="0" fontId="4" fillId="0" borderId="56"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49" fontId="27" fillId="0" borderId="57" xfId="0" applyNumberFormat="1" applyFont="1" applyBorder="1" applyAlignment="1">
      <alignment horizontal="center" vertical="center" wrapText="1"/>
    </xf>
    <xf numFmtId="49" fontId="27" fillId="0" borderId="58" xfId="0" applyNumberFormat="1" applyFont="1" applyBorder="1" applyAlignment="1">
      <alignment horizontal="center" vertical="center" wrapText="1"/>
    </xf>
    <xf numFmtId="0" fontId="4" fillId="12" borderId="6" xfId="0" applyNumberFormat="1" applyFont="1" applyFill="1" applyBorder="1" applyAlignment="1">
      <alignment horizontal="center" vertical="center" wrapText="1"/>
    </xf>
    <xf numFmtId="49" fontId="4" fillId="12" borderId="59" xfId="0" applyNumberFormat="1" applyFont="1" applyFill="1" applyBorder="1" applyAlignment="1">
      <alignment horizontal="center" vertical="center" wrapText="1"/>
    </xf>
    <xf numFmtId="186" fontId="28" fillId="0" borderId="60" xfId="0" applyNumberFormat="1" applyFont="1" applyBorder="1" applyAlignment="1">
      <alignment horizontal="center" vertical="center" wrapText="1"/>
    </xf>
    <xf numFmtId="0" fontId="4" fillId="0" borderId="60" xfId="0" applyNumberFormat="1" applyFont="1" applyBorder="1" applyAlignment="1">
      <alignment horizontal="center" vertical="center" wrapText="1"/>
    </xf>
    <xf numFmtId="49" fontId="3" fillId="12" borderId="28" xfId="0" applyNumberFormat="1" applyFont="1" applyFill="1" applyBorder="1" applyAlignment="1">
      <alignment horizontal="right" vertical="center" wrapText="1"/>
    </xf>
    <xf numFmtId="49" fontId="3" fillId="12" borderId="27" xfId="0" applyNumberFormat="1" applyFont="1" applyFill="1" applyBorder="1" applyAlignment="1">
      <alignment horizontal="right" vertical="center" wrapText="1"/>
    </xf>
    <xf numFmtId="0" fontId="32" fillId="28" borderId="0" xfId="0" applyNumberFormat="1" applyFont="1" applyFill="1">
      <alignment vertical="top"/>
    </xf>
    <xf numFmtId="0" fontId="4" fillId="0" borderId="15" xfId="0" applyNumberFormat="1" applyFont="1" applyBorder="1" applyAlignment="1">
      <alignment horizontal="left" vertical="center" indent="1"/>
    </xf>
    <xf numFmtId="0" fontId="32" fillId="0" borderId="3" xfId="0" applyNumberFormat="1" applyFont="1" applyBorder="1" applyAlignment="1">
      <alignment horizontal="center" vertical="center" wrapText="1"/>
    </xf>
    <xf numFmtId="49" fontId="27" fillId="0" borderId="6" xfId="0" applyNumberFormat="1" applyFont="1" applyBorder="1" applyAlignment="1">
      <alignment horizontal="center" vertical="center" wrapText="1"/>
    </xf>
    <xf numFmtId="49" fontId="27" fillId="0" borderId="13" xfId="0" applyNumberFormat="1" applyFont="1" applyBorder="1" applyAlignment="1">
      <alignment horizontal="center" vertical="center" wrapText="1"/>
    </xf>
    <xf numFmtId="49" fontId="0" fillId="12" borderId="7" xfId="0" applyNumberFormat="1" applyFont="1" applyFill="1" applyBorder="1" applyAlignment="1">
      <alignment horizontal="left" vertical="center"/>
    </xf>
    <xf numFmtId="0" fontId="0" fillId="12" borderId="13" xfId="0" applyNumberFormat="1" applyFont="1" applyFill="1" applyBorder="1" applyAlignment="1">
      <alignment vertical="center"/>
    </xf>
    <xf numFmtId="0" fontId="4" fillId="10" borderId="4" xfId="0" applyNumberFormat="1" applyFont="1" applyFill="1" applyBorder="1" applyAlignment="1">
      <alignment horizontal="left" vertical="center" wrapText="1" indent="1"/>
    </xf>
    <xf numFmtId="0" fontId="4" fillId="10" borderId="11" xfId="0" applyNumberFormat="1" applyFont="1" applyFill="1" applyBorder="1" applyAlignment="1">
      <alignment horizontal="left" vertical="center" wrapText="1" indent="1"/>
    </xf>
    <xf numFmtId="0" fontId="68" fillId="0" borderId="0" xfId="0" applyNumberFormat="1" applyFont="1" applyAlignment="1">
      <alignment horizontal="left" vertical="center" wrapText="1" indent="1"/>
    </xf>
    <xf numFmtId="185" fontId="4" fillId="0" borderId="0" xfId="0" applyNumberFormat="1" applyFont="1" applyAlignment="1">
      <alignment horizontal="center" vertical="center" wrapText="1"/>
    </xf>
    <xf numFmtId="49" fontId="27" fillId="0" borderId="7" xfId="0" applyNumberFormat="1" applyFont="1" applyBorder="1" applyAlignment="1">
      <alignment horizontal="center" vertical="center" wrapText="1"/>
    </xf>
    <xf numFmtId="49" fontId="4" fillId="12" borderId="8" xfId="0" applyNumberFormat="1" applyFont="1" applyFill="1" applyBorder="1" applyAlignment="1">
      <alignment horizontal="center" vertical="center" wrapText="1"/>
    </xf>
    <xf numFmtId="49" fontId="8" fillId="12" borderId="8" xfId="0" applyNumberFormat="1" applyFont="1" applyFill="1" applyBorder="1" applyAlignment="1">
      <alignment horizontal="left" vertical="center" wrapText="1"/>
    </xf>
    <xf numFmtId="49" fontId="4" fillId="12" borderId="6" xfId="0" applyNumberFormat="1" applyFont="1" applyFill="1" applyBorder="1" applyAlignment="1">
      <alignment horizontal="right" vertical="center" wrapText="1"/>
    </xf>
    <xf numFmtId="49" fontId="4" fillId="12" borderId="7" xfId="0" applyNumberFormat="1" applyFont="1" applyFill="1" applyBorder="1" applyAlignment="1">
      <alignment horizontal="right" vertical="center" wrapText="1"/>
    </xf>
    <xf numFmtId="0" fontId="85" fillId="0" borderId="0" xfId="0" applyNumberFormat="1" applyFont="1" applyAlignment="1">
      <alignment horizontal="left" vertical="center" indent="1"/>
    </xf>
    <xf numFmtId="49" fontId="8" fillId="12" borderId="34" xfId="0" applyNumberFormat="1" applyFont="1" applyFill="1" applyBorder="1" applyAlignment="1">
      <alignment horizontal="left" vertical="center" wrapText="1"/>
    </xf>
    <xf numFmtId="0" fontId="10" fillId="0" borderId="16" xfId="0" applyNumberFormat="1" applyFont="1" applyBorder="1" applyAlignment="1">
      <alignment vertical="center"/>
    </xf>
    <xf numFmtId="49" fontId="4" fillId="12" borderId="13" xfId="0" applyNumberFormat="1" applyFont="1" applyFill="1" applyBorder="1" applyAlignment="1">
      <alignment horizontal="right" vertical="center" wrapText="1"/>
    </xf>
    <xf numFmtId="0" fontId="25" fillId="0" borderId="0" xfId="0" applyNumberFormat="1" applyFont="1" applyAlignment="1">
      <alignment horizontal="left" vertical="center" wrapText="1"/>
    </xf>
    <xf numFmtId="0" fontId="86" fillId="0" borderId="0" xfId="0" applyNumberFormat="1" applyFont="1" applyAlignment="1">
      <alignment vertical="center" wrapText="1"/>
    </xf>
    <xf numFmtId="0" fontId="20" fillId="0" borderId="0" xfId="0" applyNumberFormat="1" applyFont="1" applyAlignment="1">
      <alignment horizontal="center" vertical="center" wrapText="1"/>
    </xf>
    <xf numFmtId="0" fontId="63" fillId="0" borderId="0" xfId="0" applyNumberFormat="1" applyFont="1" applyAlignment="1">
      <alignment horizontal="left" vertical="center" wrapText="1"/>
    </xf>
    <xf numFmtId="0" fontId="4" fillId="0" borderId="0" xfId="0" applyNumberFormat="1" applyFont="1" applyAlignment="1">
      <alignment horizontal="left" vertical="top" indent="1"/>
    </xf>
    <xf numFmtId="49" fontId="87" fillId="0" borderId="0" xfId="0" applyNumberFormat="1" applyFont="1">
      <alignment vertical="top"/>
    </xf>
    <xf numFmtId="0" fontId="71" fillId="0" borderId="0" xfId="0" applyNumberFormat="1" applyFont="1" applyAlignment="1">
      <alignment horizontal="left" vertical="center" wrapText="1"/>
    </xf>
    <xf numFmtId="0" fontId="88" fillId="0" borderId="0" xfId="0" applyNumberFormat="1" applyFont="1" applyAlignment="1">
      <alignment vertical="center" wrapText="1"/>
    </xf>
    <xf numFmtId="0" fontId="26" fillId="0" borderId="0" xfId="0" applyNumberFormat="1" applyFont="1" applyAlignment="1">
      <alignment horizontal="right" vertical="center"/>
    </xf>
    <xf numFmtId="0" fontId="89" fillId="3" borderId="0" xfId="0" applyNumberFormat="1" applyFont="1" applyFill="1" applyAlignment="1">
      <alignment vertical="center" wrapText="1"/>
    </xf>
    <xf numFmtId="0" fontId="3" fillId="3" borderId="0" xfId="0" applyNumberFormat="1" applyFont="1" applyFill="1" applyAlignment="1">
      <alignment vertical="center" wrapText="1"/>
    </xf>
    <xf numFmtId="0" fontId="26" fillId="3" borderId="0" xfId="0" applyNumberFormat="1" applyFont="1" applyFill="1" applyAlignment="1">
      <alignment horizontal="right" vertical="center" wrapText="1" indent="1"/>
    </xf>
    <xf numFmtId="0" fontId="90" fillId="3" borderId="0" xfId="0" applyNumberFormat="1" applyFont="1" applyFill="1" applyAlignment="1">
      <alignment horizontal="center" vertical="center" wrapText="1"/>
    </xf>
    <xf numFmtId="0" fontId="4" fillId="3" borderId="61" xfId="0" applyNumberFormat="1" applyFont="1" applyFill="1" applyBorder="1" applyAlignment="1">
      <alignment horizontal="right" vertical="center" wrapText="1" indent="1"/>
    </xf>
    <xf numFmtId="186" fontId="25" fillId="3" borderId="0" xfId="0" applyNumberFormat="1" applyFont="1" applyFill="1" applyAlignment="1">
      <alignment horizontal="left" vertical="center" wrapText="1"/>
    </xf>
    <xf numFmtId="0" fontId="71" fillId="3" borderId="0" xfId="0" applyNumberFormat="1" applyFont="1" applyFill="1" applyAlignment="1">
      <alignment horizontal="center" vertical="center" wrapText="1"/>
    </xf>
    <xf numFmtId="0" fontId="26" fillId="3" borderId="0" xfId="0" applyNumberFormat="1" applyFont="1" applyFill="1" applyAlignment="1">
      <alignment horizontal="left" vertical="center" wrapText="1" indent="1"/>
    </xf>
    <xf numFmtId="0" fontId="4" fillId="13" borderId="3" xfId="0" applyNumberFormat="1" applyFont="1" applyFill="1" applyBorder="1" applyAlignment="1" applyProtection="1">
      <alignment horizontal="left" vertical="top" wrapText="1" indent="1"/>
      <protection locked="0"/>
    </xf>
    <xf numFmtId="186" fontId="53" fillId="0" borderId="3" xfId="0" applyNumberFormat="1" applyFont="1" applyBorder="1" applyAlignment="1">
      <alignment horizontal="center" vertical="center" wrapText="1"/>
    </xf>
    <xf numFmtId="0" fontId="45" fillId="0" borderId="0" xfId="0" applyNumberFormat="1" applyFont="1" applyAlignment="1">
      <alignment horizontal="left" vertical="center" indent="1"/>
    </xf>
    <xf numFmtId="186" fontId="53" fillId="0" borderId="3" xfId="0" applyNumberFormat="1" applyFont="1" applyBorder="1" applyAlignment="1">
      <alignment horizontal="left" vertical="center" wrapText="1"/>
    </xf>
    <xf numFmtId="49" fontId="4" fillId="3" borderId="61" xfId="0" applyNumberFormat="1" applyFont="1" applyFill="1" applyBorder="1" applyAlignment="1">
      <alignment horizontal="right" vertical="center" wrapText="1" indent="1"/>
    </xf>
    <xf numFmtId="0" fontId="4" fillId="3" borderId="0" xfId="0" applyNumberFormat="1" applyFont="1" applyFill="1" applyAlignment="1">
      <alignment horizontal="right" vertical="center" wrapText="1" indent="1"/>
    </xf>
    <xf numFmtId="0" fontId="86" fillId="0" borderId="0" xfId="0" applyNumberFormat="1" applyFont="1" applyAlignment="1">
      <alignment horizontal="center" vertical="center" wrapText="1"/>
    </xf>
    <xf numFmtId="0" fontId="91" fillId="3" borderId="0" xfId="0" applyNumberFormat="1" applyFont="1" applyFill="1" applyAlignment="1">
      <alignment horizontal="center" vertical="center" wrapText="1"/>
    </xf>
    <xf numFmtId="49" fontId="4" fillId="2" borderId="3" xfId="0" applyNumberFormat="1" applyFont="1" applyFill="1" applyBorder="1" applyAlignment="1">
      <alignment horizontal="left" vertical="center" wrapText="1" indent="1"/>
    </xf>
    <xf numFmtId="186" fontId="4" fillId="3" borderId="0" xfId="0" applyNumberFormat="1" applyFont="1" applyFill="1" applyAlignment="1">
      <alignment horizontal="center" vertical="center" wrapText="1"/>
    </xf>
    <xf numFmtId="0" fontId="0" fillId="3" borderId="61" xfId="0" applyNumberFormat="1" applyFont="1" applyFill="1" applyBorder="1" applyAlignment="1">
      <alignment horizontal="right" vertical="center" wrapText="1" indent="1"/>
    </xf>
    <xf numFmtId="186" fontId="4" fillId="3" borderId="0" xfId="0" applyNumberFormat="1" applyFont="1" applyFill="1" applyAlignment="1">
      <alignment horizontal="left" vertical="center" wrapText="1"/>
    </xf>
    <xf numFmtId="0" fontId="50" fillId="3" borderId="0" xfId="0" applyNumberFormat="1" applyFont="1" applyFill="1" applyAlignment="1">
      <alignment horizontal="right" vertical="center" wrapText="1" indent="1"/>
    </xf>
    <xf numFmtId="0" fontId="50" fillId="3" borderId="0" xfId="0" applyNumberFormat="1" applyFont="1" applyFill="1" applyAlignment="1">
      <alignment horizontal="left" vertical="center" wrapText="1" indent="1"/>
    </xf>
    <xf numFmtId="49" fontId="92" fillId="0" borderId="3" xfId="0" applyNumberFormat="1" applyFont="1" applyBorder="1" applyAlignment="1">
      <alignment horizontal="left" vertical="center" wrapText="1" indent="1"/>
    </xf>
    <xf numFmtId="186" fontId="93" fillId="0" borderId="0" xfId="0" applyNumberFormat="1" applyFont="1" applyAlignment="1">
      <alignment horizontal="center" vertical="center" wrapText="1"/>
    </xf>
    <xf numFmtId="186" fontId="0" fillId="0" borderId="1" xfId="0" applyNumberFormat="1" applyFont="1" applyBorder="1" applyAlignment="1">
      <alignment horizontal="left" vertical="center" wrapText="1" indent="1"/>
    </xf>
    <xf numFmtId="49" fontId="20" fillId="0" borderId="0" xfId="0" applyNumberFormat="1" applyFont="1" applyAlignment="1">
      <alignment horizontal="left" vertical="center" wrapText="1"/>
    </xf>
    <xf numFmtId="49" fontId="89" fillId="3" borderId="0" xfId="0" applyNumberFormat="1" applyFont="1" applyFill="1" applyAlignment="1">
      <alignment horizontal="center" vertical="center" wrapText="1"/>
    </xf>
    <xf numFmtId="0" fontId="94" fillId="0" borderId="0" xfId="0" applyNumberFormat="1" applyFont="1" applyAlignment="1">
      <alignment vertical="center" wrapText="1"/>
    </xf>
    <xf numFmtId="0" fontId="73" fillId="0" borderId="0" xfId="0" applyNumberFormat="1" applyFont="1" applyAlignment="1">
      <alignment horizontal="center" vertical="center" wrapText="1"/>
    </xf>
    <xf numFmtId="0" fontId="0" fillId="3" borderId="0" xfId="0" applyNumberFormat="1" applyFont="1" applyFill="1" applyAlignment="1">
      <alignment horizontal="right" vertical="center" wrapText="1" indent="1"/>
    </xf>
    <xf numFmtId="0" fontId="94" fillId="0" borderId="0" xfId="0" applyNumberFormat="1" applyFont="1" applyAlignment="1">
      <alignment horizontal="left" vertical="center" wrapText="1"/>
    </xf>
    <xf numFmtId="0" fontId="0" fillId="3" borderId="0" xfId="0" applyNumberFormat="1" applyFont="1" applyFill="1" applyAlignment="1">
      <alignment horizontal="left" vertical="center" wrapText="1" indent="1"/>
    </xf>
    <xf numFmtId="0" fontId="4" fillId="0" borderId="0" xfId="0" applyNumberFormat="1" applyFont="1" applyAlignment="1">
      <alignment horizontal="left" vertical="center" wrapText="1" indent="4"/>
    </xf>
    <xf numFmtId="49" fontId="95" fillId="13"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horizontal="center" vertical="center" wrapText="1"/>
    </xf>
    <xf numFmtId="49" fontId="4" fillId="3" borderId="0" xfId="0" applyNumberFormat="1" applyFont="1" applyFill="1" applyAlignment="1">
      <alignment horizontal="right" vertical="center" wrapText="1" indent="1"/>
    </xf>
    <xf numFmtId="49" fontId="0" fillId="3" borderId="0" xfId="0" applyNumberFormat="1" applyFont="1" applyFill="1" applyAlignment="1">
      <alignment horizontal="right" vertical="center" wrapText="1" indent="1"/>
    </xf>
    <xf numFmtId="0" fontId="3" fillId="0" borderId="0" xfId="0" applyNumberFormat="1" applyFont="1" applyAlignment="1">
      <alignment vertical="top" wrapText="1"/>
    </xf>
    <xf numFmtId="0" fontId="96" fillId="0" borderId="0" xfId="0" applyNumberFormat="1" applyFont="1" applyAlignment="1">
      <alignment wrapText="1"/>
    </xf>
    <xf numFmtId="49" fontId="87" fillId="0" borderId="0" xfId="0" applyNumberFormat="1" applyFont="1" applyAlignment="1">
      <alignment wrapText="1"/>
    </xf>
    <xf numFmtId="0" fontId="55" fillId="0" borderId="0" xfId="0" applyNumberFormat="1" applyFont="1" applyAlignment="1">
      <alignment vertical="center" wrapText="1"/>
    </xf>
    <xf numFmtId="0" fontId="55" fillId="0" borderId="0" xfId="0" applyNumberFormat="1" applyFont="1" applyAlignment="1">
      <alignment vertical="center"/>
    </xf>
    <xf numFmtId="0" fontId="2" fillId="0" borderId="0" xfId="0" applyNumberFormat="1" applyFont="1" applyAlignment="1">
      <alignment horizontal="left" vertical="top" wrapText="1"/>
    </xf>
    <xf numFmtId="49" fontId="97" fillId="0" borderId="0" xfId="0" applyNumberFormat="1" applyFont="1" applyAlignment="1">
      <alignment wrapText="1"/>
    </xf>
    <xf numFmtId="0" fontId="2" fillId="29" borderId="62" xfId="0" applyNumberFormat="1" applyFont="1" applyFill="1" applyBorder="1" applyAlignment="1">
      <alignment horizontal="center" vertical="center" wrapText="1"/>
    </xf>
    <xf numFmtId="0" fontId="2" fillId="29" borderId="63" xfId="0" applyNumberFormat="1" applyFont="1" applyFill="1" applyBorder="1" applyAlignment="1">
      <alignment horizontal="center" vertical="center" wrapText="1"/>
    </xf>
    <xf numFmtId="0" fontId="87" fillId="0" borderId="0" xfId="0" applyNumberFormat="1" applyFont="1" applyAlignment="1">
      <alignment wrapText="1"/>
    </xf>
    <xf numFmtId="0" fontId="2" fillId="25" borderId="45" xfId="0" applyNumberFormat="1" applyFont="1" applyFill="1" applyBorder="1" applyAlignment="1">
      <alignment horizontal="right" vertical="center" wrapText="1" indent="1"/>
    </xf>
    <xf numFmtId="0" fontId="2" fillId="25" borderId="64" xfId="0" applyNumberFormat="1" applyFont="1" applyFill="1" applyBorder="1" applyAlignment="1">
      <alignment horizontal="right" vertical="center" wrapText="1" indent="1"/>
    </xf>
    <xf numFmtId="0" fontId="98" fillId="0" borderId="0" xfId="0" applyNumberFormat="1" applyFont="1" applyAlignment="1">
      <alignment horizontal="left" vertical="center" wrapText="1"/>
    </xf>
    <xf numFmtId="0" fontId="98" fillId="0" borderId="0" xfId="0" applyNumberFormat="1" applyFont="1" applyAlignment="1"/>
    <xf numFmtId="0" fontId="99" fillId="0" borderId="0" xfId="0" applyNumberFormat="1" applyFont="1" applyAlignment="1">
      <alignment wrapText="1"/>
    </xf>
    <xf numFmtId="0" fontId="0" fillId="11" borderId="46" xfId="0" applyNumberFormat="1" applyFont="1" applyFill="1" applyBorder="1" applyAlignment="1">
      <alignment horizontal="center" vertical="center" wrapText="1"/>
    </xf>
    <xf numFmtId="0" fontId="99" fillId="0" borderId="45" xfId="0" applyNumberFormat="1" applyFont="1" applyBorder="1" applyAlignment="1">
      <alignment vertical="center" wrapText="1"/>
    </xf>
    <xf numFmtId="0" fontId="99" fillId="0" borderId="0" xfId="0" applyNumberFormat="1" applyFont="1" applyAlignment="1">
      <alignment vertical="center" wrapText="1"/>
    </xf>
    <xf numFmtId="0" fontId="0" fillId="2" borderId="46" xfId="0" applyNumberFormat="1" applyFont="1" applyFill="1" applyBorder="1" applyAlignment="1">
      <alignment horizontal="center" vertical="center" wrapText="1"/>
    </xf>
    <xf numFmtId="0" fontId="2" fillId="25" borderId="0" xfId="0" applyNumberFormat="1" applyFont="1" applyFill="1" applyAlignment="1">
      <alignment horizontal="right" vertical="center" wrapText="1" indent="1"/>
    </xf>
    <xf numFmtId="0" fontId="98" fillId="0" borderId="45" xfId="0" applyNumberFormat="1" applyFont="1" applyBorder="1" applyAlignment="1">
      <alignment horizontal="left" vertical="center" wrapText="1"/>
    </xf>
    <xf numFmtId="0" fontId="98" fillId="0" borderId="47" xfId="0" applyNumberFormat="1" applyFont="1" applyBorder="1" applyAlignment="1">
      <alignment horizontal="left" vertical="center" wrapText="1"/>
    </xf>
    <xf numFmtId="0" fontId="2" fillId="25" borderId="46" xfId="0" applyNumberFormat="1" applyFont="1" applyFill="1" applyBorder="1" applyAlignment="1">
      <alignment horizontal="right" vertical="center" wrapText="1" indent="1"/>
    </xf>
    <xf numFmtId="0" fontId="2" fillId="25" borderId="48" xfId="0" applyNumberFormat="1" applyFont="1" applyFill="1" applyBorder="1" applyAlignment="1">
      <alignment horizontal="right" vertical="center" wrapText="1" indent="1"/>
    </xf>
    <xf numFmtId="0" fontId="99" fillId="0" borderId="0" xfId="0" applyNumberFormat="1" applyFont="1" applyAlignment="1"/>
    <xf numFmtId="0" fontId="99" fillId="0" borderId="45" xfId="0" applyNumberFormat="1" applyFont="1" applyBorder="1" applyAlignment="1">
      <alignment wrapText="1"/>
    </xf>
    <xf numFmtId="0" fontId="99" fillId="0" borderId="0" xfId="0" applyNumberFormat="1" applyFont="1" applyAlignment="1">
      <alignment vertical="top" wrapText="1"/>
    </xf>
    <xf numFmtId="0" fontId="2" fillId="25" borderId="65" xfId="0" applyNumberFormat="1" applyFont="1" applyFill="1" applyBorder="1" applyAlignment="1">
      <alignment horizontal="right" vertical="center" wrapText="1" indent="1"/>
    </xf>
    <xf numFmtId="0" fontId="2" fillId="25" borderId="43" xfId="0" applyNumberFormat="1" applyFont="1" applyFill="1" applyBorder="1" applyAlignment="1">
      <alignment horizontal="right" vertical="center" wrapText="1" indent="1"/>
    </xf>
    <xf numFmtId="0" fontId="87" fillId="0" borderId="65" xfId="0" applyNumberFormat="1" applyFont="1" applyBorder="1" applyAlignment="1">
      <alignment wrapText="1"/>
    </xf>
    <xf numFmtId="0" fontId="87" fillId="0" borderId="43" xfId="0" applyNumberFormat="1" applyFont="1" applyBorder="1" applyAlignment="1">
      <alignment wrapText="1"/>
    </xf>
    <xf numFmtId="49" fontId="87" fillId="0" borderId="0" xfId="0" applyNumberFormat="1" applyFont="1" applyAlignment="1">
      <alignment vertical="top" wrapText="1"/>
    </xf>
    <xf numFmtId="0" fontId="0" fillId="30" borderId="46" xfId="0" applyNumberFormat="1" applyFont="1" applyFill="1" applyBorder="1" applyAlignment="1">
      <alignment horizontal="center" vertical="center" wrapText="1"/>
    </xf>
    <xf numFmtId="0" fontId="99" fillId="0" borderId="45" xfId="0" applyNumberFormat="1" applyFont="1" applyBorder="1" applyAlignment="1">
      <alignment horizontal="left" vertical="center" wrapText="1"/>
    </xf>
    <xf numFmtId="0" fontId="0" fillId="13" borderId="46" xfId="0" applyNumberFormat="1" applyFont="1" applyFill="1" applyBorder="1" applyAlignment="1">
      <alignment horizontal="center" vertical="center" wrapText="1"/>
    </xf>
    <xf numFmtId="0" fontId="55" fillId="0" borderId="0" xfId="0" applyNumberFormat="1" applyFont="1" applyAlignment="1">
      <alignment horizontal="left" vertical="center" wrapText="1"/>
    </xf>
    <xf numFmtId="0" fontId="99" fillId="0" borderId="0" xfId="0" applyNumberFormat="1" applyFont="1" applyAlignment="1">
      <alignment horizontal="left" vertical="center" wrapText="1"/>
    </xf>
    <xf numFmtId="49" fontId="87" fillId="0" borderId="0" xfId="0" applyNumberFormat="1" applyFont="1" applyAlignment="1">
      <alignment vertical="center" wrapText="1"/>
    </xf>
    <xf numFmtId="49" fontId="100" fillId="0" borderId="0" xfId="0" applyNumberFormat="1" applyFont="1" applyAlignment="1">
      <alignment wrapText="1"/>
    </xf>
    <xf numFmtId="0" fontId="2" fillId="29" borderId="66" xfId="0" applyNumberFormat="1" applyFont="1" applyFill="1" applyBorder="1" applyAlignment="1">
      <alignment horizontal="center" vertical="center" wrapText="1"/>
    </xf>
    <xf numFmtId="0" fontId="101" fillId="0" borderId="0" xfId="0" applyNumberFormat="1" applyFont="1" applyAlignment="1">
      <alignment vertical="center" wrapText="1"/>
    </xf>
    <xf numFmtId="0" fontId="87" fillId="0" borderId="45" xfId="0" applyNumberFormat="1" applyFont="1" applyBorder="1" applyAlignment="1">
      <alignment wrapText="1"/>
    </xf>
    <xf numFmtId="0" fontId="87" fillId="0" borderId="0" xfId="0" applyNumberFormat="1" applyFont="1" applyAlignment="1"/>
    <xf numFmtId="0" fontId="87" fillId="0" borderId="43" xfId="0" applyNumberFormat="1" applyFont="1" applyBorder="1" applyAlignment="1">
      <alignment vertical="center" wrapText="1"/>
    </xf>
    <xf numFmtId="0" fontId="100" fillId="0" borderId="0" xfId="0" applyNumberFormat="1" applyFont="1" applyAlignment="1"/>
    <xf numFmtId="0" fontId="0" fillId="0" borderId="0" xfId="0" applyNumberFormat="1" applyFont="1" applyAlignment="1" quotePrefix="1">
      <alignment horizontal="left" vertical="top" wrapText="1" indent="1"/>
    </xf>
  </cellXfs>
  <cellStyles count="78">
    <cellStyle name="Обычный" xfId="0" builtinId="0"/>
    <cellStyle name="Запятая" xfId="1" builtinId="3"/>
    <cellStyle name="Денежный" xfId="2" builtinId="4"/>
    <cellStyle name="Процент" xfId="3" builtinId="5"/>
    <cellStyle name="Запятая [0]" xfId="4" builtinId="6"/>
    <cellStyle name="Денежный [0]" xfId="5" builtinId="7"/>
    <cellStyle name="Гиперссылка" xfId="6" builtinId="8"/>
    <cellStyle name="Открывавшаяся гиперссылка" xfId="7" builtinId="9"/>
    <cellStyle name="Примечание" xfId="8" builtinId="10"/>
    <cellStyle name="Предупреждающий текст" xfId="9" builtinId="11"/>
    <cellStyle name="Заголовок" xfId="10" builtinId="15"/>
    <cellStyle name="Пояснительный текст" xfId="11" builtinId="53"/>
    <cellStyle name="Заголовок 1" xfId="12" builtinId="16"/>
    <cellStyle name="Заголовок 2" xfId="13" builtinId="17"/>
    <cellStyle name="Заголовок 3" xfId="14" builtinId="18"/>
    <cellStyle name="Заголовок 4" xfId="15" builtinId="19"/>
    <cellStyle name="Ввод" xfId="16" builtinId="20"/>
    <cellStyle name="Вывод" xfId="17" builtinId="21"/>
    <cellStyle name="Вычисление" xfId="18" builtinId="22"/>
    <cellStyle name="Проверить ячейку" xfId="19" builtinId="23"/>
    <cellStyle name="Связанная ячейка" xfId="20" builtinId="24"/>
    <cellStyle name="Итого" xfId="21" builtinId="25"/>
    <cellStyle name="Хороший" xfId="22" builtinId="26"/>
    <cellStyle name="Плохой" xfId="23" builtinId="27"/>
    <cellStyle name="Нейтральный" xfId="24" builtinId="28"/>
    <cellStyle name="Акцент1" xfId="25" builtinId="29"/>
    <cellStyle name="20% — Акцент1" xfId="26" builtinId="30"/>
    <cellStyle name="40% — Акцент1" xfId="27" builtinId="31"/>
    <cellStyle name="60% — Акцент1" xfId="28" builtinId="32"/>
    <cellStyle name="Акцент2" xfId="29" builtinId="33"/>
    <cellStyle name="20% — Акцент2" xfId="30" builtinId="34"/>
    <cellStyle name="40% — Акцент2" xfId="31" builtinId="35"/>
    <cellStyle name="60% — Акцент2" xfId="32" builtinId="36"/>
    <cellStyle name="Акцент3" xfId="33" builtinId="37"/>
    <cellStyle name="20% — Акцент3" xfId="34" builtinId="38"/>
    <cellStyle name="40% — Акцент3" xfId="35" builtinId="39"/>
    <cellStyle name="60% — Акцент3" xfId="36" builtinId="40"/>
    <cellStyle name="Акцент4" xfId="37" builtinId="41"/>
    <cellStyle name="20% — Акцент4" xfId="38" builtinId="42"/>
    <cellStyle name="40% — Акцент4" xfId="39" builtinId="43"/>
    <cellStyle name="60% — Акцент4" xfId="40" builtinId="44"/>
    <cellStyle name="Акцент5" xfId="41" builtinId="45"/>
    <cellStyle name="20% — Акцент5" xfId="42" builtinId="46"/>
    <cellStyle name="40% — Акцент5" xfId="43" builtinId="47"/>
    <cellStyle name="60% — Акцент5" xfId="44" builtinId="48"/>
    <cellStyle name="Акцент6" xfId="45" builtinId="49"/>
    <cellStyle name="20% — Акцент6" xfId="46" builtinId="50"/>
    <cellStyle name="40% — Акцент6" xfId="47" builtinId="51"/>
    <cellStyle name="60% — Акцент6" xfId="48" builtinId="52"/>
    <cellStyle name="normal" xfId="49"/>
    <cellStyle name=" 1" xfId="50"/>
    <cellStyle name=" 1 2" xfId="51"/>
    <cellStyle name=" 1_Stage1" xfId="52"/>
    <cellStyle name="_Model_RAB Мой_PR.PROG.WARM.NOTCOMBI.2012.2.16_v1.4(04.04.11) " xfId="53"/>
    <cellStyle name="_Model_RAB Мой_Книга2_PR.PROG.WARM.NOTCOMBI.2012.2.16_v1.4(04.04.11) " xfId="54"/>
    <cellStyle name="_Model_RAB_MRSK_svod_PR.PROG.WARM.NOTCOMBI.2012.2.16_v1.4(04.04.11) " xfId="55"/>
    <cellStyle name="_Model_RAB_MRSK_svod_Книга2_PR.PROG.WARM.NOTCOMBI.2012.2.16_v1.4(04.04.11) " xfId="56"/>
    <cellStyle name="_МОДЕЛЬ_1 (2)_PR.PROG.WARM.NOTCOMBI.2012.2.16_v1.4(04.04.11) " xfId="57"/>
    <cellStyle name="_МОДЕЛЬ_1 (2)_Книга2_PR.PROG.WARM.NOTCOMBI.2012.2.16_v1.4(04.04.11) " xfId="58"/>
    <cellStyle name="_пр 5 тариф RAB_PR.PROG.WARM.NOTCOMBI.2012.2.16_v1.4(04.04.11) " xfId="59"/>
    <cellStyle name="_пр 5 тариф RAB_Книга2_PR.PROG.WARM.NOTCOMBI.2012.2.16_v1.4(04.04.11) " xfId="60"/>
    <cellStyle name="_Расчет RAB_22072008_PR.PROG.WARM.NOTCOMBI.2012.2.16_v1.4(04.04.11) " xfId="61"/>
    <cellStyle name="_Расчет RAB_22072008_Книга2_PR.PROG.WARM.NOTCOMBI.2012.2.16_v1.4(04.04.11) " xfId="62"/>
    <cellStyle name="_Расчет RAB_Лен и МОЭСК_с 2010 года_14.04.2009_со сглаж_version 3.0_без ФСК_PR.PROG.WARM.NOTCOMBI.2012.2.16_v1.4(04.04.11) " xfId="63"/>
    <cellStyle name="_Расчет RAB_Лен и МОЭСК_с 2010 года_14.04.2009_со сглаж_version 3.0_без ФСК_Книга2_PR.PROG.WARM.NOTCOMBI.2012.2.16_v1.4(04.04.11) " xfId="64"/>
    <cellStyle name="currency1" xfId="65"/>
    <cellStyle name="Currency2" xfId="66"/>
    <cellStyle name="currency3" xfId="67"/>
    <cellStyle name="currency4" xfId="68"/>
    <cellStyle name="Followed Hyperlink" xfId="69"/>
    <cellStyle name="Normal1" xfId="70"/>
    <cellStyle name="Normal2" xfId="71"/>
    <cellStyle name="Percent1" xfId="72"/>
    <cellStyle name="Обычный 10" xfId="73"/>
    <cellStyle name="Обычный 16" xfId="74"/>
    <cellStyle name="Обычный 2" xfId="75"/>
    <cellStyle name="Обычный_BALANCE.WARM.2007YEAR(FACT)" xfId="76"/>
    <cellStyle name="Обычный_PRIL1.ELECTR" xfId="7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2" Type="http://schemas.openxmlformats.org/officeDocument/2006/relationships/styles" Target="styles.xml"/><Relationship Id="rId91" Type="http://schemas.openxmlformats.org/officeDocument/2006/relationships/sharedStrings" Target="sharedStrings.xml"/><Relationship Id="rId90" Type="http://schemas.openxmlformats.org/officeDocument/2006/relationships/theme" Target="theme/theme1.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57175" y="1417320"/>
          <a:ext cx="323850" cy="34290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3" name="PHONE_PIC_1"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57175" y="1836420"/>
          <a:ext cx="323850" cy="34671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7667625" y="485775"/>
          <a:ext cx="207645" cy="207645"/>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r:embed="rId3" cstate="print">
          <a:extLst>
            <a:ext uri="{28A0092B-C50C-407E-A947-70E740481C1C}">
              <a14:useLocalDpi xmlns:a14="http://schemas.microsoft.com/office/drawing/2010/main" val="0"/>
            </a:ext>
          </a:extLst>
        </a:blip>
        <a:stretch>
          <a:fillRect/>
        </a:stretch>
      </xdr:blipFill>
      <xdr:spPr>
        <a:xfrm>
          <a:off x="266700" y="2106930"/>
          <a:ext cx="287655" cy="320675"/>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57175" y="5947410"/>
          <a:ext cx="330835" cy="323850"/>
        </a:xfrm>
        <a:prstGeom prst="rect">
          <a:avLst/>
        </a:prstGeom>
        <a:ln w="0">
          <a:noFill/>
          <a:prstDash val="solid"/>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00100" y="752475"/>
          <a:ext cx="207645" cy="207645"/>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514350" y="565785"/>
          <a:ext cx="304165"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73050" y="866775"/>
          <a:ext cx="34925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1346835"/>
          <a:ext cx="0" cy="30480"/>
        </a:xfrm>
        <a:prstGeom prst="rect">
          <a:avLst/>
        </a:prstGeom>
        <a:ln w="0">
          <a:noFill/>
          <a:prstDash val="solid"/>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80010"/>
          <a:ext cx="200025" cy="638175"/>
        </a:xfrm>
        <a:prstGeom prst="rect">
          <a:avLst/>
        </a:prstGeom>
        <a:ln w="0">
          <a:noFill/>
          <a:prstDash val="solid"/>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186690"/>
          <a:ext cx="200025" cy="247650"/>
        </a:xfrm>
        <a:prstGeom prst="rect">
          <a:avLst/>
        </a:prstGeom>
        <a:ln w="0">
          <a:noFill/>
          <a:prstDash val="solid"/>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80010"/>
          <a:ext cx="200025" cy="171450"/>
        </a:xfrm>
        <a:prstGeom prst="rect">
          <a:avLst/>
        </a:prstGeom>
        <a:ln w="0">
          <a:noFill/>
          <a:prstDash val="solid"/>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80010"/>
          <a:ext cx="200025" cy="24765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4" Type="http://schemas.openxmlformats.org/officeDocument/2006/relationships/hyperlink" Target="mailto:tke-opr@yandex.ru"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1"/>
  <sheetViews>
    <sheetView showGridLines="0" showRowColHeaders="0" workbookViewId="0">
      <selection activeCell="A1" sqref="A1"/>
    </sheetView>
  </sheetViews>
  <sheetFormatPr defaultColWidth="11" defaultRowHeight="12.75" customHeight="1"/>
  <cols>
    <col min="1" max="1" width="5.41904761904762" style="13" customWidth="1"/>
    <col min="2" max="2" width="9.14285714285714" style="13" customWidth="1"/>
    <col min="3" max="3" width="16.4190476190476" style="13" customWidth="1"/>
    <col min="4" max="25" width="6.28571428571429" style="13" customWidth="1"/>
    <col min="26" max="28" width="11" style="13"/>
  </cols>
  <sheetData>
    <row r="1" ht="15.75" customHeight="1" spans="1:28">
      <c r="A1" s="1375"/>
      <c r="B1" s="1376"/>
      <c r="C1" s="1376"/>
      <c r="D1" s="1376"/>
      <c r="E1" s="1376"/>
      <c r="F1" s="1376"/>
      <c r="G1" s="1376"/>
      <c r="H1" s="1376"/>
      <c r="I1" s="1376"/>
      <c r="J1" s="1376"/>
      <c r="K1" s="1376"/>
      <c r="L1" s="1376"/>
      <c r="M1" s="1376"/>
      <c r="N1" s="1376"/>
      <c r="O1" s="1376"/>
      <c r="P1" s="1376"/>
      <c r="Q1" s="1376"/>
      <c r="R1" s="1376"/>
      <c r="S1" s="1376"/>
      <c r="T1" s="1376"/>
      <c r="U1" s="1376"/>
      <c r="V1" s="1376"/>
      <c r="W1" s="1376"/>
      <c r="X1" s="1376"/>
      <c r="Y1" s="1411"/>
      <c r="Z1" s="1376"/>
      <c r="AA1" s="1412" t="s">
        <v>0</v>
      </c>
      <c r="AB1" s="1376"/>
    </row>
    <row r="2" ht="17.25" customHeight="1" spans="1:28">
      <c r="A2" s="1376"/>
      <c r="B2" s="1377" t="s">
        <v>1</v>
      </c>
      <c r="C2" s="1377"/>
      <c r="D2" s="1377"/>
      <c r="E2" s="1377"/>
      <c r="F2" s="1377"/>
      <c r="G2" s="1377"/>
      <c r="H2" s="1377"/>
      <c r="I2" s="1377"/>
      <c r="J2" s="1377"/>
      <c r="K2" s="1377"/>
      <c r="L2" s="1377"/>
      <c r="M2" s="1377"/>
      <c r="N2" s="1377"/>
      <c r="O2" s="1377"/>
      <c r="P2" s="1377"/>
      <c r="Q2" s="1409"/>
      <c r="R2" s="1409"/>
      <c r="S2" s="1409"/>
      <c r="T2" s="1409"/>
      <c r="U2" s="1409"/>
      <c r="V2" s="1380"/>
      <c r="W2" s="1409"/>
      <c r="X2" s="1409"/>
      <c r="Y2" s="1411"/>
      <c r="Z2" s="1376"/>
      <c r="AA2" s="1412"/>
      <c r="AB2" s="1376"/>
    </row>
    <row r="3" ht="15.75" customHeight="1" spans="1:28">
      <c r="A3" s="1376"/>
      <c r="B3" s="1378" t="s">
        <v>2</v>
      </c>
      <c r="C3" s="1378"/>
      <c r="D3" s="1378"/>
      <c r="E3" s="1378"/>
      <c r="F3" s="1378"/>
      <c r="G3" s="1378"/>
      <c r="H3" s="1378"/>
      <c r="I3" s="1378"/>
      <c r="J3" s="1378"/>
      <c r="K3" s="1378"/>
      <c r="L3" s="1378"/>
      <c r="M3" s="1378"/>
      <c r="N3" s="1378"/>
      <c r="O3" s="1378"/>
      <c r="P3" s="1378"/>
      <c r="Q3" s="1380"/>
      <c r="R3" s="1380"/>
      <c r="S3" s="1409"/>
      <c r="T3" s="1409"/>
      <c r="U3" s="1409"/>
      <c r="V3" s="1380"/>
      <c r="W3" s="1380"/>
      <c r="X3" s="1380"/>
      <c r="Y3" s="1380"/>
      <c r="Z3" s="1376"/>
      <c r="AA3" s="1412"/>
      <c r="AB3" s="1376"/>
    </row>
    <row r="4" ht="17.25" customHeight="1" spans="1:28">
      <c r="A4" s="1376"/>
      <c r="B4" s="1379"/>
      <c r="C4" s="1376"/>
      <c r="D4" s="1380"/>
      <c r="E4" s="1380"/>
      <c r="F4" s="1380"/>
      <c r="G4" s="1380"/>
      <c r="H4" s="1380"/>
      <c r="I4" s="1380"/>
      <c r="J4" s="1380"/>
      <c r="K4" s="1380"/>
      <c r="L4" s="1380"/>
      <c r="M4" s="1380"/>
      <c r="N4" s="1380"/>
      <c r="O4" s="1380"/>
      <c r="P4" s="1380"/>
      <c r="Q4" s="1380"/>
      <c r="R4" s="1380"/>
      <c r="S4" s="1380"/>
      <c r="T4" s="1380"/>
      <c r="U4" s="1380"/>
      <c r="V4" s="1380"/>
      <c r="W4" s="1380"/>
      <c r="X4" s="1380"/>
      <c r="Y4" s="1380"/>
      <c r="Z4" s="1376"/>
      <c r="AA4" s="1412"/>
      <c r="AB4" s="1376"/>
    </row>
    <row r="5" ht="22.5" customHeight="1" spans="1:28">
      <c r="A5" s="788"/>
      <c r="B5" s="1381"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1382"/>
      <c r="D5" s="1382"/>
      <c r="E5" s="1382"/>
      <c r="F5" s="1382"/>
      <c r="G5" s="1382"/>
      <c r="H5" s="1382"/>
      <c r="I5" s="1382"/>
      <c r="J5" s="1382"/>
      <c r="K5" s="1382"/>
      <c r="L5" s="1382"/>
      <c r="M5" s="1382"/>
      <c r="N5" s="1382"/>
      <c r="O5" s="1382"/>
      <c r="P5" s="1382"/>
      <c r="Q5" s="1382"/>
      <c r="R5" s="1382"/>
      <c r="S5" s="1382"/>
      <c r="T5" s="1382"/>
      <c r="U5" s="1382"/>
      <c r="V5" s="1382"/>
      <c r="W5" s="1382"/>
      <c r="X5" s="1382"/>
      <c r="Y5" s="1413"/>
      <c r="Z5" s="788"/>
      <c r="AA5" s="1412"/>
      <c r="AB5" s="788"/>
    </row>
    <row r="6" ht="15" customHeight="1" spans="1:28">
      <c r="A6" s="1383"/>
      <c r="B6" s="1384" t="s">
        <v>3</v>
      </c>
      <c r="C6" s="1385"/>
      <c r="D6" s="1386"/>
      <c r="E6" s="1386"/>
      <c r="F6" s="1386"/>
      <c r="G6" s="1386"/>
      <c r="H6" s="1386"/>
      <c r="I6" s="1386"/>
      <c r="J6" s="1386"/>
      <c r="K6" s="1386"/>
      <c r="L6" s="1386"/>
      <c r="M6" s="1386"/>
      <c r="N6" s="1386"/>
      <c r="O6" s="1386"/>
      <c r="P6" s="1386"/>
      <c r="Q6" s="1386"/>
      <c r="R6" s="1386"/>
      <c r="S6" s="1386"/>
      <c r="T6" s="1386"/>
      <c r="U6" s="1386"/>
      <c r="V6" s="1386"/>
      <c r="W6" s="1386"/>
      <c r="X6" s="1386"/>
      <c r="Y6" s="1414"/>
      <c r="Z6" s="1415"/>
      <c r="AA6" s="1416"/>
      <c r="AB6" s="1416"/>
    </row>
    <row r="7" ht="15" customHeight="1" spans="1:28">
      <c r="A7" s="1383"/>
      <c r="B7" s="1384"/>
      <c r="C7" s="1385"/>
      <c r="D7" s="1386"/>
      <c r="E7" s="1386"/>
      <c r="F7" s="1387"/>
      <c r="G7" s="1387"/>
      <c r="H7" s="1387"/>
      <c r="I7" s="1387"/>
      <c r="J7" s="1387"/>
      <c r="K7" s="1387"/>
      <c r="L7" s="1387"/>
      <c r="M7" s="1387"/>
      <c r="N7" s="1387"/>
      <c r="O7" s="1386"/>
      <c r="P7" s="1387"/>
      <c r="Q7" s="1387"/>
      <c r="R7" s="1387"/>
      <c r="S7" s="1387"/>
      <c r="T7" s="1387"/>
      <c r="U7" s="1387"/>
      <c r="V7" s="1387"/>
      <c r="W7" s="1387"/>
      <c r="X7" s="1387"/>
      <c r="Y7" s="1414"/>
      <c r="Z7" s="1415"/>
      <c r="AA7" s="1416"/>
      <c r="AB7" s="1416"/>
    </row>
    <row r="8" ht="15" customHeight="1" spans="1:28">
      <c r="A8" s="1383"/>
      <c r="B8" s="1384"/>
      <c r="C8" s="1385"/>
      <c r="D8" s="1388"/>
      <c r="E8" s="1389" t="s">
        <v>4</v>
      </c>
      <c r="F8" s="1390" t="s">
        <v>5</v>
      </c>
      <c r="G8" s="1391"/>
      <c r="H8" s="1391"/>
      <c r="I8" s="1391"/>
      <c r="J8" s="1391"/>
      <c r="K8" s="1391"/>
      <c r="L8" s="1391"/>
      <c r="M8" s="1391"/>
      <c r="N8" s="1388"/>
      <c r="O8" s="1406" t="s">
        <v>4</v>
      </c>
      <c r="P8" s="1407" t="s">
        <v>6</v>
      </c>
      <c r="Q8" s="1410"/>
      <c r="R8" s="1410"/>
      <c r="S8" s="1410"/>
      <c r="T8" s="1410"/>
      <c r="U8" s="1410"/>
      <c r="V8" s="1410"/>
      <c r="W8" s="1410"/>
      <c r="X8" s="1410"/>
      <c r="Y8" s="1414"/>
      <c r="Z8" s="1415"/>
      <c r="AA8" s="1416"/>
      <c r="AB8" s="1416"/>
    </row>
    <row r="9" ht="15" customHeight="1" spans="1:28">
      <c r="A9" s="1383"/>
      <c r="B9" s="1384"/>
      <c r="C9" s="1385"/>
      <c r="D9" s="1388"/>
      <c r="E9" s="1392" t="s">
        <v>4</v>
      </c>
      <c r="F9" s="1390" t="s">
        <v>7</v>
      </c>
      <c r="G9" s="1391"/>
      <c r="H9" s="1391"/>
      <c r="I9" s="1391"/>
      <c r="J9" s="1391"/>
      <c r="K9" s="1391"/>
      <c r="L9" s="1391"/>
      <c r="M9" s="1391"/>
      <c r="N9" s="1388"/>
      <c r="O9" s="1408" t="s">
        <v>4</v>
      </c>
      <c r="P9" s="1407" t="s">
        <v>8</v>
      </c>
      <c r="Q9" s="1410"/>
      <c r="R9" s="1410"/>
      <c r="S9" s="1410"/>
      <c r="T9" s="1410"/>
      <c r="U9" s="1410"/>
      <c r="V9" s="1410"/>
      <c r="W9" s="1410"/>
      <c r="X9" s="1410"/>
      <c r="Y9" s="1414"/>
      <c r="Z9" s="1415"/>
      <c r="AA9" s="1416"/>
      <c r="AB9" s="1416"/>
    </row>
    <row r="10" ht="30" customHeight="1" spans="1:28">
      <c r="A10" s="1383"/>
      <c r="B10" s="1384"/>
      <c r="C10" s="1393"/>
      <c r="D10" s="1394"/>
      <c r="E10" s="1395"/>
      <c r="F10" s="1387"/>
      <c r="G10" s="1387"/>
      <c r="H10" s="1387"/>
      <c r="I10" s="1387"/>
      <c r="J10" s="1387"/>
      <c r="K10" s="1387"/>
      <c r="L10" s="1387"/>
      <c r="M10" s="1387"/>
      <c r="N10" s="1387"/>
      <c r="O10" s="1395"/>
      <c r="P10" s="1387"/>
      <c r="Q10" s="1387"/>
      <c r="R10" s="1387"/>
      <c r="S10" s="1387"/>
      <c r="T10" s="1387"/>
      <c r="U10" s="1387"/>
      <c r="V10" s="1387"/>
      <c r="W10" s="1387"/>
      <c r="X10" s="1387"/>
      <c r="Y10" s="1414"/>
      <c r="Z10" s="1415"/>
      <c r="AA10" s="1416"/>
      <c r="AB10" s="1416"/>
    </row>
    <row r="11" ht="19.5" customHeight="1" spans="1:28">
      <c r="A11" s="1383"/>
      <c r="B11" s="1396" t="s">
        <v>9</v>
      </c>
      <c r="C11" s="1397"/>
      <c r="D11" s="1388"/>
      <c r="E11" s="1398"/>
      <c r="F11" s="1398"/>
      <c r="G11" s="1398"/>
      <c r="H11" s="1398"/>
      <c r="I11" s="1398"/>
      <c r="J11" s="1398"/>
      <c r="K11" s="1398"/>
      <c r="L11" s="1398"/>
      <c r="M11" s="1398"/>
      <c r="N11" s="1398"/>
      <c r="O11" s="1398"/>
      <c r="P11" s="1398"/>
      <c r="Q11" s="1398"/>
      <c r="R11" s="1398"/>
      <c r="S11" s="1398"/>
      <c r="T11" s="1398"/>
      <c r="U11" s="1398"/>
      <c r="V11" s="1398"/>
      <c r="W11" s="1398"/>
      <c r="X11" s="1398"/>
      <c r="Y11" s="1414"/>
      <c r="Z11" s="1415"/>
      <c r="AA11" s="1416"/>
      <c r="AB11" s="1416"/>
    </row>
    <row r="12" ht="69" customHeight="1" spans="1:28">
      <c r="A12" s="1383"/>
      <c r="B12" s="1384"/>
      <c r="C12" s="1393"/>
      <c r="D12" s="1399"/>
      <c r="E12" s="1391" t="s">
        <v>10</v>
      </c>
      <c r="F12" s="1391"/>
      <c r="G12" s="1391"/>
      <c r="H12" s="1391"/>
      <c r="I12" s="1391"/>
      <c r="J12" s="1391"/>
      <c r="K12" s="1391"/>
      <c r="L12" s="1391"/>
      <c r="M12" s="1391"/>
      <c r="N12" s="1391"/>
      <c r="O12" s="1391"/>
      <c r="P12" s="1391"/>
      <c r="Q12" s="1391"/>
      <c r="R12" s="1391"/>
      <c r="S12" s="1391"/>
      <c r="T12" s="1391"/>
      <c r="U12" s="1391"/>
      <c r="V12" s="1391"/>
      <c r="W12" s="1391"/>
      <c r="X12" s="1391"/>
      <c r="Y12" s="1414"/>
      <c r="Z12" s="1415"/>
      <c r="AA12" s="1416"/>
      <c r="AB12" s="1416"/>
    </row>
    <row r="13" ht="15" customHeight="1" spans="1:28">
      <c r="A13" s="1383"/>
      <c r="B13" s="1396" t="s">
        <v>11</v>
      </c>
      <c r="C13" s="1397"/>
      <c r="D13" s="1386"/>
      <c r="E13" s="1398"/>
      <c r="F13" s="1398"/>
      <c r="G13" s="1398"/>
      <c r="H13" s="1398"/>
      <c r="I13" s="1398"/>
      <c r="J13" s="1398"/>
      <c r="K13" s="1398"/>
      <c r="L13" s="1398"/>
      <c r="M13" s="1398"/>
      <c r="N13" s="1398"/>
      <c r="O13" s="1398"/>
      <c r="P13" s="1398"/>
      <c r="Q13" s="1398"/>
      <c r="R13" s="1398"/>
      <c r="S13" s="1398"/>
      <c r="T13" s="1398"/>
      <c r="U13" s="1398"/>
      <c r="V13" s="1398"/>
      <c r="W13" s="1398"/>
      <c r="X13" s="1398"/>
      <c r="Y13" s="1414"/>
      <c r="Z13" s="1415"/>
      <c r="AA13" s="1416"/>
      <c r="AB13" s="1416"/>
    </row>
    <row r="14" ht="57" customHeight="1" spans="1:28">
      <c r="A14" s="1383"/>
      <c r="B14" s="1384"/>
      <c r="C14" s="1385"/>
      <c r="D14" s="1388"/>
      <c r="E14" s="1400" t="s">
        <v>12</v>
      </c>
      <c r="F14" s="1400"/>
      <c r="G14" s="1400"/>
      <c r="H14" s="1400"/>
      <c r="I14" s="1400"/>
      <c r="J14" s="1400"/>
      <c r="K14" s="1400"/>
      <c r="L14" s="1400"/>
      <c r="M14" s="1400"/>
      <c r="N14" s="1400"/>
      <c r="O14" s="1400"/>
      <c r="P14" s="1400"/>
      <c r="Q14" s="1400"/>
      <c r="R14" s="1400"/>
      <c r="S14" s="1400"/>
      <c r="T14" s="1400"/>
      <c r="U14" s="1400"/>
      <c r="V14" s="1400"/>
      <c r="W14" s="1400"/>
      <c r="X14" s="1400"/>
      <c r="Y14" s="1414"/>
      <c r="Z14" s="1415"/>
      <c r="AA14" s="1416"/>
      <c r="AB14" s="1416"/>
    </row>
    <row r="15" ht="16.5" customHeight="1" spans="1:28">
      <c r="A15" s="1383"/>
      <c r="B15" s="1401"/>
      <c r="C15" s="1402"/>
      <c r="D15" s="1403"/>
      <c r="E15" s="1404"/>
      <c r="F15" s="1404"/>
      <c r="G15" s="1404"/>
      <c r="H15" s="1404"/>
      <c r="I15" s="1404"/>
      <c r="J15" s="1404"/>
      <c r="K15" s="1404"/>
      <c r="L15" s="1404"/>
      <c r="M15" s="1404"/>
      <c r="N15" s="1404"/>
      <c r="O15" s="1404"/>
      <c r="P15" s="1404"/>
      <c r="Q15" s="1404"/>
      <c r="R15" s="1404"/>
      <c r="S15" s="1404"/>
      <c r="T15" s="1404"/>
      <c r="U15" s="1404"/>
      <c r="V15" s="1404"/>
      <c r="W15" s="1404"/>
      <c r="X15" s="1404"/>
      <c r="Y15" s="1417"/>
      <c r="Z15" s="1415"/>
      <c r="AA15" s="1418"/>
      <c r="AB15" s="1416"/>
    </row>
    <row r="16" ht="95.25" customHeight="1" spans="1:28">
      <c r="A16" s="1376"/>
      <c r="B16" s="1400"/>
      <c r="C16" s="1405"/>
      <c r="D16" s="1405"/>
      <c r="E16" s="1405"/>
      <c r="F16" s="1405"/>
      <c r="G16" s="1405"/>
      <c r="H16" s="1405"/>
      <c r="I16" s="1405"/>
      <c r="J16" s="1405"/>
      <c r="K16" s="1405"/>
      <c r="L16" s="1405"/>
      <c r="M16" s="1405"/>
      <c r="N16" s="1405"/>
      <c r="O16" s="1405"/>
      <c r="P16" s="1405"/>
      <c r="Q16" s="1405"/>
      <c r="R16" s="1405"/>
      <c r="S16" s="1405"/>
      <c r="T16" s="1405"/>
      <c r="U16" s="1405"/>
      <c r="V16" s="1405"/>
      <c r="W16" s="1405"/>
      <c r="X16" s="1405"/>
      <c r="Y16" s="1405"/>
      <c r="Z16" s="1376"/>
      <c r="AA16" s="1412"/>
      <c r="AB16" s="1376"/>
    </row>
    <row r="17" ht="14.25" customHeight="1" spans="1:28">
      <c r="A17" s="1376"/>
      <c r="B17" s="1376"/>
      <c r="C17" s="1376"/>
      <c r="D17" s="1376"/>
      <c r="E17" s="1376"/>
      <c r="F17" s="1376"/>
      <c r="G17" s="1376"/>
      <c r="H17" s="1376"/>
      <c r="I17" s="1376"/>
      <c r="J17" s="1376"/>
      <c r="K17" s="1376"/>
      <c r="L17" s="1376"/>
      <c r="M17" s="1376"/>
      <c r="N17" s="1376"/>
      <c r="O17" s="1376"/>
      <c r="P17" s="1376"/>
      <c r="Q17" s="1376"/>
      <c r="R17" s="1376"/>
      <c r="S17" s="1376"/>
      <c r="T17" s="1376"/>
      <c r="U17" s="1376"/>
      <c r="V17" s="1376"/>
      <c r="W17" s="1376"/>
      <c r="X17" s="1376"/>
      <c r="Y17" s="1411"/>
      <c r="Z17" s="1376"/>
      <c r="AA17" s="1412"/>
      <c r="AB17" s="1376"/>
    </row>
    <row r="18" ht="14.25" customHeight="1" spans="1:28">
      <c r="A18" s="1376"/>
      <c r="B18" s="1376"/>
      <c r="C18" s="1376"/>
      <c r="D18" s="1376"/>
      <c r="E18" s="1376"/>
      <c r="F18" s="1376"/>
      <c r="G18" s="1376"/>
      <c r="H18" s="1376"/>
      <c r="I18" s="1376"/>
      <c r="J18" s="1376"/>
      <c r="K18" s="1376"/>
      <c r="L18" s="1376"/>
      <c r="M18" s="1376"/>
      <c r="N18" s="1376"/>
      <c r="O18" s="1376"/>
      <c r="P18" s="1376"/>
      <c r="Q18" s="1376"/>
      <c r="R18" s="1376"/>
      <c r="S18" s="1376"/>
      <c r="T18" s="1376"/>
      <c r="U18" s="1376"/>
      <c r="V18" s="1376"/>
      <c r="W18" s="1376"/>
      <c r="X18" s="1376"/>
      <c r="Y18" s="1411"/>
      <c r="Z18" s="1376"/>
      <c r="AA18" s="1412"/>
      <c r="AB18" s="1376"/>
    </row>
    <row r="19" ht="14.25" customHeight="1" spans="1:28">
      <c r="A19" s="1376"/>
      <c r="B19" s="1376"/>
      <c r="C19" s="1376"/>
      <c r="D19" s="1376"/>
      <c r="E19" s="1376"/>
      <c r="F19" s="1376"/>
      <c r="G19" s="1376"/>
      <c r="H19" s="1376"/>
      <c r="I19" s="1376"/>
      <c r="J19" s="1376"/>
      <c r="K19" s="1376"/>
      <c r="L19" s="1376"/>
      <c r="M19" s="1376"/>
      <c r="N19" s="1376"/>
      <c r="O19" s="1376"/>
      <c r="P19" s="1376"/>
      <c r="Q19" s="1376"/>
      <c r="R19" s="1376"/>
      <c r="S19" s="1376"/>
      <c r="T19" s="1376"/>
      <c r="U19" s="1376"/>
      <c r="V19" s="1376"/>
      <c r="W19" s="1376"/>
      <c r="X19" s="1376"/>
      <c r="Y19" s="1411"/>
      <c r="Z19" s="1376"/>
      <c r="AA19" s="1412"/>
      <c r="AB19" s="1376"/>
    </row>
    <row r="20" ht="14.25" customHeight="1" spans="1:28">
      <c r="A20" s="1376"/>
      <c r="B20" s="1376"/>
      <c r="C20" s="1376"/>
      <c r="D20" s="1376"/>
      <c r="E20" s="1376"/>
      <c r="F20" s="1376"/>
      <c r="G20" s="1376"/>
      <c r="H20" s="1376"/>
      <c r="I20" s="1376"/>
      <c r="J20" s="1376"/>
      <c r="K20" s="1376"/>
      <c r="L20" s="1376"/>
      <c r="M20" s="1376"/>
      <c r="N20" s="1376"/>
      <c r="O20" s="1376"/>
      <c r="P20" s="1376"/>
      <c r="Q20" s="1376"/>
      <c r="R20" s="1376"/>
      <c r="S20" s="1376"/>
      <c r="T20" s="1376"/>
      <c r="U20" s="1376"/>
      <c r="V20" s="1376"/>
      <c r="W20" s="1376"/>
      <c r="X20" s="1376"/>
      <c r="Y20" s="1411"/>
      <c r="Z20" s="1376"/>
      <c r="AA20" s="1412"/>
      <c r="AB20" s="1376"/>
    </row>
    <row r="21" ht="14.25" customHeight="1" spans="1:28">
      <c r="A21" s="1376"/>
      <c r="B21" s="1376"/>
      <c r="C21" s="1376"/>
      <c r="D21" s="1376"/>
      <c r="E21" s="1376"/>
      <c r="F21" s="1376"/>
      <c r="G21" s="1376"/>
      <c r="H21" s="1376"/>
      <c r="I21" s="1376"/>
      <c r="J21" s="1376"/>
      <c r="K21" s="1376"/>
      <c r="L21" s="1376"/>
      <c r="M21" s="1376"/>
      <c r="N21" s="1376"/>
      <c r="O21" s="1376"/>
      <c r="P21" s="1376"/>
      <c r="Q21" s="1376"/>
      <c r="R21" s="1376"/>
      <c r="S21" s="1376"/>
      <c r="T21" s="1376"/>
      <c r="U21" s="1376"/>
      <c r="V21" s="1376"/>
      <c r="W21" s="1376"/>
      <c r="X21" s="1376"/>
      <c r="Y21" s="1411"/>
      <c r="Z21" s="1376"/>
      <c r="AA21" s="1412"/>
      <c r="AB21" s="1376"/>
    </row>
  </sheetData>
  <sheetProtection formatColumns="0" formatRows="0" insertRows="0" deleteColumns="0" deleteRows="0" sort="0" autoFilter="0"/>
  <mergeCells count="13">
    <mergeCell ref="B2:P2"/>
    <mergeCell ref="B3:P3"/>
    <mergeCell ref="B5:Y5"/>
    <mergeCell ref="F8:M8"/>
    <mergeCell ref="P8:X8"/>
    <mergeCell ref="F9:M9"/>
    <mergeCell ref="P9:X9"/>
    <mergeCell ref="E12:X12"/>
    <mergeCell ref="E14:X14"/>
    <mergeCell ref="B16:Y16"/>
    <mergeCell ref="B6:C10"/>
    <mergeCell ref="B11:C12"/>
    <mergeCell ref="B13:C15"/>
  </mergeCells>
  <pageMargins left="0.7" right="0.7" top="0.75" bottom="0.75" header="0.3" footer="0.3"/>
  <pageSetup paperSize="1"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W19"/>
  <sheetViews>
    <sheetView showGridLines="0" zoomScale="90" zoomScaleNormal="90" workbookViewId="0">
      <pane xSplit="6" ySplit="11" topLeftCell="G12"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575" hidden="1" customWidth="1"/>
    <col min="2" max="3" width="9.14285714285714" style="43" hidden="1" customWidth="1"/>
    <col min="4" max="4" width="3" style="217" customWidth="1"/>
    <col min="5" max="5" width="6" style="43" customWidth="1"/>
    <col min="6" max="6" width="1.71428571428571" style="43" hidden="1" customWidth="1"/>
    <col min="7" max="8" width="30" style="43" customWidth="1"/>
    <col min="9" max="9" width="8" style="43" customWidth="1"/>
    <col min="10" max="10" width="12.1428571428571" style="43" customWidth="1"/>
    <col min="11" max="11" width="46" style="43" customWidth="1"/>
    <col min="12" max="12" width="100" style="43" customWidth="1"/>
    <col min="13" max="13" width="7" style="206" customWidth="1"/>
    <col min="14" max="22" width="10" style="43" customWidth="1"/>
    <col min="23" max="23" width="10.5714285714286" style="43" hidden="1"/>
  </cols>
  <sheetData>
    <row r="1" s="44" customFormat="1" ht="5.25" hidden="1" customHeight="1" spans="4:23">
      <c r="D1" s="93"/>
      <c r="G1" s="44" t="s">
        <v>84</v>
      </c>
      <c r="H1" s="44" t="s">
        <v>85</v>
      </c>
      <c r="I1" s="44" t="s">
        <v>86</v>
      </c>
      <c r="P1" s="44" t="s">
        <v>84</v>
      </c>
      <c r="Q1" s="44" t="s">
        <v>85</v>
      </c>
      <c r="R1" s="44" t="s">
        <v>86</v>
      </c>
      <c r="W1" s="44" t="s">
        <v>14</v>
      </c>
    </row>
    <row r="2" s="44" customFormat="1" ht="5.25" hidden="1" customHeight="1" spans="4:23">
      <c r="D2" s="93"/>
      <c r="W2" s="44">
        <v>0</v>
      </c>
    </row>
    <row r="3" s="208" customFormat="1" ht="5.25" customHeight="1" spans="1:23">
      <c r="A3" s="1196"/>
      <c r="D3" s="1197"/>
      <c r="E3" s="1198"/>
      <c r="F3" s="1198"/>
      <c r="G3" s="1198"/>
      <c r="H3" s="1198"/>
      <c r="I3" s="1209"/>
      <c r="J3" s="1210"/>
      <c r="K3" s="1210"/>
      <c r="L3" s="1210"/>
      <c r="W3" s="208">
        <v>5</v>
      </c>
    </row>
    <row r="4" ht="23.25" customHeight="1" spans="4:23">
      <c r="D4" s="211"/>
      <c r="E4" s="657" t="s">
        <v>384</v>
      </c>
      <c r="F4" s="657"/>
      <c r="G4" s="658"/>
      <c r="H4" s="658"/>
      <c r="I4" s="659"/>
      <c r="J4" s="1211"/>
      <c r="K4" s="1212"/>
      <c r="L4" s="1212"/>
      <c r="W4" s="43">
        <v>22</v>
      </c>
    </row>
    <row r="5" s="43" customFormat="1" ht="18" customHeight="1" spans="1:23">
      <c r="A5" s="575"/>
      <c r="D5" s="211"/>
      <c r="E5" s="775" t="str">
        <f>IF(org=0,"Не определено",org)</f>
        <v>АО "Теплокоммунэнерго"</v>
      </c>
      <c r="F5" s="775"/>
      <c r="G5" s="624"/>
      <c r="H5" s="624"/>
      <c r="I5" s="776"/>
      <c r="J5" s="1211"/>
      <c r="K5" s="1212"/>
      <c r="L5" s="1212"/>
      <c r="M5" s="206"/>
      <c r="W5" s="43">
        <v>17</v>
      </c>
    </row>
    <row r="6" s="208" customFormat="1" ht="11.55" customHeight="1" spans="1:23">
      <c r="A6" s="1196"/>
      <c r="D6" s="1197"/>
      <c r="E6" s="1198"/>
      <c r="F6" s="1198"/>
      <c r="G6" s="1199"/>
      <c r="H6" s="1199"/>
      <c r="I6" s="1213"/>
      <c r="J6" s="1213"/>
      <c r="K6" s="577"/>
      <c r="L6" s="1213"/>
      <c r="W6" s="208">
        <v>11</v>
      </c>
    </row>
    <row r="7" ht="14.7" customHeight="1" spans="4:23">
      <c r="D7" s="211"/>
      <c r="E7" s="665" t="s">
        <v>296</v>
      </c>
      <c r="F7" s="665"/>
      <c r="G7" s="66"/>
      <c r="H7" s="66"/>
      <c r="I7" s="66"/>
      <c r="J7" s="66"/>
      <c r="K7" s="66"/>
      <c r="L7" s="131" t="s">
        <v>297</v>
      </c>
      <c r="W7" s="43">
        <v>14</v>
      </c>
    </row>
    <row r="8" ht="48.3" customHeight="1" spans="4:23">
      <c r="D8" s="211"/>
      <c r="E8" s="66" t="s">
        <v>89</v>
      </c>
      <c r="F8" s="66"/>
      <c r="G8" s="64" t="s">
        <v>87</v>
      </c>
      <c r="H8" s="64" t="s">
        <v>88</v>
      </c>
      <c r="I8" s="131" t="s">
        <v>86</v>
      </c>
      <c r="J8" s="131" t="s">
        <v>385</v>
      </c>
      <c r="K8" s="131" t="s">
        <v>386</v>
      </c>
      <c r="L8" s="131"/>
      <c r="W8" s="43">
        <v>46</v>
      </c>
    </row>
    <row r="9" ht="12" hidden="1" customHeight="1" spans="4:23">
      <c r="D9" s="1200"/>
      <c r="E9" s="1201"/>
      <c r="F9" s="1201"/>
      <c r="G9" s="1201"/>
      <c r="H9" s="1201"/>
      <c r="I9" s="1201"/>
      <c r="J9" s="1201"/>
      <c r="K9" s="1201"/>
      <c r="L9" s="1201"/>
      <c r="M9" s="43"/>
      <c r="W9" s="43">
        <v>0</v>
      </c>
    </row>
    <row r="10" hidden="1" customHeight="1" spans="1:23">
      <c r="A10" s="43"/>
      <c r="D10" s="211"/>
      <c r="E10" s="64">
        <v>0</v>
      </c>
      <c r="F10" s="64"/>
      <c r="G10" s="104"/>
      <c r="H10" s="104"/>
      <c r="I10" s="104"/>
      <c r="J10" s="104"/>
      <c r="K10" s="104"/>
      <c r="L10" s="1214" t="s">
        <v>387</v>
      </c>
      <c r="W10" s="43">
        <v>0</v>
      </c>
    </row>
    <row r="11" ht="15" hidden="1" customHeight="1" spans="1:23">
      <c r="A11" s="86"/>
      <c r="B11" s="81"/>
      <c r="C11" s="81"/>
      <c r="D11" s="1202"/>
      <c r="E11" s="1203"/>
      <c r="F11" s="1203"/>
      <c r="G11" s="1203"/>
      <c r="H11" s="1203"/>
      <c r="I11" s="107"/>
      <c r="J11" s="1215"/>
      <c r="K11" s="1216"/>
      <c r="L11" s="1217"/>
      <c r="M11" s="44"/>
      <c r="N11" s="44"/>
      <c r="O11" s="44"/>
      <c r="P11" s="283"/>
      <c r="Q11" s="283"/>
      <c r="R11" s="292"/>
      <c r="S11" s="44"/>
      <c r="T11" s="44"/>
      <c r="U11" s="44"/>
      <c r="V11" s="44"/>
      <c r="W11" s="43">
        <v>0</v>
      </c>
    </row>
    <row r="12" s="208" customFormat="1" ht="15" customHeight="1" spans="1:23">
      <c r="A12" s="86"/>
      <c r="B12" s="81"/>
      <c r="C12" s="81"/>
      <c r="D12" s="256"/>
      <c r="E12" s="66">
        <v>1</v>
      </c>
      <c r="F12" s="1204">
        <v>23</v>
      </c>
      <c r="G12" s="599"/>
      <c r="H12" s="223"/>
      <c r="I12" s="268"/>
      <c r="J12" s="282" t="s">
        <v>66</v>
      </c>
      <c r="K12" s="578" t="s">
        <v>22</v>
      </c>
      <c r="L12" s="1217"/>
      <c r="M12" s="44"/>
      <c r="N12" s="44"/>
      <c r="O12" s="44"/>
      <c r="P12" s="283" t="s">
        <v>388</v>
      </c>
      <c r="Q12" s="283" t="s">
        <v>389</v>
      </c>
      <c r="R12" s="292" t="s">
        <v>390</v>
      </c>
      <c r="S12" s="44" t="s">
        <v>391</v>
      </c>
      <c r="T12" s="44"/>
      <c r="U12" s="44"/>
      <c r="V12" s="44"/>
      <c r="W12" s="208">
        <v>14</v>
      </c>
    </row>
    <row r="13" ht="15.75" customHeight="1" spans="1:23">
      <c r="A13" s="86"/>
      <c r="D13" s="211"/>
      <c r="E13" s="571"/>
      <c r="F13" s="1205"/>
      <c r="G13" s="332" t="s">
        <v>100</v>
      </c>
      <c r="H13" s="1206"/>
      <c r="I13" s="1206"/>
      <c r="J13" s="1206"/>
      <c r="K13" s="1218"/>
      <c r="L13" s="1219"/>
      <c r="M13" s="43"/>
      <c r="W13" s="43">
        <v>15</v>
      </c>
    </row>
    <row r="14" ht="11.55" customHeight="1" spans="1:23">
      <c r="A14" s="1196"/>
      <c r="B14" s="208"/>
      <c r="C14" s="208"/>
      <c r="D14" s="1207"/>
      <c r="E14" s="208"/>
      <c r="F14" s="208"/>
      <c r="G14" s="208"/>
      <c r="H14" s="208"/>
      <c r="I14" s="208"/>
      <c r="J14" s="208"/>
      <c r="K14" s="208"/>
      <c r="L14" s="208"/>
      <c r="M14" s="208"/>
      <c r="N14" s="208"/>
      <c r="O14" s="208"/>
      <c r="P14" s="208"/>
      <c r="Q14" s="208"/>
      <c r="R14" s="208"/>
      <c r="S14" s="208"/>
      <c r="T14" s="208"/>
      <c r="U14" s="208"/>
      <c r="V14" s="208"/>
      <c r="W14" s="43">
        <v>11</v>
      </c>
    </row>
    <row r="15" ht="14.7" customHeight="1" spans="4:23">
      <c r="D15" s="1208"/>
      <c r="E15" s="786"/>
      <c r="F15" s="786"/>
      <c r="G15" s="93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208"/>
      <c r="I15" s="1208"/>
      <c r="J15" s="1208"/>
      <c r="K15" s="1208"/>
      <c r="L15" s="1208"/>
      <c r="W15" s="43">
        <v>14</v>
      </c>
    </row>
    <row r="16" ht="14.7" customHeight="1" spans="23:23">
      <c r="W16" s="43">
        <v>14</v>
      </c>
    </row>
    <row r="17" ht="14.7" customHeight="1" spans="23:23">
      <c r="W17" s="43">
        <v>14</v>
      </c>
    </row>
    <row r="18" ht="14.7" customHeight="1" spans="23:23">
      <c r="W18" s="43">
        <v>14</v>
      </c>
    </row>
    <row r="19" ht="22.5" hidden="1" customHeight="1" spans="1:23">
      <c r="A19" s="575" t="s">
        <v>83</v>
      </c>
      <c r="B19" s="43">
        <v>0</v>
      </c>
      <c r="C19" s="43">
        <v>0</v>
      </c>
      <c r="D19" s="217">
        <v>3</v>
      </c>
      <c r="E19" s="43">
        <v>6</v>
      </c>
      <c r="F19" s="43">
        <v>0</v>
      </c>
      <c r="G19" s="43">
        <v>30</v>
      </c>
      <c r="H19" s="43">
        <v>30</v>
      </c>
      <c r="I19" s="43">
        <v>8</v>
      </c>
      <c r="J19" s="43">
        <v>12</v>
      </c>
      <c r="K19" s="43">
        <v>46</v>
      </c>
      <c r="L19" s="43">
        <v>100</v>
      </c>
      <c r="M19" s="206">
        <v>7</v>
      </c>
      <c r="N19" s="43">
        <v>10</v>
      </c>
      <c r="O19" s="43">
        <v>10</v>
      </c>
      <c r="P19" s="43">
        <v>10</v>
      </c>
      <c r="Q19" s="43">
        <v>10</v>
      </c>
      <c r="R19" s="43">
        <v>10</v>
      </c>
      <c r="S19" s="43">
        <v>10</v>
      </c>
      <c r="T19" s="43">
        <v>10</v>
      </c>
      <c r="U19" s="43">
        <v>10</v>
      </c>
      <c r="V19" s="43">
        <v>10</v>
      </c>
      <c r="W19" s="43">
        <v>23</v>
      </c>
    </row>
  </sheetData>
  <sheetProtection formatColumns="0" formatRows="0" insertRows="0" deleteColumns="0" deleteRows="0" sort="0" autoFilter="0"/>
  <mergeCells count="6">
    <mergeCell ref="E4:I4"/>
    <mergeCell ref="E5:I5"/>
    <mergeCell ref="E7:K7"/>
    <mergeCell ref="A11:A13"/>
    <mergeCell ref="L7:L8"/>
    <mergeCell ref="L10:L13"/>
  </mergeCells>
  <dataValidations count="3">
    <dataValidation type="decimal" operator="between"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5" style="43" customWidth="1"/>
    <col min="21" max="21" width="0.142857142857143" style="43" customWidth="1"/>
    <col min="22" max="22" width="24.7142857142857" style="43" hidden="1" customWidth="1"/>
    <col min="23" max="23" width="0.142857142857143" style="43" hidden="1" customWidth="1"/>
    <col min="24" max="25" width="24.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24.7142857142857" style="43" customWidth="1"/>
    <col min="31" max="31" width="0.142857142857143" style="43" customWidth="1"/>
    <col min="32" max="33" width="24" style="43" customWidth="1"/>
    <col min="34" max="34" width="11" style="43" customWidth="1"/>
    <col min="35" max="35" width="3.71428571428571" style="43" customWidth="1"/>
    <col min="36" max="36" width="11" style="43" customWidth="1"/>
    <col min="37" max="37" width="8.57142857142857" style="43" hidden="1" customWidth="1"/>
    <col min="38" max="38" width="4" style="43" customWidth="1"/>
    <col min="39" max="39" width="115" style="43" customWidth="1"/>
    <col min="40" max="44" width="10" style="44" customWidth="1"/>
    <col min="45" max="45" width="10.5714285714286" style="43" hidden="1"/>
  </cols>
  <sheetData>
    <row r="1" ht="22.5" hidden="1" customHeight="1" spans="45:45">
      <c r="AS1" s="43" t="s">
        <v>14</v>
      </c>
    </row>
    <row r="2" ht="21" hidden="1" customHeight="1" spans="1:45">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61"/>
      <c r="AC2" s="1089"/>
      <c r="AD2" s="1090" t="e">
        <f>INDEX(PT_DIFFERENTIATION_NTAR,MATCH(A2,PT_DIFFERENTIATION_NTAR_ID,0))</f>
        <v>#N/A</v>
      </c>
      <c r="AE2" s="1061"/>
      <c r="AF2" s="1061"/>
      <c r="AG2" s="1061"/>
      <c r="AH2" s="1061"/>
      <c r="AI2" s="1061"/>
      <c r="AJ2" s="1061"/>
      <c r="AK2" s="1061"/>
      <c r="AL2" s="1089"/>
      <c r="AM2" s="136" t="s">
        <v>392</v>
      </c>
      <c r="AO2" s="151"/>
      <c r="AP2" s="151" t="str">
        <f t="shared" ref="AP2:AP15" si="0">IF(T2="","",T2)</f>
        <v>Наименование тарифа</v>
      </c>
      <c r="AQ2" s="151"/>
      <c r="AR2" s="151"/>
      <c r="AS2" s="43">
        <v>0</v>
      </c>
    </row>
    <row r="3" ht="21" hidden="1" customHeight="1" spans="1:45">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61"/>
      <c r="AC3" s="1089"/>
      <c r="AD3" s="1090" t="e">
        <f>INDEX(PT_DIFFERENTIATION_TER,MATCH(B3,PT_DIFFERENTIATION_TER_ID,0))</f>
        <v>#N/A</v>
      </c>
      <c r="AE3" s="1061"/>
      <c r="AF3" s="1061"/>
      <c r="AG3" s="1061"/>
      <c r="AH3" s="1061"/>
      <c r="AI3" s="1061"/>
      <c r="AJ3" s="1061"/>
      <c r="AK3" s="1061"/>
      <c r="AL3" s="1089"/>
      <c r="AM3" s="136" t="s">
        <v>394</v>
      </c>
      <c r="AO3" s="151"/>
      <c r="AP3" s="151" t="str">
        <f t="shared" si="0"/>
        <v>Территория действия тарифа</v>
      </c>
      <c r="AQ3" s="151"/>
      <c r="AR3" s="151"/>
      <c r="AS3" s="43">
        <v>0</v>
      </c>
    </row>
    <row r="4" ht="23.25" hidden="1" customHeight="1" spans="1:45">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395</v>
      </c>
      <c r="U4" s="84"/>
      <c r="V4" s="1090"/>
      <c r="W4" s="1061"/>
      <c r="X4" s="1061"/>
      <c r="Y4" s="1061"/>
      <c r="Z4" s="1061"/>
      <c r="AA4" s="1061"/>
      <c r="AB4" s="1061"/>
      <c r="AC4" s="1089"/>
      <c r="AD4" s="1090" t="e">
        <f>INDEX(PT_DIFFERENTIATION_CS,MATCH(C4,PT_DIFFERENTIATION_CS_ID,0))</f>
        <v>#N/A</v>
      </c>
      <c r="AE4" s="1061"/>
      <c r="AF4" s="1061"/>
      <c r="AG4" s="1061"/>
      <c r="AH4" s="1061"/>
      <c r="AI4" s="1061"/>
      <c r="AJ4" s="1061"/>
      <c r="AK4" s="1061"/>
      <c r="AL4" s="1089"/>
      <c r="AM4" s="136" t="s">
        <v>396</v>
      </c>
      <c r="AO4" s="151"/>
      <c r="AP4" s="151" t="str">
        <f t="shared" si="0"/>
        <v>Наименование системы теплоснабжения </v>
      </c>
      <c r="AQ4" s="151"/>
      <c r="AR4" s="151"/>
      <c r="AS4" s="43">
        <v>0</v>
      </c>
    </row>
    <row r="5" ht="21" hidden="1" customHeight="1" spans="1:45">
      <c r="A5" s="46"/>
      <c r="B5" s="46"/>
      <c r="C5" s="46"/>
      <c r="D5" s="46"/>
      <c r="E5" s="1053"/>
      <c r="F5" s="1053"/>
      <c r="G5" s="1053"/>
      <c r="H5" s="1052">
        <v>1</v>
      </c>
      <c r="I5" s="46"/>
      <c r="J5" s="46"/>
      <c r="K5" s="46"/>
      <c r="L5" s="1054"/>
      <c r="M5" s="47"/>
      <c r="N5" s="47"/>
      <c r="O5" s="47"/>
      <c r="P5" s="90"/>
      <c r="Q5" s="87"/>
      <c r="R5" s="88"/>
      <c r="S5" s="65" t="e">
        <f>INDEX(PT_DIFFERENTIATION_NUM_IST_TE,MATCH(D5,PT_DIFFERENTIATION_IST_TE_ID,0))</f>
        <v>#N/A</v>
      </c>
      <c r="T5" s="92" t="s">
        <v>397</v>
      </c>
      <c r="U5" s="84"/>
      <c r="V5" s="1090"/>
      <c r="W5" s="1061"/>
      <c r="X5" s="1061"/>
      <c r="Y5" s="1061"/>
      <c r="Z5" s="1061"/>
      <c r="AA5" s="1061"/>
      <c r="AB5" s="1061"/>
      <c r="AC5" s="1089"/>
      <c r="AD5" s="1090" t="e">
        <f>INDEX(PT_DIFFERENTIATION_IST_TE,MATCH(D5,PT_DIFFERENTIATION_IST_TE_ID,0))</f>
        <v>#N/A</v>
      </c>
      <c r="AE5" s="1061"/>
      <c r="AF5" s="1061"/>
      <c r="AG5" s="1061"/>
      <c r="AH5" s="1061"/>
      <c r="AI5" s="1061"/>
      <c r="AJ5" s="1061"/>
      <c r="AK5" s="1061"/>
      <c r="AL5" s="1089"/>
      <c r="AM5" s="136" t="s">
        <v>398</v>
      </c>
      <c r="AO5" s="151"/>
      <c r="AP5" s="151" t="str">
        <f t="shared" si="0"/>
        <v>Источник тепловой энергии  </v>
      </c>
      <c r="AQ5" s="151"/>
      <c r="AR5" s="151"/>
      <c r="AS5" s="43">
        <v>0</v>
      </c>
    </row>
    <row r="6" ht="47.25" hidden="1" customHeight="1" spans="1:45">
      <c r="A6" s="46"/>
      <c r="B6" s="46"/>
      <c r="C6" s="46"/>
      <c r="D6" s="46"/>
      <c r="E6" s="1053"/>
      <c r="F6" s="1053"/>
      <c r="G6" s="1053"/>
      <c r="H6" s="1053"/>
      <c r="I6" s="229" t="e">
        <f>S5&amp;".1"</f>
        <v>#N/A</v>
      </c>
      <c r="J6" s="46"/>
      <c r="K6" s="46"/>
      <c r="L6" s="1054" t="s">
        <v>399</v>
      </c>
      <c r="M6" s="38"/>
      <c r="P6" s="93">
        <v>1</v>
      </c>
      <c r="Q6" s="93"/>
      <c r="R6" s="94"/>
      <c r="S6" s="65" t="e">
        <f>$I6</f>
        <v>#N/A</v>
      </c>
      <c r="T6" s="95" t="s">
        <v>400</v>
      </c>
      <c r="U6" s="84"/>
      <c r="V6" s="99"/>
      <c r="W6" s="100"/>
      <c r="X6" s="100"/>
      <c r="Y6" s="100"/>
      <c r="Z6" s="100"/>
      <c r="AA6" s="100"/>
      <c r="AB6" s="100"/>
      <c r="AC6" s="137"/>
      <c r="AD6" s="99"/>
      <c r="AE6" s="100"/>
      <c r="AF6" s="100"/>
      <c r="AG6" s="100"/>
      <c r="AH6" s="100"/>
      <c r="AI6" s="100"/>
      <c r="AJ6" s="100"/>
      <c r="AK6" s="100"/>
      <c r="AL6" s="137"/>
      <c r="AM6" s="136" t="s">
        <v>401</v>
      </c>
      <c r="AO6" s="151"/>
      <c r="AP6" s="151" t="str">
        <f t="shared" si="0"/>
        <v>Схема подключения теплопотребляющей установки к коллектору источника тепловой энергии</v>
      </c>
      <c r="AQ6" s="151"/>
      <c r="AR6" s="151"/>
      <c r="AS6" s="43">
        <v>0</v>
      </c>
    </row>
    <row r="7" ht="21" hidden="1" customHeight="1" spans="1:45">
      <c r="A7" s="46"/>
      <c r="B7" s="46"/>
      <c r="C7" s="46"/>
      <c r="D7" s="46"/>
      <c r="E7" s="1053"/>
      <c r="F7" s="1053"/>
      <c r="G7" s="1053"/>
      <c r="H7" s="1053"/>
      <c r="I7" s="1058"/>
      <c r="J7" s="229" t="e">
        <f>I6&amp;".1"</f>
        <v>#N/A</v>
      </c>
      <c r="K7" s="46"/>
      <c r="L7" s="1054" t="s">
        <v>402</v>
      </c>
      <c r="M7" s="38"/>
      <c r="N7" s="38"/>
      <c r="P7" s="93"/>
      <c r="Q7" s="93">
        <v>1</v>
      </c>
      <c r="R7" s="97"/>
      <c r="S7" s="65" t="e">
        <f>$J7</f>
        <v>#N/A</v>
      </c>
      <c r="T7" s="98" t="s">
        <v>403</v>
      </c>
      <c r="U7" s="84"/>
      <c r="V7" s="99"/>
      <c r="W7" s="100"/>
      <c r="X7" s="100"/>
      <c r="Y7" s="100"/>
      <c r="Z7" s="100"/>
      <c r="AA7" s="100"/>
      <c r="AB7" s="100"/>
      <c r="AC7" s="137"/>
      <c r="AD7" s="99"/>
      <c r="AE7" s="100"/>
      <c r="AF7" s="100"/>
      <c r="AG7" s="100"/>
      <c r="AH7" s="100"/>
      <c r="AI7" s="100"/>
      <c r="AJ7" s="100"/>
      <c r="AK7" s="100"/>
      <c r="AL7" s="137"/>
      <c r="AM7" s="136" t="s">
        <v>404</v>
      </c>
      <c r="AO7" s="151"/>
      <c r="AP7" s="151" t="str">
        <f t="shared" si="0"/>
        <v>Группа потребителей</v>
      </c>
      <c r="AQ7" s="151"/>
      <c r="AR7" s="151"/>
      <c r="AS7" s="43">
        <v>0</v>
      </c>
    </row>
    <row r="8" ht="21" hidden="1" customHeight="1" spans="1:45">
      <c r="A8" s="46"/>
      <c r="B8" s="46"/>
      <c r="C8" s="46"/>
      <c r="D8" s="46"/>
      <c r="E8" s="1053"/>
      <c r="F8" s="1053"/>
      <c r="G8" s="1053"/>
      <c r="H8" s="1053"/>
      <c r="I8" s="1058"/>
      <c r="J8" s="1058"/>
      <c r="K8" s="229" t="e">
        <f>J7&amp;".1"</f>
        <v>#N/A</v>
      </c>
      <c r="L8" s="1054" t="s">
        <v>405</v>
      </c>
      <c r="M8" s="38"/>
      <c r="N8" s="38"/>
      <c r="O8" s="38"/>
      <c r="P8" s="93"/>
      <c r="Q8" s="93"/>
      <c r="R8" s="97">
        <v>1</v>
      </c>
      <c r="S8" s="65" t="e">
        <f>$K8</f>
        <v>#N/A</v>
      </c>
      <c r="T8" s="101"/>
      <c r="U8" s="84"/>
      <c r="V8" s="102"/>
      <c r="W8" s="103"/>
      <c r="X8" s="102"/>
      <c r="Y8" s="138"/>
      <c r="Z8" s="139"/>
      <c r="AA8" s="140" t="s">
        <v>66</v>
      </c>
      <c r="AB8" s="139"/>
      <c r="AC8" s="140" t="s">
        <v>66</v>
      </c>
      <c r="AD8" s="102"/>
      <c r="AE8" s="103"/>
      <c r="AF8" s="102"/>
      <c r="AG8" s="138"/>
      <c r="AH8" s="139"/>
      <c r="AI8" s="140" t="s">
        <v>66</v>
      </c>
      <c r="AJ8" s="139"/>
      <c r="AK8" s="140" t="s">
        <v>66</v>
      </c>
      <c r="AL8" s="103"/>
      <c r="AM8" s="141" t="s">
        <v>406</v>
      </c>
      <c r="AN8" s="44" t="e">
        <f>STRCHECKDATE(V9:AL9)</f>
        <v>#NAME?</v>
      </c>
      <c r="AO8" s="151"/>
      <c r="AP8" s="151" t="str">
        <f t="shared" si="0"/>
        <v/>
      </c>
      <c r="AQ8" s="151"/>
      <c r="AR8" s="151"/>
      <c r="AS8" s="43">
        <v>0</v>
      </c>
    </row>
    <row r="9" ht="0.75" hidden="1" customHeight="1" spans="1:45">
      <c r="A9" s="46"/>
      <c r="B9" s="46"/>
      <c r="C9" s="46"/>
      <c r="D9" s="46"/>
      <c r="E9" s="1053"/>
      <c r="F9" s="1053"/>
      <c r="G9" s="1053"/>
      <c r="H9" s="1053"/>
      <c r="I9" s="1058"/>
      <c r="J9" s="1058"/>
      <c r="K9" s="229"/>
      <c r="L9" s="1054"/>
      <c r="M9" s="38"/>
      <c r="N9" s="38"/>
      <c r="O9" s="38"/>
      <c r="P9" s="93"/>
      <c r="Q9" s="93"/>
      <c r="R9" s="97"/>
      <c r="S9" s="104"/>
      <c r="T9" s="84"/>
      <c r="U9" s="84"/>
      <c r="V9" s="103"/>
      <c r="W9" s="103"/>
      <c r="X9" s="103"/>
      <c r="Y9" s="142" t="str">
        <f>Z8&amp;"-"&amp;AB8</f>
        <v>-</v>
      </c>
      <c r="Z9" s="143"/>
      <c r="AA9" s="140"/>
      <c r="AB9" s="143"/>
      <c r="AC9" s="140"/>
      <c r="AD9" s="103"/>
      <c r="AE9" s="103"/>
      <c r="AF9" s="103"/>
      <c r="AG9" s="142" t="str">
        <f>AH8&amp;"-"&amp;AJ8</f>
        <v>-</v>
      </c>
      <c r="AH9" s="143"/>
      <c r="AI9" s="140"/>
      <c r="AJ9" s="143"/>
      <c r="AK9" s="140"/>
      <c r="AL9" s="103"/>
      <c r="AM9" s="144"/>
      <c r="AO9" s="151"/>
      <c r="AP9" s="151" t="str">
        <f t="shared" si="0"/>
        <v/>
      </c>
      <c r="AQ9" s="151"/>
      <c r="AR9" s="151"/>
      <c r="AS9" s="43">
        <v>0</v>
      </c>
    </row>
    <row r="10" ht="15" hidden="1" customHeight="1" spans="1:45">
      <c r="A10" s="46"/>
      <c r="B10" s="46"/>
      <c r="C10" s="46"/>
      <c r="D10" s="46"/>
      <c r="E10" s="1053"/>
      <c r="F10" s="1053"/>
      <c r="G10" s="1053"/>
      <c r="H10" s="1053"/>
      <c r="I10" s="1058"/>
      <c r="J10" s="229"/>
      <c r="K10" s="46"/>
      <c r="L10" s="1054"/>
      <c r="M10" s="38"/>
      <c r="N10" s="38"/>
      <c r="P10" s="93"/>
      <c r="Q10" s="93"/>
      <c r="R10" s="94"/>
      <c r="S10" s="105"/>
      <c r="T10" s="106" t="s">
        <v>407</v>
      </c>
      <c r="U10" s="107"/>
      <c r="V10" s="107"/>
      <c r="W10" s="107"/>
      <c r="X10" s="107"/>
      <c r="Y10" s="107"/>
      <c r="Z10" s="107"/>
      <c r="AA10" s="107"/>
      <c r="AB10" s="107"/>
      <c r="AC10" s="107"/>
      <c r="AD10" s="107"/>
      <c r="AE10" s="107"/>
      <c r="AF10" s="107"/>
      <c r="AG10" s="107"/>
      <c r="AH10" s="107"/>
      <c r="AI10" s="107"/>
      <c r="AJ10" s="107"/>
      <c r="AK10" s="107"/>
      <c r="AL10" s="145"/>
      <c r="AM10" s="146"/>
      <c r="AO10" s="151"/>
      <c r="AP10" s="151" t="str">
        <f t="shared" si="0"/>
        <v>Добавить вид теплоносителя (параметры теплоносителя)</v>
      </c>
      <c r="AQ10" s="151"/>
      <c r="AR10" s="151"/>
      <c r="AS10" s="43">
        <v>0</v>
      </c>
    </row>
    <row r="11" ht="15" hidden="1" customHeight="1" spans="1:45">
      <c r="A11" s="46"/>
      <c r="B11" s="46"/>
      <c r="C11" s="46"/>
      <c r="D11" s="46"/>
      <c r="E11" s="1053"/>
      <c r="F11" s="1053"/>
      <c r="G11" s="1053"/>
      <c r="H11" s="1053"/>
      <c r="I11" s="229"/>
      <c r="J11" s="46"/>
      <c r="K11" s="46"/>
      <c r="L11" s="1054"/>
      <c r="M11" s="38"/>
      <c r="P11" s="93"/>
      <c r="Q11" s="93"/>
      <c r="R11" s="94"/>
      <c r="S11" s="105"/>
      <c r="T11" s="108" t="s">
        <v>408</v>
      </c>
      <c r="U11" s="107"/>
      <c r="V11" s="107"/>
      <c r="W11" s="107"/>
      <c r="X11" s="107"/>
      <c r="Y11" s="107"/>
      <c r="Z11" s="107"/>
      <c r="AA11" s="107"/>
      <c r="AB11" s="107"/>
      <c r="AC11" s="147"/>
      <c r="AD11" s="107"/>
      <c r="AE11" s="107"/>
      <c r="AF11" s="107"/>
      <c r="AG11" s="107"/>
      <c r="AH11" s="107"/>
      <c r="AI11" s="107"/>
      <c r="AJ11" s="107"/>
      <c r="AK11" s="147"/>
      <c r="AL11" s="107"/>
      <c r="AM11" s="148"/>
      <c r="AO11" s="151"/>
      <c r="AP11" s="151" t="str">
        <f t="shared" si="0"/>
        <v>Добавить группу потребителей</v>
      </c>
      <c r="AQ11" s="151"/>
      <c r="AR11" s="151"/>
      <c r="AS11" s="43">
        <v>0</v>
      </c>
    </row>
    <row r="12" hidden="1" customHeight="1" spans="1:45">
      <c r="A12" s="46"/>
      <c r="B12" s="46"/>
      <c r="C12" s="46"/>
      <c r="D12" s="46"/>
      <c r="E12" s="1053"/>
      <c r="F12" s="1053"/>
      <c r="G12" s="1053"/>
      <c r="H12" s="1052"/>
      <c r="I12" s="46"/>
      <c r="J12" s="46"/>
      <c r="K12" s="46"/>
      <c r="L12" s="1054"/>
      <c r="M12" s="47"/>
      <c r="N12" s="47"/>
      <c r="O12" s="38"/>
      <c r="P12" s="81"/>
      <c r="Q12" s="109"/>
      <c r="R12" s="82"/>
      <c r="S12" s="105"/>
      <c r="T12" s="110" t="s">
        <v>409</v>
      </c>
      <c r="U12" s="107"/>
      <c r="V12" s="107"/>
      <c r="W12" s="107"/>
      <c r="X12" s="107"/>
      <c r="Y12" s="107"/>
      <c r="Z12" s="107"/>
      <c r="AA12" s="107"/>
      <c r="AB12" s="107"/>
      <c r="AC12" s="147"/>
      <c r="AD12" s="107"/>
      <c r="AE12" s="107"/>
      <c r="AF12" s="107"/>
      <c r="AG12" s="107"/>
      <c r="AH12" s="107"/>
      <c r="AI12" s="107"/>
      <c r="AJ12" s="107"/>
      <c r="AK12" s="147"/>
      <c r="AL12" s="107"/>
      <c r="AM12" s="148"/>
      <c r="AO12" s="151"/>
      <c r="AP12" s="151" t="str">
        <f t="shared" si="0"/>
        <v>Добавить схему подключения</v>
      </c>
      <c r="AQ12" s="151"/>
      <c r="AR12" s="151"/>
      <c r="AS12" s="43">
        <v>0</v>
      </c>
    </row>
    <row r="13" s="44" customFormat="1" ht="0.75" hidden="1" customHeight="1" spans="1:45">
      <c r="A13" s="590"/>
      <c r="B13" s="590"/>
      <c r="C13" s="590"/>
      <c r="D13" s="590"/>
      <c r="E13" s="1053"/>
      <c r="F13" s="1053"/>
      <c r="G13" s="1052"/>
      <c r="H13" s="590"/>
      <c r="I13" s="590"/>
      <c r="J13" s="590"/>
      <c r="K13" s="590"/>
      <c r="L13" s="611"/>
      <c r="M13" s="283"/>
      <c r="N13" s="283"/>
      <c r="P13" s="152"/>
      <c r="Q13" s="1082"/>
      <c r="R13" s="152"/>
      <c r="S13" s="1166"/>
      <c r="T13" s="1167" t="s">
        <v>410</v>
      </c>
      <c r="U13" s="1168"/>
      <c r="V13" s="1168"/>
      <c r="W13" s="1168"/>
      <c r="X13" s="1168"/>
      <c r="Y13" s="1168"/>
      <c r="Z13" s="1168"/>
      <c r="AA13" s="1168"/>
      <c r="AB13" s="1168"/>
      <c r="AC13" s="1168"/>
      <c r="AD13" s="1168"/>
      <c r="AE13" s="1168"/>
      <c r="AF13" s="1168"/>
      <c r="AG13" s="1168"/>
      <c r="AH13" s="1168"/>
      <c r="AI13" s="1168"/>
      <c r="AJ13" s="1168"/>
      <c r="AK13" s="1168"/>
      <c r="AL13" s="1168"/>
      <c r="AM13" s="1168"/>
      <c r="AO13" s="151"/>
      <c r="AP13" s="151" t="str">
        <f t="shared" si="0"/>
        <v>Добавить источник для дифференциации</v>
      </c>
      <c r="AQ13" s="151"/>
      <c r="AR13" s="151"/>
      <c r="AS13" s="44">
        <v>0</v>
      </c>
    </row>
    <row r="14" s="44" customFormat="1" ht="0.75" hidden="1" customHeight="1" spans="1:45">
      <c r="A14" s="590"/>
      <c r="B14" s="590"/>
      <c r="C14" s="590"/>
      <c r="D14" s="590"/>
      <c r="E14" s="1053"/>
      <c r="F14" s="1052"/>
      <c r="G14" s="590"/>
      <c r="H14" s="590"/>
      <c r="I14" s="590"/>
      <c r="J14" s="590"/>
      <c r="K14" s="590"/>
      <c r="L14" s="611"/>
      <c r="M14" s="1059"/>
      <c r="N14" s="1059"/>
      <c r="P14" s="152"/>
      <c r="Q14" s="1082"/>
      <c r="R14" s="152"/>
      <c r="S14" s="1084"/>
      <c r="T14" s="1169" t="s">
        <v>411</v>
      </c>
      <c r="U14" s="307"/>
      <c r="V14" s="307"/>
      <c r="W14" s="307"/>
      <c r="X14" s="307"/>
      <c r="Y14" s="307"/>
      <c r="Z14" s="307"/>
      <c r="AA14" s="307"/>
      <c r="AB14" s="307"/>
      <c r="AC14" s="307"/>
      <c r="AD14" s="307"/>
      <c r="AE14" s="307"/>
      <c r="AF14" s="307"/>
      <c r="AG14" s="307"/>
      <c r="AH14" s="307"/>
      <c r="AI14" s="307"/>
      <c r="AJ14" s="307"/>
      <c r="AK14" s="307"/>
      <c r="AL14" s="307"/>
      <c r="AM14" s="307"/>
      <c r="AO14" s="151"/>
      <c r="AP14" s="151" t="str">
        <f t="shared" si="0"/>
        <v>Добавить централизованную систему для дифференциации</v>
      </c>
      <c r="AQ14" s="151"/>
      <c r="AR14" s="151"/>
      <c r="AS14" s="44">
        <v>0</v>
      </c>
    </row>
    <row r="15" s="44" customFormat="1" ht="0.75" hidden="1" customHeight="1" spans="1:45">
      <c r="A15" s="590"/>
      <c r="B15" s="590"/>
      <c r="C15" s="590"/>
      <c r="D15" s="590"/>
      <c r="E15" s="1052"/>
      <c r="F15" s="590"/>
      <c r="G15" s="590"/>
      <c r="H15" s="590"/>
      <c r="I15" s="590"/>
      <c r="J15" s="590"/>
      <c r="K15" s="590"/>
      <c r="L15" s="611"/>
      <c r="M15" s="1059"/>
      <c r="N15" s="1059"/>
      <c r="P15" s="152"/>
      <c r="Q15" s="1082"/>
      <c r="R15" s="152"/>
      <c r="S15" s="1084"/>
      <c r="T15" s="1085" t="s">
        <v>412</v>
      </c>
      <c r="U15" s="307"/>
      <c r="V15" s="307"/>
      <c r="W15" s="307"/>
      <c r="X15" s="307"/>
      <c r="Y15" s="307"/>
      <c r="Z15" s="307"/>
      <c r="AA15" s="307"/>
      <c r="AB15" s="307"/>
      <c r="AC15" s="307"/>
      <c r="AD15" s="307"/>
      <c r="AE15" s="307"/>
      <c r="AF15" s="307"/>
      <c r="AG15" s="307"/>
      <c r="AH15" s="307"/>
      <c r="AI15" s="307"/>
      <c r="AJ15" s="307"/>
      <c r="AK15" s="307"/>
      <c r="AL15" s="307"/>
      <c r="AM15" s="307"/>
      <c r="AO15" s="151"/>
      <c r="AP15" s="151" t="str">
        <f t="shared" si="0"/>
        <v>Добавить территорию для дифференциации</v>
      </c>
      <c r="AQ15" s="151"/>
      <c r="AR15" s="151"/>
      <c r="AS15" s="44">
        <v>0</v>
      </c>
    </row>
    <row r="16" hidden="1" customHeight="1" spans="45:45">
      <c r="AS16" s="43">
        <v>0</v>
      </c>
    </row>
    <row r="17" hidden="1" customHeight="1" spans="30:45">
      <c r="AD17" s="492"/>
      <c r="AE17" s="492"/>
      <c r="AF17" s="492"/>
      <c r="AG17" s="1132"/>
      <c r="AH17" s="1133"/>
      <c r="AI17" s="353" t="s">
        <v>66</v>
      </c>
      <c r="AJ17" s="1133"/>
      <c r="AK17" s="353" t="s">
        <v>66</v>
      </c>
      <c r="AS17" s="43">
        <v>0</v>
      </c>
    </row>
    <row r="18" hidden="1" customHeight="1" spans="30:45">
      <c r="AD18" s="492"/>
      <c r="AE18" s="492"/>
      <c r="AF18" s="492"/>
      <c r="AG18" s="142" t="str">
        <f>AH17&amp;"-"&amp;AJ17</f>
        <v>-</v>
      </c>
      <c r="AH18" s="353"/>
      <c r="AI18" s="353"/>
      <c r="AJ18" s="353"/>
      <c r="AK18" s="353"/>
      <c r="AS18" s="43">
        <v>0</v>
      </c>
    </row>
    <row r="19" hidden="1" customHeight="1" spans="45:45">
      <c r="AS19" s="43">
        <v>0</v>
      </c>
    </row>
    <row r="20" s="38" customFormat="1" ht="22.5" hidden="1" customHeight="1" spans="12:45">
      <c r="L20" s="48"/>
      <c r="M20" s="39"/>
      <c r="N20" s="39"/>
      <c r="O20" s="1060" t="s">
        <v>413</v>
      </c>
      <c r="P20" s="39"/>
      <c r="Q20" s="1051"/>
      <c r="R20" s="1051"/>
      <c r="S20" s="47"/>
      <c r="Z20" s="1060"/>
      <c r="AB20" s="1060"/>
      <c r="AH20" s="1060"/>
      <c r="AJ20" s="1060"/>
      <c r="AN20" s="44"/>
      <c r="AO20" s="44"/>
      <c r="AP20" s="44"/>
      <c r="AQ20" s="44"/>
      <c r="AR20" s="44"/>
      <c r="AS20" s="38">
        <v>0</v>
      </c>
    </row>
    <row r="21" s="38" customFormat="1" hidden="1" customHeight="1" spans="12:45">
      <c r="L21" s="48"/>
      <c r="M21" s="39"/>
      <c r="N21" s="39"/>
      <c r="O21" s="39"/>
      <c r="P21" s="39"/>
      <c r="Q21" s="1051"/>
      <c r="R21" s="1051"/>
      <c r="S21" s="47"/>
      <c r="AN21" s="44"/>
      <c r="AO21" s="44"/>
      <c r="AP21" s="44"/>
      <c r="AQ21" s="44"/>
      <c r="AR21" s="44"/>
      <c r="AS21" s="38">
        <v>0</v>
      </c>
    </row>
    <row r="22" s="38" customFormat="1" hidden="1" customHeight="1" spans="12:45">
      <c r="L22" s="48"/>
      <c r="M22" s="39"/>
      <c r="N22" s="39"/>
      <c r="O22" s="1054" t="s">
        <v>414</v>
      </c>
      <c r="P22" s="39"/>
      <c r="Q22" s="1051"/>
      <c r="R22" s="1051"/>
      <c r="S22" s="47"/>
      <c r="T22" s="38" t="s">
        <v>415</v>
      </c>
      <c r="AA22" s="45" t="s">
        <v>416</v>
      </c>
      <c r="AC22" s="45" t="s">
        <v>417</v>
      </c>
      <c r="AD22" s="38" t="s">
        <v>415</v>
      </c>
      <c r="AI22" s="45" t="s">
        <v>418</v>
      </c>
      <c r="AK22" s="45" t="s">
        <v>417</v>
      </c>
      <c r="AN22" s="44"/>
      <c r="AO22" s="44"/>
      <c r="AP22" s="44"/>
      <c r="AQ22" s="44"/>
      <c r="AR22" s="44"/>
      <c r="AS22" s="38">
        <v>0</v>
      </c>
    </row>
    <row r="23" hidden="1" customHeight="1" spans="15:45">
      <c r="O23" s="1054"/>
      <c r="AS23" s="43">
        <v>0</v>
      </c>
    </row>
    <row r="24" hidden="1" customHeight="1" spans="15:45">
      <c r="O24" s="1054"/>
      <c r="AS24" s="43">
        <v>0</v>
      </c>
    </row>
    <row r="25" ht="14.7" customHeight="1" spans="17:45">
      <c r="Q25" s="51"/>
      <c r="R25" s="51"/>
      <c r="S25" s="52"/>
      <c r="T25" s="53"/>
      <c r="U25" s="53"/>
      <c r="AS25" s="43">
        <v>14</v>
      </c>
    </row>
    <row r="26" ht="14.7" customHeight="1" spans="17:45">
      <c r="Q26" s="51"/>
      <c r="R26" s="51"/>
      <c r="S26" s="7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755"/>
      <c r="U26" s="755"/>
      <c r="V26" s="755"/>
      <c r="W26" s="755"/>
      <c r="X26" s="755"/>
      <c r="Y26" s="755"/>
      <c r="Z26" s="755"/>
      <c r="AA26" s="755"/>
      <c r="AB26" s="755"/>
      <c r="AC26" s="755"/>
      <c r="AD26" s="755"/>
      <c r="AE26" s="755"/>
      <c r="AF26" s="755"/>
      <c r="AG26" s="755"/>
      <c r="AH26" s="755"/>
      <c r="AI26" s="755"/>
      <c r="AJ26" s="755"/>
      <c r="AK26" s="121"/>
      <c r="AS26" s="43">
        <v>14</v>
      </c>
    </row>
    <row r="27" ht="14.7" customHeight="1" spans="17:45">
      <c r="Q27" s="51"/>
      <c r="R27" s="51"/>
      <c r="S27" s="660" t="str">
        <f>IF(org=0,"Не определено",org)</f>
        <v>АО "Теплокоммунэнерго"</v>
      </c>
      <c r="T27" s="660"/>
      <c r="U27" s="660"/>
      <c r="V27" s="660"/>
      <c r="W27" s="660"/>
      <c r="X27" s="660"/>
      <c r="Y27" s="660"/>
      <c r="Z27" s="660"/>
      <c r="AA27" s="660"/>
      <c r="AB27" s="660"/>
      <c r="AC27" s="660"/>
      <c r="AD27" s="660"/>
      <c r="AE27" s="660"/>
      <c r="AF27" s="660"/>
      <c r="AG27" s="660"/>
      <c r="AH27" s="660"/>
      <c r="AI27" s="660"/>
      <c r="AJ27" s="660"/>
      <c r="AK27" s="121"/>
      <c r="AS27" s="43">
        <v>14</v>
      </c>
    </row>
    <row r="28" hidden="1" customHeight="1" spans="17:45">
      <c r="Q28" s="51"/>
      <c r="R28" s="51"/>
      <c r="S28" s="52"/>
      <c r="T28" s="53"/>
      <c r="U28" s="53"/>
      <c r="V28" s="56"/>
      <c r="W28" s="56"/>
      <c r="X28" s="56"/>
      <c r="Y28" s="56"/>
      <c r="Z28" s="56"/>
      <c r="AA28" s="56"/>
      <c r="AB28" s="56"/>
      <c r="AC28" s="56"/>
      <c r="AD28" s="56"/>
      <c r="AE28" s="56"/>
      <c r="AF28" s="56"/>
      <c r="AG28" s="56"/>
      <c r="AH28" s="56"/>
      <c r="AI28" s="56"/>
      <c r="AJ28" s="56"/>
      <c r="AK28" s="56"/>
      <c r="AS28" s="43">
        <v>0</v>
      </c>
    </row>
    <row r="29" s="36" customFormat="1" ht="25.5" hidden="1" customHeight="1" spans="1:45">
      <c r="A29" s="45"/>
      <c r="B29" s="45"/>
      <c r="C29" s="45"/>
      <c r="D29" s="45"/>
      <c r="E29" s="45"/>
      <c r="F29" s="45"/>
      <c r="G29" s="45"/>
      <c r="H29" s="45"/>
      <c r="I29" s="45"/>
      <c r="J29" s="45"/>
      <c r="K29" s="45"/>
      <c r="L29" s="1054"/>
      <c r="M29" s="45"/>
      <c r="N29" s="45"/>
      <c r="O29" s="45"/>
      <c r="S29"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58"/>
      <c r="U29" s="1088"/>
      <c r="V29" s="60" t="str">
        <f>IF(TITLE_NAME_OR_PR_CHANGE="",IF(TITLE_NAME_OR_PR="","",TITLE_NAME_OR_PR),TITLE_NAME_OR_PR_CHANGE)</f>
        <v/>
      </c>
      <c r="W29" s="60"/>
      <c r="X29" s="60"/>
      <c r="Y29" s="60"/>
      <c r="Z29" s="60"/>
      <c r="AA29" s="60"/>
      <c r="AB29" s="60"/>
      <c r="AC29" s="43"/>
      <c r="AD29" s="60" t="str">
        <f>IF(TITLE_NAME_OR_PR_CHANGE="",IF(TITLE_NAME_OR_PR="","",TITLE_NAME_OR_PR),TITLE_NAME_OR_PR_CHANGE)</f>
        <v/>
      </c>
      <c r="AE29" s="60"/>
      <c r="AF29" s="60"/>
      <c r="AG29" s="60"/>
      <c r="AH29" s="60"/>
      <c r="AI29" s="60"/>
      <c r="AJ29" s="60"/>
      <c r="AK29" s="43"/>
      <c r="AL29" s="43"/>
      <c r="AM29" s="122"/>
      <c r="AN29" s="151"/>
      <c r="AO29" s="151"/>
      <c r="AP29" s="151"/>
      <c r="AQ29" s="151"/>
      <c r="AR29" s="151"/>
      <c r="AS29" s="36">
        <v>0</v>
      </c>
    </row>
    <row r="30" s="36" customFormat="1" ht="18.75" hidden="1" customHeight="1" spans="1:45">
      <c r="A30" s="45"/>
      <c r="B30" s="45"/>
      <c r="C30" s="45"/>
      <c r="D30" s="45"/>
      <c r="E30" s="45"/>
      <c r="F30" s="45"/>
      <c r="G30" s="45"/>
      <c r="H30" s="45"/>
      <c r="I30" s="45"/>
      <c r="J30" s="45"/>
      <c r="K30" s="45"/>
      <c r="L30" s="1054"/>
      <c r="M30" s="45"/>
      <c r="N30" s="45"/>
      <c r="O30" s="45"/>
      <c r="S30" s="58" t="str">
        <f>"Дата документа об "&amp;IF(TITLE_DATE_PR_CHANGE="","утверждении","изменении")&amp;" тарифов"</f>
        <v>Дата документа об утверждении тарифов</v>
      </c>
      <c r="T30" s="58"/>
      <c r="U30" s="1088"/>
      <c r="V30" s="793" t="str">
        <f>IF(TITLE_DATE_PR_CHANGE="",IF(TITLE_DATE_PR="","",TITLE_DATE_PR),TITLE_DATE_PR_CHANGE)</f>
        <v/>
      </c>
      <c r="W30" s="793"/>
      <c r="X30" s="793"/>
      <c r="Y30" s="793"/>
      <c r="Z30" s="793"/>
      <c r="AA30" s="793"/>
      <c r="AB30" s="793"/>
      <c r="AC30" s="43"/>
      <c r="AD30" s="793" t="str">
        <f>IF(TITLE_DATE_PR_CHANGE="",IF(TITLE_DATE_PR="","",TITLE_DATE_PR),TITLE_DATE_PR_CHANGE)</f>
        <v/>
      </c>
      <c r="AE30" s="793"/>
      <c r="AF30" s="793"/>
      <c r="AG30" s="793"/>
      <c r="AH30" s="793"/>
      <c r="AI30" s="793"/>
      <c r="AJ30" s="793"/>
      <c r="AK30" s="43"/>
      <c r="AL30" s="43"/>
      <c r="AM30" s="122"/>
      <c r="AN30" s="151"/>
      <c r="AO30" s="151"/>
      <c r="AP30" s="151"/>
      <c r="AQ30" s="151"/>
      <c r="AR30" s="151"/>
      <c r="AS30" s="36">
        <v>0</v>
      </c>
    </row>
    <row r="31" s="36" customFormat="1" ht="18.75" hidden="1" customHeight="1" spans="1:45">
      <c r="A31" s="45"/>
      <c r="B31" s="45"/>
      <c r="C31" s="45"/>
      <c r="D31" s="45"/>
      <c r="E31" s="45"/>
      <c r="F31" s="45"/>
      <c r="G31" s="45"/>
      <c r="H31" s="45"/>
      <c r="I31" s="45"/>
      <c r="J31" s="45"/>
      <c r="K31" s="45"/>
      <c r="L31" s="1054"/>
      <c r="M31" s="45"/>
      <c r="N31" s="45"/>
      <c r="O31" s="45"/>
      <c r="S31" s="58" t="str">
        <f>"Номер документа об "&amp;IF(TITLE_DATE_PR_CHANGE="","утверждении","изменении")&amp;" тарифов"</f>
        <v>Номер документа об утверждении тарифов</v>
      </c>
      <c r="T31" s="58"/>
      <c r="U31" s="1088"/>
      <c r="V31" s="60" t="str">
        <f>IF(TITLE_NUMBER_PR_CHANGE="",IF(TITLE_NUMBER_PR="","",TITLE_NUMBER_PR),TITLE_NUMBER_PR_CHANGE)</f>
        <v/>
      </c>
      <c r="W31" s="60"/>
      <c r="X31" s="60"/>
      <c r="Y31" s="60"/>
      <c r="Z31" s="60"/>
      <c r="AA31" s="60"/>
      <c r="AB31" s="60"/>
      <c r="AC31" s="43"/>
      <c r="AD31" s="60" t="str">
        <f>IF(TITLE_NUMBER_PR_CHANGE="",IF(TITLE_NUMBER_PR="","",TITLE_NUMBER_PR),TITLE_NUMBER_PR_CHANGE)</f>
        <v/>
      </c>
      <c r="AE31" s="60"/>
      <c r="AF31" s="60"/>
      <c r="AG31" s="60"/>
      <c r="AH31" s="60"/>
      <c r="AI31" s="60"/>
      <c r="AJ31" s="60"/>
      <c r="AK31" s="43"/>
      <c r="AL31" s="43"/>
      <c r="AM31" s="122"/>
      <c r="AN31" s="151"/>
      <c r="AO31" s="151"/>
      <c r="AP31" s="151"/>
      <c r="AQ31" s="151"/>
      <c r="AR31" s="151"/>
      <c r="AS31" s="36">
        <v>0</v>
      </c>
    </row>
    <row r="32" s="36" customFormat="1" ht="18.75" hidden="1" customHeight="1" spans="1:45">
      <c r="A32" s="45"/>
      <c r="B32" s="45"/>
      <c r="C32" s="45"/>
      <c r="D32" s="45"/>
      <c r="E32" s="45"/>
      <c r="F32" s="45"/>
      <c r="G32" s="45"/>
      <c r="H32" s="45"/>
      <c r="I32" s="45"/>
      <c r="J32" s="45"/>
      <c r="K32" s="45"/>
      <c r="L32" s="1054"/>
      <c r="M32" s="45"/>
      <c r="N32" s="45"/>
      <c r="O32" s="45"/>
      <c r="S32" s="58" t="s">
        <v>43</v>
      </c>
      <c r="T32" s="58"/>
      <c r="U32" s="1088"/>
      <c r="V32" s="60" t="str">
        <f>IF(TITLE_IST_PUB_CHANGE="",IF(TITLE_IST_PUB="","",TITLE_IST_PUB),TITLE_IST_PUB_CHANGE)</f>
        <v/>
      </c>
      <c r="W32" s="60"/>
      <c r="X32" s="60"/>
      <c r="Y32" s="60"/>
      <c r="Z32" s="60"/>
      <c r="AA32" s="60"/>
      <c r="AB32" s="60"/>
      <c r="AC32" s="43"/>
      <c r="AD32" s="60" t="str">
        <f>IF(TITLE_IST_PUB_CHANGE="",IF(TITLE_IST_PUB="","",TITLE_IST_PUB),TITLE_IST_PUB_CHANGE)</f>
        <v/>
      </c>
      <c r="AE32" s="60"/>
      <c r="AF32" s="60"/>
      <c r="AG32" s="60"/>
      <c r="AH32" s="60"/>
      <c r="AI32" s="60"/>
      <c r="AJ32" s="60"/>
      <c r="AK32" s="43"/>
      <c r="AL32" s="43"/>
      <c r="AM32" s="122"/>
      <c r="AN32" s="151"/>
      <c r="AO32" s="151"/>
      <c r="AP32" s="151"/>
      <c r="AQ32" s="151"/>
      <c r="AR32" s="151"/>
      <c r="AS32" s="36">
        <v>0</v>
      </c>
    </row>
    <row r="33" hidden="1" customHeight="1" spans="17:45">
      <c r="Q33" s="51"/>
      <c r="R33" s="51"/>
      <c r="S33" s="52"/>
      <c r="T33" s="53"/>
      <c r="U33" s="53"/>
      <c r="V33" s="56"/>
      <c r="W33" s="56"/>
      <c r="X33" s="56"/>
      <c r="Y33" s="56"/>
      <c r="Z33" s="56"/>
      <c r="AA33" s="56"/>
      <c r="AB33" s="56"/>
      <c r="AC33" s="56"/>
      <c r="AD33" s="56"/>
      <c r="AE33" s="56"/>
      <c r="AF33" s="56"/>
      <c r="AG33" s="56"/>
      <c r="AH33" s="56"/>
      <c r="AI33" s="56"/>
      <c r="AJ33" s="56"/>
      <c r="AK33" s="56"/>
      <c r="AS33" s="43">
        <v>0</v>
      </c>
    </row>
    <row r="34" s="36" customFormat="1" ht="18.75" hidden="1" customHeight="1" spans="1:45">
      <c r="A34" s="45"/>
      <c r="B34" s="45"/>
      <c r="C34" s="45"/>
      <c r="D34" s="45"/>
      <c r="E34" s="45"/>
      <c r="F34" s="45"/>
      <c r="G34" s="45"/>
      <c r="H34" s="45"/>
      <c r="I34" s="45"/>
      <c r="J34" s="45"/>
      <c r="K34" s="45"/>
      <c r="L34" s="1054"/>
      <c r="M34" s="45"/>
      <c r="N34" s="45"/>
      <c r="O34" s="45"/>
      <c r="S34" s="58" t="str">
        <f>"Дата подачи заявления об "&amp;IF(TITLE_DATE_PR_CHANGE="","утверждении","изменении")&amp;" тарифов"</f>
        <v>Дата подачи заявления об утверждении тарифов</v>
      </c>
      <c r="T34" s="58"/>
      <c r="U34" s="1088"/>
      <c r="V34" s="793" t="str">
        <f>IF(TITLE_DATE_PR_CHANGE="",IF(TITLE_DATE_PR="","",TITLE_DATE_PR),TITLE_DATE_PR_CHANGE)</f>
        <v/>
      </c>
      <c r="W34" s="793"/>
      <c r="X34" s="793"/>
      <c r="Y34" s="793"/>
      <c r="Z34" s="793"/>
      <c r="AA34" s="793"/>
      <c r="AB34" s="793"/>
      <c r="AC34" s="43"/>
      <c r="AD34" s="793" t="str">
        <f>IF(TITLE_DATE_PR_CHANGE="",IF(TITLE_DATE_PR="","",TITLE_DATE_PR),TITLE_DATE_PR_CHANGE)</f>
        <v/>
      </c>
      <c r="AE34" s="793"/>
      <c r="AF34" s="793"/>
      <c r="AG34" s="793"/>
      <c r="AH34" s="793"/>
      <c r="AI34" s="793"/>
      <c r="AJ34" s="793"/>
      <c r="AK34" s="43"/>
      <c r="AL34" s="43"/>
      <c r="AM34" s="122"/>
      <c r="AN34" s="151"/>
      <c r="AO34" s="151"/>
      <c r="AP34" s="151"/>
      <c r="AQ34" s="151"/>
      <c r="AR34" s="151"/>
      <c r="AS34" s="36">
        <v>0</v>
      </c>
    </row>
    <row r="35" s="36" customFormat="1" ht="18.75" hidden="1" customHeight="1" spans="1:45">
      <c r="A35" s="45"/>
      <c r="B35" s="45"/>
      <c r="C35" s="45"/>
      <c r="D35" s="45"/>
      <c r="E35" s="45"/>
      <c r="F35" s="45"/>
      <c r="G35" s="45"/>
      <c r="H35" s="45"/>
      <c r="I35" s="45"/>
      <c r="J35" s="45"/>
      <c r="K35" s="45"/>
      <c r="L35" s="1054"/>
      <c r="M35" s="45"/>
      <c r="N35" s="45"/>
      <c r="O35" s="45"/>
      <c r="S35" s="58" t="str">
        <f>"Номер подачи заявления об "&amp;IF(TITLE_DATE_PR_CHANGE="","утверждении","изменении")&amp;" тарифов"</f>
        <v>Номер подачи заявления об утверждении тарифов</v>
      </c>
      <c r="T35" s="58"/>
      <c r="U35" s="1088"/>
      <c r="V35" s="60" t="str">
        <f>IF(TITLE_NUMBER_PR_CHANGE="",IF(TITLE_NUMBER_PR="","",TITLE_NUMBER_PR),TITLE_NUMBER_PR_CHANGE)</f>
        <v/>
      </c>
      <c r="W35" s="60"/>
      <c r="X35" s="60"/>
      <c r="Y35" s="60"/>
      <c r="Z35" s="60"/>
      <c r="AA35" s="60"/>
      <c r="AB35" s="60"/>
      <c r="AC35" s="43"/>
      <c r="AD35" s="60" t="str">
        <f>IF(TITLE_NUMBER_PR_CHANGE="",IF(TITLE_NUMBER_PR="","",TITLE_NUMBER_PR),TITLE_NUMBER_PR_CHANGE)</f>
        <v/>
      </c>
      <c r="AE35" s="60"/>
      <c r="AF35" s="60"/>
      <c r="AG35" s="60"/>
      <c r="AH35" s="60"/>
      <c r="AI35" s="60"/>
      <c r="AJ35" s="60"/>
      <c r="AK35" s="43"/>
      <c r="AL35" s="43"/>
      <c r="AM35" s="122"/>
      <c r="AN35" s="151"/>
      <c r="AO35" s="151"/>
      <c r="AP35" s="151"/>
      <c r="AQ35" s="151"/>
      <c r="AR35" s="151"/>
      <c r="AS35" s="36">
        <v>0</v>
      </c>
    </row>
    <row r="36" s="36" customFormat="1" hidden="1" customHeight="1" spans="1:45">
      <c r="A36" s="45"/>
      <c r="B36" s="45"/>
      <c r="C36" s="45"/>
      <c r="D36" s="45"/>
      <c r="E36" s="45"/>
      <c r="F36" s="45"/>
      <c r="G36" s="45"/>
      <c r="H36" s="45"/>
      <c r="I36" s="45"/>
      <c r="J36" s="45"/>
      <c r="K36" s="45"/>
      <c r="L36" s="1054"/>
      <c r="M36" s="45"/>
      <c r="N36" s="45"/>
      <c r="O36" s="45"/>
      <c r="S36" s="43"/>
      <c r="T36" s="43"/>
      <c r="U36" s="61"/>
      <c r="V36" s="43"/>
      <c r="W36" s="43"/>
      <c r="X36" s="43"/>
      <c r="Y36" s="43"/>
      <c r="Z36" s="43"/>
      <c r="AA36" s="43"/>
      <c r="AB36" s="43"/>
      <c r="AC36" s="44" t="s">
        <v>419</v>
      </c>
      <c r="AD36" s="43"/>
      <c r="AE36" s="43"/>
      <c r="AF36" s="43"/>
      <c r="AG36" s="43"/>
      <c r="AH36" s="43"/>
      <c r="AI36" s="43"/>
      <c r="AJ36" s="43"/>
      <c r="AK36" s="44" t="s">
        <v>419</v>
      </c>
      <c r="AN36" s="151"/>
      <c r="AO36" s="151"/>
      <c r="AP36" s="151"/>
      <c r="AQ36" s="151"/>
      <c r="AR36" s="151"/>
      <c r="AS36" s="36">
        <v>0</v>
      </c>
    </row>
    <row r="37" ht="14.7" customHeight="1" spans="17:45">
      <c r="Q37" s="51"/>
      <c r="R37" s="51"/>
      <c r="S37" s="52"/>
      <c r="T37" s="53"/>
      <c r="U37" s="62"/>
      <c r="V37" s="63"/>
      <c r="W37" s="63"/>
      <c r="X37" s="63"/>
      <c r="Y37" s="63"/>
      <c r="Z37" s="63"/>
      <c r="AA37" s="63"/>
      <c r="AB37" s="63"/>
      <c r="AC37" s="63"/>
      <c r="AD37" s="63"/>
      <c r="AE37" s="63"/>
      <c r="AF37" s="63"/>
      <c r="AG37" s="63"/>
      <c r="AH37" s="63"/>
      <c r="AI37" s="63"/>
      <c r="AJ37" s="63"/>
      <c r="AK37" s="63"/>
      <c r="AS37" s="43">
        <v>14</v>
      </c>
    </row>
    <row r="38" ht="14.7" customHeight="1" spans="17:45">
      <c r="Q38" s="51"/>
      <c r="R38" s="51"/>
      <c r="S38" s="64" t="s">
        <v>296</v>
      </c>
      <c r="T38" s="64"/>
      <c r="U38" s="64"/>
      <c r="V38" s="64"/>
      <c r="W38" s="64"/>
      <c r="X38" s="64"/>
      <c r="Y38" s="64"/>
      <c r="Z38" s="64"/>
      <c r="AA38" s="64"/>
      <c r="AB38" s="64"/>
      <c r="AC38" s="64"/>
      <c r="AD38" s="64"/>
      <c r="AE38" s="64"/>
      <c r="AF38" s="64"/>
      <c r="AG38" s="64"/>
      <c r="AH38" s="64"/>
      <c r="AI38" s="64"/>
      <c r="AJ38" s="64"/>
      <c r="AK38" s="64"/>
      <c r="AL38" s="64"/>
      <c r="AM38" s="64" t="s">
        <v>297</v>
      </c>
      <c r="AS38" s="43">
        <v>14</v>
      </c>
    </row>
    <row r="39" ht="14.7" customHeight="1" spans="17:45">
      <c r="Q39" s="51"/>
      <c r="R39" s="51"/>
      <c r="S39" s="65" t="s">
        <v>89</v>
      </c>
      <c r="T39" s="66" t="s">
        <v>420</v>
      </c>
      <c r="U39" s="67"/>
      <c r="V39" s="68" t="s">
        <v>421</v>
      </c>
      <c r="W39" s="69"/>
      <c r="X39" s="69"/>
      <c r="Y39" s="69"/>
      <c r="Z39" s="69"/>
      <c r="AA39" s="69"/>
      <c r="AB39" s="123"/>
      <c r="AC39" s="124" t="s">
        <v>422</v>
      </c>
      <c r="AD39" s="68" t="s">
        <v>421</v>
      </c>
      <c r="AE39" s="69"/>
      <c r="AF39" s="69"/>
      <c r="AG39" s="69"/>
      <c r="AH39" s="69"/>
      <c r="AI39" s="69"/>
      <c r="AJ39" s="123"/>
      <c r="AK39" s="124" t="s">
        <v>423</v>
      </c>
      <c r="AL39" s="125" t="s">
        <v>424</v>
      </c>
      <c r="AM39" s="64"/>
      <c r="AS39" s="43">
        <v>14</v>
      </c>
    </row>
    <row r="40" ht="35.7" customHeight="1" spans="17:45">
      <c r="Q40" s="51"/>
      <c r="R40" s="51"/>
      <c r="S40" s="65"/>
      <c r="T40" s="66"/>
      <c r="U40" s="70"/>
      <c r="V40" s="71" t="s">
        <v>425</v>
      </c>
      <c r="W40" s="1181" t="s">
        <v>426</v>
      </c>
      <c r="X40" s="126" t="s">
        <v>427</v>
      </c>
      <c r="Y40" s="127"/>
      <c r="Z40" s="126" t="s">
        <v>428</v>
      </c>
      <c r="AA40" s="128"/>
      <c r="AB40" s="127"/>
      <c r="AC40" s="129"/>
      <c r="AD40" s="71" t="s">
        <v>425</v>
      </c>
      <c r="AE40" s="1181" t="s">
        <v>426</v>
      </c>
      <c r="AF40" s="126" t="s">
        <v>427</v>
      </c>
      <c r="AG40" s="127"/>
      <c r="AH40" s="126" t="s">
        <v>428</v>
      </c>
      <c r="AI40" s="128"/>
      <c r="AJ40" s="127"/>
      <c r="AK40" s="129"/>
      <c r="AL40" s="130"/>
      <c r="AM40" s="64"/>
      <c r="AS40" s="43">
        <v>34</v>
      </c>
    </row>
    <row r="41" ht="35.7" customHeight="1" spans="1:45">
      <c r="A41" s="45"/>
      <c r="B41" s="45" t="s">
        <v>133</v>
      </c>
      <c r="C41" s="45" t="s">
        <v>134</v>
      </c>
      <c r="D41" s="45" t="s">
        <v>135</v>
      </c>
      <c r="E41" s="1054" t="s">
        <v>429</v>
      </c>
      <c r="F41" s="1054" t="s">
        <v>430</v>
      </c>
      <c r="G41" s="1054" t="s">
        <v>431</v>
      </c>
      <c r="H41" s="1054" t="s">
        <v>432</v>
      </c>
      <c r="I41" s="1054" t="s">
        <v>433</v>
      </c>
      <c r="J41" s="1054" t="s">
        <v>434</v>
      </c>
      <c r="K41" s="1054" t="s">
        <v>435</v>
      </c>
      <c r="L41" s="1054" t="s">
        <v>414</v>
      </c>
      <c r="Q41" s="51"/>
      <c r="R41" s="51"/>
      <c r="S41" s="65"/>
      <c r="T41" s="66"/>
      <c r="U41" s="72"/>
      <c r="V41" s="73"/>
      <c r="W41" s="222"/>
      <c r="X41" s="131" t="s">
        <v>436</v>
      </c>
      <c r="Y41" s="131" t="s">
        <v>437</v>
      </c>
      <c r="Z41" s="131" t="s">
        <v>438</v>
      </c>
      <c r="AA41" s="132" t="s">
        <v>439</v>
      </c>
      <c r="AB41" s="133"/>
      <c r="AC41" s="134"/>
      <c r="AD41" s="73"/>
      <c r="AE41" s="222"/>
      <c r="AF41" s="131" t="s">
        <v>436</v>
      </c>
      <c r="AG41" s="131" t="s">
        <v>437</v>
      </c>
      <c r="AH41" s="131" t="s">
        <v>438</v>
      </c>
      <c r="AI41" s="132" t="s">
        <v>439</v>
      </c>
      <c r="AJ41" s="133"/>
      <c r="AK41" s="134"/>
      <c r="AL41" s="135"/>
      <c r="AM41" s="64"/>
      <c r="AS41" s="43">
        <v>34</v>
      </c>
    </row>
    <row r="42" s="37" customFormat="1" ht="11.25" hidden="1" customHeight="1" spans="1:45">
      <c r="A42" s="45"/>
      <c r="B42" s="45"/>
      <c r="C42" s="45"/>
      <c r="D42" s="45"/>
      <c r="E42" s="45"/>
      <c r="F42" s="45"/>
      <c r="G42" s="45"/>
      <c r="H42" s="45"/>
      <c r="I42" s="45"/>
      <c r="J42" s="45"/>
      <c r="K42" s="45"/>
      <c r="L42" s="1054"/>
      <c r="M42" s="39"/>
      <c r="N42" s="39"/>
      <c r="O42" s="39"/>
      <c r="P42" s="74"/>
      <c r="Q42" s="75"/>
      <c r="R42" s="76">
        <v>1</v>
      </c>
      <c r="S42" s="77" t="s">
        <v>107</v>
      </c>
      <c r="T42" s="78" t="s">
        <v>108</v>
      </c>
      <c r="U42" s="79" t="str">
        <f ca="1">OFFSET(U42,0,-1)</f>
        <v>2</v>
      </c>
      <c r="V42" s="80">
        <f ca="1">OFFSET(V42,0,-1)+1</f>
        <v>3</v>
      </c>
      <c r="W42" s="80"/>
      <c r="X42" s="80">
        <f ca="1">OFFSET(X42,0,-1)+1</f>
        <v>1</v>
      </c>
      <c r="Y42" s="80">
        <f ca="1">OFFSET(Y42,0,-1)+1</f>
        <v>2</v>
      </c>
      <c r="Z42" s="80">
        <f ca="1">OFFSET(Z42,0,-1)+1</f>
        <v>3</v>
      </c>
      <c r="AA42" s="80">
        <f ca="1">OFFSET(AA42,0,-1)+1</f>
        <v>4</v>
      </c>
      <c r="AB42" s="80"/>
      <c r="AC42" s="80">
        <f ca="1">OFFSET(AC42,0,-2)+1</f>
        <v>5</v>
      </c>
      <c r="AD42" s="80">
        <f ca="1">OFFSET(AD42,0,-1)+1</f>
        <v>6</v>
      </c>
      <c r="AE42" s="80"/>
      <c r="AF42" s="80">
        <f ca="1">OFFSET(AF42,0,-1)+1</f>
        <v>1</v>
      </c>
      <c r="AG42" s="80">
        <f ca="1">OFFSET(AG42,0,-1)+1</f>
        <v>2</v>
      </c>
      <c r="AH42" s="80">
        <f ca="1">OFFSET(AH42,0,-1)+1</f>
        <v>3</v>
      </c>
      <c r="AI42" s="80">
        <f ca="1">OFFSET(AI42,0,-1)+1</f>
        <v>4</v>
      </c>
      <c r="AJ42" s="80"/>
      <c r="AK42" s="80">
        <f ca="1">OFFSET(AK42,0,-2)+1</f>
        <v>5</v>
      </c>
      <c r="AL42" s="79">
        <f ca="1">OFFSET(AL42,0,-1)</f>
        <v>5</v>
      </c>
      <c r="AM42" s="80">
        <f ca="1">OFFSET(AM42,0,-1)+1</f>
        <v>6</v>
      </c>
      <c r="AN42" s="44"/>
      <c r="AO42" s="44"/>
      <c r="AP42" s="44"/>
      <c r="AQ42" s="44"/>
      <c r="AR42" s="44"/>
      <c r="AS42" s="37">
        <v>0</v>
      </c>
    </row>
    <row r="43" ht="24" customHeight="1" spans="1:45">
      <c r="A43" s="46" t="s">
        <v>154</v>
      </c>
      <c r="B43" s="46"/>
      <c r="C43" s="46"/>
      <c r="D43" s="46"/>
      <c r="E43" s="1052">
        <v>1</v>
      </c>
      <c r="F43" s="46"/>
      <c r="G43" s="46"/>
      <c r="H43" s="46"/>
      <c r="I43" s="46"/>
      <c r="J43" s="46"/>
      <c r="K43" s="46"/>
      <c r="L43" s="1054"/>
      <c r="M43" s="47"/>
      <c r="N43" s="47"/>
      <c r="O43" s="47"/>
      <c r="Q43" s="81"/>
      <c r="R43" s="82"/>
      <c r="S43" s="65">
        <f>INDEX(PT_DIFFERENTIATION_NUM_NTAR,MATCH(A43,PT_DIFFERENTIATION_NTAR_ID,0))</f>
        <v>0</v>
      </c>
      <c r="T43" s="83" t="s">
        <v>121</v>
      </c>
      <c r="U43" s="84"/>
      <c r="V43" s="1090"/>
      <c r="W43" s="1061"/>
      <c r="X43" s="1061"/>
      <c r="Y43" s="1061"/>
      <c r="Z43" s="1061"/>
      <c r="AA43" s="1061"/>
      <c r="AB43" s="1061"/>
      <c r="AC43" s="1089"/>
      <c r="AD43" s="1090" t="str">
        <f>INDEX(PT_DIFFERENTIATION_NTAR,MATCH(A43,PT_DIFFERENTIATION_NTAR_ID,0))</f>
        <v/>
      </c>
      <c r="AE43" s="1061"/>
      <c r="AF43" s="1061"/>
      <c r="AG43" s="1061"/>
      <c r="AH43" s="1061"/>
      <c r="AI43" s="1061"/>
      <c r="AJ43" s="1061"/>
      <c r="AK43" s="1061"/>
      <c r="AL43" s="1089"/>
      <c r="AM43" s="1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
      <c r="AP43" s="151" t="str">
        <f t="shared" ref="AP43:AP57" si="1">IF(T43="","",T43)</f>
        <v>Наименование тарифа</v>
      </c>
      <c r="AQ43" s="151"/>
      <c r="AR43" s="151"/>
      <c r="AS43" s="43">
        <v>23</v>
      </c>
    </row>
    <row r="44" ht="24" customHeight="1" spans="1:45">
      <c r="A44" s="46" t="s">
        <v>154</v>
      </c>
      <c r="B44" s="46" t="s">
        <v>155</v>
      </c>
      <c r="C44" s="46"/>
      <c r="D44" s="46"/>
      <c r="E44" s="1053"/>
      <c r="F44" s="1052">
        <v>1</v>
      </c>
      <c r="G44" s="46"/>
      <c r="H44" s="46"/>
      <c r="I44" s="46"/>
      <c r="J44" s="46"/>
      <c r="K44" s="46"/>
      <c r="L44" s="1054"/>
      <c r="M44" s="47"/>
      <c r="N44" s="47"/>
      <c r="O44" s="47"/>
      <c r="P44" s="86"/>
      <c r="Q44" s="87"/>
      <c r="R44" s="88"/>
      <c r="S44" s="65" t="str">
        <f>INDEX(PT_DIFFERENTIATION_NUM_TER,MATCH(B44,PT_DIFFERENTIATION_TER_ID,0))</f>
        <v>.</v>
      </c>
      <c r="T44" s="89" t="s">
        <v>393</v>
      </c>
      <c r="U44" s="84"/>
      <c r="V44" s="1090"/>
      <c r="W44" s="1061"/>
      <c r="X44" s="1061"/>
      <c r="Y44" s="1061"/>
      <c r="Z44" s="1061"/>
      <c r="AA44" s="1061"/>
      <c r="AB44" s="1061"/>
      <c r="AC44" s="1089"/>
      <c r="AD44" s="1090" t="str">
        <f>INDEX(PT_DIFFERENTIATION_TER,MATCH(B44,PT_DIFFERENTIATION_TER_ID,0))</f>
        <v/>
      </c>
      <c r="AE44" s="1061"/>
      <c r="AF44" s="1061"/>
      <c r="AG44" s="1061"/>
      <c r="AH44" s="1061"/>
      <c r="AI44" s="1061"/>
      <c r="AJ44" s="1061"/>
      <c r="AK44" s="1061"/>
      <c r="AL44" s="1089"/>
      <c r="AM44" s="136" t="s">
        <v>394</v>
      </c>
      <c r="AO44" s="151"/>
      <c r="AP44" s="151" t="str">
        <f t="shared" si="1"/>
        <v>Территория действия тарифа</v>
      </c>
      <c r="AQ44" s="151"/>
      <c r="AR44" s="151"/>
      <c r="AS44" s="43">
        <v>23</v>
      </c>
    </row>
    <row r="45" ht="24" customHeight="1" spans="1:45">
      <c r="A45" s="46" t="s">
        <v>154</v>
      </c>
      <c r="B45" s="46" t="s">
        <v>155</v>
      </c>
      <c r="C45" s="46" t="s">
        <v>156</v>
      </c>
      <c r="D45" s="46"/>
      <c r="E45" s="1053"/>
      <c r="F45" s="1053"/>
      <c r="G45" s="1052">
        <v>1</v>
      </c>
      <c r="H45" s="46"/>
      <c r="I45" s="46"/>
      <c r="J45" s="46"/>
      <c r="K45" s="46"/>
      <c r="L45" s="1054"/>
      <c r="M45" s="47"/>
      <c r="N45" s="47"/>
      <c r="O45" s="47"/>
      <c r="P45" s="90"/>
      <c r="Q45" s="87"/>
      <c r="R45" s="88"/>
      <c r="S45" s="65" t="str">
        <f>INDEX(PT_DIFFERENTIATION_NUM_CS,MATCH(C45,PT_DIFFERENTIATION_CS_ID,0))</f>
        <v>..</v>
      </c>
      <c r="T45" s="91" t="s">
        <v>395</v>
      </c>
      <c r="U45" s="84"/>
      <c r="V45" s="1090"/>
      <c r="W45" s="1061"/>
      <c r="X45" s="1061"/>
      <c r="Y45" s="1061"/>
      <c r="Z45" s="1061"/>
      <c r="AA45" s="1061"/>
      <c r="AB45" s="1061"/>
      <c r="AC45" s="1089"/>
      <c r="AD45" s="1090" t="str">
        <f>INDEX(PT_DIFFERENTIATION_CS,MATCH(C45,PT_DIFFERENTIATION_CS_ID,0))</f>
        <v/>
      </c>
      <c r="AE45" s="1061"/>
      <c r="AF45" s="1061"/>
      <c r="AG45" s="1061"/>
      <c r="AH45" s="1061"/>
      <c r="AI45" s="1061"/>
      <c r="AJ45" s="1061"/>
      <c r="AK45" s="1061"/>
      <c r="AL45" s="1089"/>
      <c r="AM45" s="136" t="s">
        <v>396</v>
      </c>
      <c r="AO45" s="151"/>
      <c r="AP45" s="151" t="str">
        <f t="shared" si="1"/>
        <v>Наименование системы теплоснабжения </v>
      </c>
      <c r="AQ45" s="151"/>
      <c r="AR45" s="151"/>
      <c r="AS45" s="43">
        <v>23</v>
      </c>
    </row>
    <row r="46" ht="24" customHeight="1" spans="1:45">
      <c r="A46" s="46" t="s">
        <v>154</v>
      </c>
      <c r="B46" s="46" t="s">
        <v>155</v>
      </c>
      <c r="C46" s="46" t="s">
        <v>156</v>
      </c>
      <c r="D46" s="46" t="s">
        <v>157</v>
      </c>
      <c r="E46" s="1053"/>
      <c r="F46" s="1053"/>
      <c r="G46" s="1053"/>
      <c r="H46" s="1052">
        <v>1</v>
      </c>
      <c r="I46" s="46"/>
      <c r="J46" s="46"/>
      <c r="K46" s="46"/>
      <c r="L46" s="1054"/>
      <c r="M46" s="47"/>
      <c r="N46" s="47"/>
      <c r="O46" s="47"/>
      <c r="P46" s="90"/>
      <c r="Q46" s="87"/>
      <c r="R46" s="88"/>
      <c r="S46" s="65" t="str">
        <f>INDEX(PT_DIFFERENTIATION_NUM_IST_TE,MATCH(D46,PT_DIFFERENTIATION_IST_TE_ID,0))</f>
        <v>...</v>
      </c>
      <c r="T46" s="92" t="s">
        <v>397</v>
      </c>
      <c r="U46" s="84"/>
      <c r="V46" s="1090"/>
      <c r="W46" s="1061"/>
      <c r="X46" s="1061"/>
      <c r="Y46" s="1061"/>
      <c r="Z46" s="1061"/>
      <c r="AA46" s="1061"/>
      <c r="AB46" s="1061"/>
      <c r="AC46" s="1089"/>
      <c r="AD46" s="1090" t="str">
        <f>INDEX(PT_DIFFERENTIATION_IST_TE,MATCH(D46,PT_DIFFERENTIATION_IST_TE_ID,0))</f>
        <v/>
      </c>
      <c r="AE46" s="1061"/>
      <c r="AF46" s="1061"/>
      <c r="AG46" s="1061"/>
      <c r="AH46" s="1061"/>
      <c r="AI46" s="1061"/>
      <c r="AJ46" s="1061"/>
      <c r="AK46" s="1061"/>
      <c r="AL46" s="1089"/>
      <c r="AM46" s="136" t="s">
        <v>398</v>
      </c>
      <c r="AO46" s="151"/>
      <c r="AP46" s="151" t="str">
        <f t="shared" si="1"/>
        <v>Источник тепловой энергии  </v>
      </c>
      <c r="AQ46" s="151"/>
      <c r="AR46" s="151"/>
      <c r="AS46" s="43">
        <v>23</v>
      </c>
    </row>
    <row r="47" ht="49.5" customHeight="1" spans="1:45">
      <c r="A47" s="46" t="s">
        <v>154</v>
      </c>
      <c r="B47" s="46" t="s">
        <v>155</v>
      </c>
      <c r="C47" s="46" t="s">
        <v>156</v>
      </c>
      <c r="D47" s="46" t="s">
        <v>157</v>
      </c>
      <c r="E47" s="1053"/>
      <c r="F47" s="1053"/>
      <c r="G47" s="1053"/>
      <c r="H47" s="1053"/>
      <c r="I47" s="229" t="str">
        <f>S46&amp;".1"</f>
        <v>....1</v>
      </c>
      <c r="J47" s="46"/>
      <c r="K47" s="46"/>
      <c r="L47" s="1054" t="s">
        <v>399</v>
      </c>
      <c r="P47" s="93">
        <v>1</v>
      </c>
      <c r="Q47" s="93"/>
      <c r="R47" s="94"/>
      <c r="S47" s="65" t="str">
        <f>$I47</f>
        <v>....1</v>
      </c>
      <c r="T47" s="95" t="s">
        <v>400</v>
      </c>
      <c r="U47" s="84"/>
      <c r="V47" s="99"/>
      <c r="W47" s="100"/>
      <c r="X47" s="100"/>
      <c r="Y47" s="100"/>
      <c r="Z47" s="100"/>
      <c r="AA47" s="100"/>
      <c r="AB47" s="100"/>
      <c r="AC47" s="137"/>
      <c r="AD47" s="99"/>
      <c r="AE47" s="100"/>
      <c r="AF47" s="100"/>
      <c r="AG47" s="100"/>
      <c r="AH47" s="100"/>
      <c r="AI47" s="100"/>
      <c r="AJ47" s="100"/>
      <c r="AK47" s="100"/>
      <c r="AL47" s="137"/>
      <c r="AM47" s="136" t="s">
        <v>401</v>
      </c>
      <c r="AO47" s="151"/>
      <c r="AP47" s="151" t="str">
        <f t="shared" si="1"/>
        <v>Схема подключения теплопотребляющей установки к коллектору источника тепловой энергии</v>
      </c>
      <c r="AQ47" s="151"/>
      <c r="AR47" s="151"/>
      <c r="AS47" s="43">
        <v>47</v>
      </c>
    </row>
    <row r="48" ht="24" customHeight="1" spans="1:45">
      <c r="A48" s="46" t="s">
        <v>154</v>
      </c>
      <c r="B48" s="46" t="s">
        <v>155</v>
      </c>
      <c r="C48" s="46" t="s">
        <v>156</v>
      </c>
      <c r="D48" s="46" t="s">
        <v>157</v>
      </c>
      <c r="E48" s="1053"/>
      <c r="F48" s="1053"/>
      <c r="G48" s="1053"/>
      <c r="H48" s="1053"/>
      <c r="I48" s="1058"/>
      <c r="J48" s="229" t="str">
        <f>I47&amp;".1"</f>
        <v>....1.1</v>
      </c>
      <c r="K48" s="46"/>
      <c r="L48" s="1054" t="s">
        <v>402</v>
      </c>
      <c r="P48" s="93"/>
      <c r="Q48" s="93">
        <v>1</v>
      </c>
      <c r="R48" s="97"/>
      <c r="S48" s="65" t="str">
        <f>$J48</f>
        <v>....1.1</v>
      </c>
      <c r="T48" s="98" t="s">
        <v>403</v>
      </c>
      <c r="U48" s="84"/>
      <c r="V48" s="99"/>
      <c r="W48" s="100"/>
      <c r="X48" s="100"/>
      <c r="Y48" s="100"/>
      <c r="Z48" s="100"/>
      <c r="AA48" s="100"/>
      <c r="AB48" s="100"/>
      <c r="AC48" s="137"/>
      <c r="AD48" s="99"/>
      <c r="AE48" s="100"/>
      <c r="AF48" s="100"/>
      <c r="AG48" s="100"/>
      <c r="AH48" s="100"/>
      <c r="AI48" s="100"/>
      <c r="AJ48" s="100"/>
      <c r="AK48" s="100"/>
      <c r="AL48" s="137"/>
      <c r="AM48" s="136" t="s">
        <v>404</v>
      </c>
      <c r="AO48" s="151"/>
      <c r="AP48" s="151" t="str">
        <f t="shared" si="1"/>
        <v>Группа потребителей</v>
      </c>
      <c r="AQ48" s="151"/>
      <c r="AR48" s="151"/>
      <c r="AS48" s="43">
        <v>23</v>
      </c>
    </row>
    <row r="49" ht="24" customHeight="1" spans="1:45">
      <c r="A49" s="46" t="s">
        <v>154</v>
      </c>
      <c r="B49" s="46" t="s">
        <v>155</v>
      </c>
      <c r="C49" s="46" t="s">
        <v>156</v>
      </c>
      <c r="D49" s="46" t="s">
        <v>157</v>
      </c>
      <c r="E49" s="1053"/>
      <c r="F49" s="1053"/>
      <c r="G49" s="1053"/>
      <c r="H49" s="1053"/>
      <c r="I49" s="1058"/>
      <c r="J49" s="1058"/>
      <c r="K49" s="229" t="str">
        <f>J48&amp;".1"</f>
        <v>....1.1.1</v>
      </c>
      <c r="L49" s="1054" t="s">
        <v>405</v>
      </c>
      <c r="P49" s="93"/>
      <c r="Q49" s="93"/>
      <c r="R49" s="97">
        <v>1</v>
      </c>
      <c r="S49" s="65" t="str">
        <f>$K49</f>
        <v>....1.1.1</v>
      </c>
      <c r="T49" s="101"/>
      <c r="U49" s="84"/>
      <c r="V49" s="102"/>
      <c r="W49" s="103"/>
      <c r="X49" s="102"/>
      <c r="Y49" s="138"/>
      <c r="Z49" s="139"/>
      <c r="AA49" s="140" t="s">
        <v>66</v>
      </c>
      <c r="AB49" s="139"/>
      <c r="AC49" s="140" t="s">
        <v>66</v>
      </c>
      <c r="AD49" s="102"/>
      <c r="AE49" s="103"/>
      <c r="AF49" s="102"/>
      <c r="AG49" s="138"/>
      <c r="AH49" s="139"/>
      <c r="AI49" s="140" t="s">
        <v>66</v>
      </c>
      <c r="AJ49" s="1137"/>
      <c r="AK49" s="140" t="s">
        <v>66</v>
      </c>
      <c r="AL49" s="1120"/>
      <c r="AM49" s="141" t="s">
        <v>406</v>
      </c>
      <c r="AN49" s="44" t="e">
        <f>STRCHECKDATE(V50:AL50)</f>
        <v>#NAME?</v>
      </c>
      <c r="AO49" s="151"/>
      <c r="AP49" s="151" t="str">
        <f t="shared" si="1"/>
        <v/>
      </c>
      <c r="AQ49" s="151"/>
      <c r="AR49" s="151"/>
      <c r="AS49" s="43">
        <v>23</v>
      </c>
    </row>
    <row r="50" ht="1.05" customHeight="1" spans="1:45">
      <c r="A50" s="46" t="s">
        <v>154</v>
      </c>
      <c r="B50" s="46" t="s">
        <v>155</v>
      </c>
      <c r="C50" s="46" t="s">
        <v>156</v>
      </c>
      <c r="D50" s="46" t="s">
        <v>157</v>
      </c>
      <c r="E50" s="1053"/>
      <c r="F50" s="1053"/>
      <c r="G50" s="1053"/>
      <c r="H50" s="1053"/>
      <c r="I50" s="1058"/>
      <c r="J50" s="1058"/>
      <c r="K50" s="229"/>
      <c r="L50" s="1054"/>
      <c r="P50" s="93"/>
      <c r="Q50" s="93"/>
      <c r="R50" s="97"/>
      <c r="S50" s="104"/>
      <c r="T50" s="84"/>
      <c r="U50" s="84"/>
      <c r="V50" s="103"/>
      <c r="W50" s="103"/>
      <c r="X50" s="103"/>
      <c r="Y50" s="142" t="str">
        <f>Z49&amp;"-"&amp;AB49</f>
        <v>-</v>
      </c>
      <c r="Z50" s="143"/>
      <c r="AA50" s="140"/>
      <c r="AB50" s="143"/>
      <c r="AC50" s="140"/>
      <c r="AD50" s="103"/>
      <c r="AE50" s="103"/>
      <c r="AF50" s="103"/>
      <c r="AG50" s="142" t="str">
        <f>AH49&amp;"-"&amp;AJ49</f>
        <v>-</v>
      </c>
      <c r="AH50" s="143"/>
      <c r="AI50" s="140"/>
      <c r="AJ50" s="1140"/>
      <c r="AK50" s="140"/>
      <c r="AL50" s="1163"/>
      <c r="AM50" s="144"/>
      <c r="AO50" s="151"/>
      <c r="AP50" s="151" t="str">
        <f t="shared" si="1"/>
        <v/>
      </c>
      <c r="AQ50" s="151"/>
      <c r="AR50" s="151"/>
      <c r="AS50" s="43">
        <v>1</v>
      </c>
    </row>
    <row r="51" ht="11.55" customHeight="1" spans="1:45">
      <c r="A51" s="46" t="s">
        <v>154</v>
      </c>
      <c r="B51" s="46" t="s">
        <v>155</v>
      </c>
      <c r="C51" s="46" t="s">
        <v>156</v>
      </c>
      <c r="D51" s="46" t="s">
        <v>157</v>
      </c>
      <c r="E51" s="1053"/>
      <c r="F51" s="1053"/>
      <c r="G51" s="1053"/>
      <c r="H51" s="1053"/>
      <c r="I51" s="1058"/>
      <c r="J51" s="229"/>
      <c r="K51" s="46"/>
      <c r="L51" s="1054"/>
      <c r="P51" s="93"/>
      <c r="Q51" s="93"/>
      <c r="R51" s="94"/>
      <c r="S51" s="105"/>
      <c r="T51" s="106" t="s">
        <v>407</v>
      </c>
      <c r="U51" s="107"/>
      <c r="V51" s="107"/>
      <c r="W51" s="107"/>
      <c r="X51" s="107"/>
      <c r="Y51" s="107"/>
      <c r="Z51" s="107"/>
      <c r="AA51" s="107"/>
      <c r="AB51" s="107"/>
      <c r="AC51" s="107"/>
      <c r="AD51" s="107"/>
      <c r="AE51" s="107"/>
      <c r="AF51" s="107"/>
      <c r="AG51" s="107"/>
      <c r="AH51" s="107"/>
      <c r="AI51" s="107"/>
      <c r="AJ51" s="107"/>
      <c r="AK51" s="107"/>
      <c r="AL51" s="145"/>
      <c r="AM51" s="146"/>
      <c r="AO51" s="151"/>
      <c r="AP51" s="151" t="str">
        <f t="shared" si="1"/>
        <v>Добавить вид теплоносителя (параметры теплоносителя)</v>
      </c>
      <c r="AQ51" s="151"/>
      <c r="AR51" s="151"/>
      <c r="AS51" s="43">
        <v>11</v>
      </c>
    </row>
    <row r="52" ht="11.55" customHeight="1" spans="1:45">
      <c r="A52" s="46" t="s">
        <v>154</v>
      </c>
      <c r="B52" s="46" t="s">
        <v>155</v>
      </c>
      <c r="C52" s="46" t="s">
        <v>156</v>
      </c>
      <c r="D52" s="46" t="s">
        <v>157</v>
      </c>
      <c r="E52" s="1053"/>
      <c r="F52" s="1053"/>
      <c r="G52" s="1053"/>
      <c r="H52" s="1053"/>
      <c r="I52" s="229"/>
      <c r="J52" s="46"/>
      <c r="K52" s="46"/>
      <c r="L52" s="1054"/>
      <c r="P52" s="93"/>
      <c r="Q52" s="93"/>
      <c r="R52" s="94"/>
      <c r="S52" s="105"/>
      <c r="T52" s="108" t="s">
        <v>408</v>
      </c>
      <c r="U52" s="107"/>
      <c r="V52" s="107"/>
      <c r="W52" s="107"/>
      <c r="X52" s="107"/>
      <c r="Y52" s="107"/>
      <c r="Z52" s="107"/>
      <c r="AA52" s="107"/>
      <c r="AB52" s="107"/>
      <c r="AC52" s="147"/>
      <c r="AD52" s="107"/>
      <c r="AE52" s="107"/>
      <c r="AF52" s="107"/>
      <c r="AG52" s="107"/>
      <c r="AH52" s="107"/>
      <c r="AI52" s="107"/>
      <c r="AJ52" s="107"/>
      <c r="AK52" s="147"/>
      <c r="AL52" s="107"/>
      <c r="AM52" s="148"/>
      <c r="AO52" s="151"/>
      <c r="AP52" s="151" t="str">
        <f t="shared" si="1"/>
        <v>Добавить группу потребителей</v>
      </c>
      <c r="AQ52" s="151"/>
      <c r="AR52" s="151"/>
      <c r="AS52" s="43">
        <v>11</v>
      </c>
    </row>
    <row r="53" ht="14.7" customHeight="1" spans="1:45">
      <c r="A53" s="46" t="s">
        <v>154</v>
      </c>
      <c r="B53" s="46" t="s">
        <v>155</v>
      </c>
      <c r="C53" s="46" t="s">
        <v>156</v>
      </c>
      <c r="D53" s="46" t="s">
        <v>157</v>
      </c>
      <c r="E53" s="1053"/>
      <c r="F53" s="1053"/>
      <c r="G53" s="1053"/>
      <c r="H53" s="1052"/>
      <c r="I53" s="46"/>
      <c r="J53" s="46"/>
      <c r="K53" s="46"/>
      <c r="L53" s="1054"/>
      <c r="M53" s="47"/>
      <c r="N53" s="47"/>
      <c r="O53" s="38"/>
      <c r="P53" s="81"/>
      <c r="Q53" s="109"/>
      <c r="R53" s="82"/>
      <c r="S53" s="105"/>
      <c r="T53" s="110" t="s">
        <v>409</v>
      </c>
      <c r="U53" s="107"/>
      <c r="V53" s="107"/>
      <c r="W53" s="107"/>
      <c r="X53" s="107"/>
      <c r="Y53" s="107"/>
      <c r="Z53" s="107"/>
      <c r="AA53" s="107"/>
      <c r="AB53" s="107"/>
      <c r="AC53" s="147"/>
      <c r="AD53" s="107"/>
      <c r="AE53" s="107"/>
      <c r="AF53" s="107"/>
      <c r="AG53" s="107"/>
      <c r="AH53" s="107"/>
      <c r="AI53" s="107"/>
      <c r="AJ53" s="107"/>
      <c r="AK53" s="147"/>
      <c r="AL53" s="107"/>
      <c r="AM53" s="148"/>
      <c r="AO53" s="151"/>
      <c r="AP53" s="151" t="str">
        <f t="shared" si="1"/>
        <v>Добавить схему подключения</v>
      </c>
      <c r="AQ53" s="151"/>
      <c r="AR53" s="151"/>
      <c r="AS53" s="43">
        <v>14</v>
      </c>
    </row>
    <row r="54" s="44" customFormat="1" ht="1.05" customHeight="1" spans="1:45">
      <c r="A54" s="590" t="s">
        <v>154</v>
      </c>
      <c r="B54" s="590" t="s">
        <v>155</v>
      </c>
      <c r="C54" s="590" t="s">
        <v>156</v>
      </c>
      <c r="D54" s="590"/>
      <c r="E54" s="1053"/>
      <c r="F54" s="1053"/>
      <c r="G54" s="1052"/>
      <c r="H54" s="590"/>
      <c r="I54" s="590"/>
      <c r="J54" s="590"/>
      <c r="K54" s="590"/>
      <c r="L54" s="611"/>
      <c r="M54" s="283"/>
      <c r="N54" s="283"/>
      <c r="P54" s="152"/>
      <c r="Q54" s="1082"/>
      <c r="R54" s="152"/>
      <c r="S54" s="1084"/>
      <c r="T54" s="1085" t="s">
        <v>410</v>
      </c>
      <c r="U54" s="307"/>
      <c r="V54" s="307"/>
      <c r="W54" s="307"/>
      <c r="X54" s="307"/>
      <c r="Y54" s="307"/>
      <c r="Z54" s="307"/>
      <c r="AA54" s="307"/>
      <c r="AB54" s="307"/>
      <c r="AC54" s="307"/>
      <c r="AD54" s="307"/>
      <c r="AE54" s="307"/>
      <c r="AF54" s="307"/>
      <c r="AG54" s="307"/>
      <c r="AH54" s="307"/>
      <c r="AI54" s="307"/>
      <c r="AJ54" s="307"/>
      <c r="AK54" s="307"/>
      <c r="AL54" s="307"/>
      <c r="AM54" s="307"/>
      <c r="AO54" s="151"/>
      <c r="AP54" s="151" t="str">
        <f t="shared" si="1"/>
        <v>Добавить источник для дифференциации</v>
      </c>
      <c r="AQ54" s="151"/>
      <c r="AR54" s="151"/>
      <c r="AS54" s="44">
        <v>1</v>
      </c>
    </row>
    <row r="55" s="44" customFormat="1" ht="1.05" customHeight="1" spans="1:45">
      <c r="A55" s="590" t="s">
        <v>154</v>
      </c>
      <c r="B55" s="590" t="s">
        <v>155</v>
      </c>
      <c r="C55" s="590"/>
      <c r="D55" s="590"/>
      <c r="E55" s="1053"/>
      <c r="F55" s="1052"/>
      <c r="G55" s="590"/>
      <c r="H55" s="590"/>
      <c r="I55" s="590"/>
      <c r="J55" s="590"/>
      <c r="K55" s="590"/>
      <c r="L55" s="611"/>
      <c r="M55" s="1059"/>
      <c r="N55" s="1059"/>
      <c r="P55" s="152"/>
      <c r="Q55" s="1082"/>
      <c r="R55" s="152"/>
      <c r="S55" s="1084"/>
      <c r="T55" s="1085" t="s">
        <v>411</v>
      </c>
      <c r="U55" s="307"/>
      <c r="V55" s="307"/>
      <c r="W55" s="307"/>
      <c r="X55" s="307"/>
      <c r="Y55" s="307"/>
      <c r="Z55" s="307"/>
      <c r="AA55" s="307"/>
      <c r="AB55" s="307"/>
      <c r="AC55" s="307"/>
      <c r="AD55" s="307"/>
      <c r="AE55" s="307"/>
      <c r="AF55" s="307"/>
      <c r="AG55" s="307"/>
      <c r="AH55" s="307"/>
      <c r="AI55" s="307"/>
      <c r="AJ55" s="307"/>
      <c r="AK55" s="307"/>
      <c r="AL55" s="307"/>
      <c r="AM55" s="307"/>
      <c r="AO55" s="151"/>
      <c r="AP55" s="151" t="str">
        <f t="shared" si="1"/>
        <v>Добавить централизованную систему для дифференциации</v>
      </c>
      <c r="AQ55" s="151"/>
      <c r="AR55" s="151"/>
      <c r="AS55" s="44">
        <v>1</v>
      </c>
    </row>
    <row r="56" s="44" customFormat="1" ht="1.05" customHeight="1" spans="1:45">
      <c r="A56" s="590" t="s">
        <v>154</v>
      </c>
      <c r="B56" s="590"/>
      <c r="C56" s="590"/>
      <c r="D56" s="590"/>
      <c r="E56" s="1052"/>
      <c r="F56" s="590"/>
      <c r="G56" s="590"/>
      <c r="H56" s="590"/>
      <c r="I56" s="590"/>
      <c r="J56" s="590"/>
      <c r="K56" s="590"/>
      <c r="L56" s="611"/>
      <c r="M56" s="1059"/>
      <c r="N56" s="1059"/>
      <c r="P56" s="152"/>
      <c r="Q56" s="1082"/>
      <c r="R56" s="152"/>
      <c r="S56" s="1084"/>
      <c r="T56" s="1085" t="s">
        <v>412</v>
      </c>
      <c r="U56" s="307"/>
      <c r="V56" s="307"/>
      <c r="W56" s="307"/>
      <c r="X56" s="307"/>
      <c r="Y56" s="307"/>
      <c r="Z56" s="307"/>
      <c r="AA56" s="307"/>
      <c r="AB56" s="307"/>
      <c r="AC56" s="307"/>
      <c r="AD56" s="307"/>
      <c r="AE56" s="307"/>
      <c r="AF56" s="307"/>
      <c r="AG56" s="307"/>
      <c r="AH56" s="307"/>
      <c r="AI56" s="307"/>
      <c r="AJ56" s="307"/>
      <c r="AK56" s="307"/>
      <c r="AL56" s="307"/>
      <c r="AM56" s="307"/>
      <c r="AO56" s="151"/>
      <c r="AP56" s="151" t="str">
        <f t="shared" si="1"/>
        <v>Добавить территорию для дифференциации</v>
      </c>
      <c r="AQ56" s="151"/>
      <c r="AR56" s="151"/>
      <c r="AS56" s="44">
        <v>1</v>
      </c>
    </row>
    <row r="57" s="44" customFormat="1" ht="1.05" customHeight="1" spans="1:45">
      <c r="A57" s="590"/>
      <c r="B57" s="590"/>
      <c r="C57" s="590"/>
      <c r="D57" s="590"/>
      <c r="E57" s="590"/>
      <c r="F57" s="590"/>
      <c r="G57" s="590"/>
      <c r="H57" s="590"/>
      <c r="I57" s="590"/>
      <c r="J57" s="590"/>
      <c r="K57" s="590"/>
      <c r="L57" s="611"/>
      <c r="M57" s="1059"/>
      <c r="N57" s="1059"/>
      <c r="P57" s="152"/>
      <c r="Q57" s="1082"/>
      <c r="R57" s="152"/>
      <c r="S57" s="1084"/>
      <c r="T57" s="1085" t="s">
        <v>440</v>
      </c>
      <c r="U57" s="307"/>
      <c r="V57" s="307"/>
      <c r="W57" s="307"/>
      <c r="X57" s="307"/>
      <c r="Y57" s="307"/>
      <c r="Z57" s="307"/>
      <c r="AA57" s="307"/>
      <c r="AB57" s="307"/>
      <c r="AC57" s="307"/>
      <c r="AD57" s="307"/>
      <c r="AE57" s="307"/>
      <c r="AF57" s="307"/>
      <c r="AG57" s="307"/>
      <c r="AH57" s="307"/>
      <c r="AI57" s="307"/>
      <c r="AJ57" s="307"/>
      <c r="AK57" s="307"/>
      <c r="AL57" s="307"/>
      <c r="AM57" s="307"/>
      <c r="AO57" s="151"/>
      <c r="AP57" s="151" t="str">
        <f t="shared" si="1"/>
        <v>Добавить наименование тарифа</v>
      </c>
      <c r="AQ57" s="151"/>
      <c r="AR57" s="151"/>
      <c r="AS57" s="44">
        <v>1</v>
      </c>
    </row>
    <row r="58" ht="11.55" customHeight="1" spans="13:45">
      <c r="M58" s="38"/>
      <c r="N58" s="38"/>
      <c r="O58" s="38"/>
      <c r="P58" s="43"/>
      <c r="Q58" s="43"/>
      <c r="R58" s="43"/>
      <c r="S58" s="43"/>
      <c r="AN58" s="43"/>
      <c r="AO58" s="43"/>
      <c r="AP58" s="43"/>
      <c r="AQ58" s="43"/>
      <c r="AR58" s="43"/>
      <c r="AS58" s="43">
        <v>11</v>
      </c>
    </row>
    <row r="59" ht="28.5" customHeight="1" spans="15:45">
      <c r="O59" s="38"/>
      <c r="S59" s="786"/>
      <c r="T59" s="120"/>
      <c r="U59" s="120"/>
      <c r="V59" s="120"/>
      <c r="W59" s="120"/>
      <c r="X59" s="120"/>
      <c r="Y59" s="120"/>
      <c r="Z59" s="120"/>
      <c r="AA59" s="120"/>
      <c r="AB59" s="120"/>
      <c r="AC59" s="120"/>
      <c r="AD59" s="120"/>
      <c r="AE59" s="120"/>
      <c r="AF59" s="120"/>
      <c r="AG59" s="120"/>
      <c r="AH59" s="120"/>
      <c r="AI59" s="120"/>
      <c r="AJ59" s="120"/>
      <c r="AK59" s="120"/>
      <c r="AL59" s="120"/>
      <c r="AM59" s="120"/>
      <c r="AS59" s="43">
        <v>27</v>
      </c>
    </row>
    <row r="60" ht="67.2" customHeight="1" spans="15:45">
      <c r="O60" s="38"/>
      <c r="T60" s="120"/>
      <c r="U60" s="120"/>
      <c r="V60" s="120"/>
      <c r="W60" s="120"/>
      <c r="X60" s="120"/>
      <c r="Y60" s="120"/>
      <c r="Z60" s="120"/>
      <c r="AA60" s="120"/>
      <c r="AB60" s="120"/>
      <c r="AC60" s="120"/>
      <c r="AD60" s="120"/>
      <c r="AE60" s="120"/>
      <c r="AF60" s="120"/>
      <c r="AG60" s="120"/>
      <c r="AH60" s="120"/>
      <c r="AI60" s="120"/>
      <c r="AJ60" s="120"/>
      <c r="AK60" s="120"/>
      <c r="AL60" s="120"/>
      <c r="AM60" s="120"/>
      <c r="AS60" s="43">
        <v>64</v>
      </c>
    </row>
    <row r="61" ht="14.7" customHeight="1" spans="15:45">
      <c r="O61" s="38"/>
      <c r="AS61" s="43">
        <v>14</v>
      </c>
    </row>
    <row r="62" ht="18.75" customHeight="1" spans="15:45">
      <c r="O62" s="38"/>
      <c r="S62" s="786"/>
      <c r="T62" s="120"/>
      <c r="U62" s="120"/>
      <c r="V62" s="120"/>
      <c r="W62" s="120"/>
      <c r="X62" s="120"/>
      <c r="Y62" s="120"/>
      <c r="Z62" s="120"/>
      <c r="AA62" s="120"/>
      <c r="AB62" s="120"/>
      <c r="AC62" s="120"/>
      <c r="AD62" s="120"/>
      <c r="AE62" s="120"/>
      <c r="AF62" s="120"/>
      <c r="AG62" s="120"/>
      <c r="AH62" s="120"/>
      <c r="AI62" s="120"/>
      <c r="AJ62" s="120"/>
      <c r="AK62" s="120"/>
      <c r="AL62" s="120"/>
      <c r="AM62" s="120"/>
      <c r="AS62" s="43">
        <v>18</v>
      </c>
    </row>
    <row r="63" ht="18.75" customHeight="1" spans="15:45">
      <c r="O63" s="38"/>
      <c r="T63" s="120"/>
      <c r="U63" s="120"/>
      <c r="V63" s="120"/>
      <c r="W63" s="120"/>
      <c r="X63" s="120"/>
      <c r="Y63" s="120"/>
      <c r="Z63" s="120"/>
      <c r="AA63" s="120"/>
      <c r="AB63" s="120"/>
      <c r="AC63" s="120"/>
      <c r="AD63" s="120"/>
      <c r="AE63" s="120"/>
      <c r="AF63" s="120"/>
      <c r="AG63" s="120"/>
      <c r="AH63" s="120"/>
      <c r="AI63" s="120"/>
      <c r="AJ63" s="120"/>
      <c r="AK63" s="120"/>
      <c r="AL63" s="120"/>
      <c r="AM63" s="120"/>
      <c r="AS63" s="43">
        <v>18</v>
      </c>
    </row>
    <row r="64" ht="29.25" customHeight="1" spans="15:45">
      <c r="O64" s="38"/>
      <c r="S64" s="786"/>
      <c r="T64" s="120"/>
      <c r="U64" s="120"/>
      <c r="V64" s="120"/>
      <c r="W64" s="120"/>
      <c r="X64" s="120"/>
      <c r="Y64" s="120"/>
      <c r="Z64" s="120"/>
      <c r="AA64" s="120"/>
      <c r="AB64" s="120"/>
      <c r="AC64" s="120"/>
      <c r="AD64" s="120"/>
      <c r="AE64" s="120"/>
      <c r="AF64" s="120"/>
      <c r="AG64" s="120"/>
      <c r="AH64" s="120"/>
      <c r="AI64" s="120"/>
      <c r="AJ64" s="120"/>
      <c r="AK64" s="120"/>
      <c r="AL64" s="120"/>
      <c r="AM64" s="120"/>
      <c r="AS64" s="43">
        <v>28</v>
      </c>
    </row>
    <row r="65" ht="22.5" hidden="1" customHeight="1" spans="1:45">
      <c r="A65" s="38" t="s">
        <v>83</v>
      </c>
      <c r="B65" s="38">
        <v>0</v>
      </c>
      <c r="C65" s="38">
        <v>0</v>
      </c>
      <c r="D65" s="38">
        <v>0</v>
      </c>
      <c r="E65" s="38">
        <v>0</v>
      </c>
      <c r="F65" s="38">
        <v>0</v>
      </c>
      <c r="G65" s="38">
        <v>0</v>
      </c>
      <c r="H65" s="38">
        <v>0</v>
      </c>
      <c r="I65" s="38">
        <v>0</v>
      </c>
      <c r="J65" s="38">
        <v>0</v>
      </c>
      <c r="K65" s="38">
        <v>0</v>
      </c>
      <c r="L65" s="48">
        <v>0</v>
      </c>
      <c r="M65" s="39">
        <v>0</v>
      </c>
      <c r="N65" s="39">
        <v>0</v>
      </c>
      <c r="O65" s="39">
        <v>0</v>
      </c>
      <c r="P65" s="40">
        <v>3</v>
      </c>
      <c r="Q65" s="41">
        <v>3</v>
      </c>
      <c r="R65" s="41">
        <v>3</v>
      </c>
      <c r="S65" s="42">
        <v>12</v>
      </c>
      <c r="T65" s="43">
        <v>35</v>
      </c>
      <c r="U65" s="43">
        <v>0</v>
      </c>
      <c r="V65" s="43">
        <v>0</v>
      </c>
      <c r="W65" s="43">
        <v>0</v>
      </c>
      <c r="X65" s="43">
        <v>0</v>
      </c>
      <c r="Y65" s="43">
        <v>0</v>
      </c>
      <c r="Z65" s="43">
        <v>0</v>
      </c>
      <c r="AA65" s="43">
        <v>0</v>
      </c>
      <c r="AB65" s="43">
        <v>0</v>
      </c>
      <c r="AC65" s="43">
        <v>0</v>
      </c>
      <c r="AD65" s="43">
        <v>24</v>
      </c>
      <c r="AE65" s="43">
        <v>0</v>
      </c>
      <c r="AF65" s="43">
        <v>24</v>
      </c>
      <c r="AG65" s="43">
        <v>24</v>
      </c>
      <c r="AH65" s="43">
        <v>11</v>
      </c>
      <c r="AI65" s="43">
        <v>3</v>
      </c>
      <c r="AJ65" s="43">
        <v>11</v>
      </c>
      <c r="AK65" s="43">
        <v>0</v>
      </c>
      <c r="AL65" s="43">
        <v>4</v>
      </c>
      <c r="AM65" s="43">
        <v>115</v>
      </c>
      <c r="AN65" s="44">
        <v>10</v>
      </c>
      <c r="AO65" s="44">
        <v>10</v>
      </c>
      <c r="AP65" s="44">
        <v>10</v>
      </c>
      <c r="AQ65" s="44">
        <v>10</v>
      </c>
      <c r="AR65" s="44">
        <v>10</v>
      </c>
      <c r="AS65" s="43">
        <v>23</v>
      </c>
    </row>
  </sheetData>
  <sheetProtection formatColumns="0" formatRows="0"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1" style="43" customWidth="1"/>
    <col min="21" max="21" width="0.142857142857143" style="43" customWidth="1"/>
    <col min="22" max="22" width="24.7142857142857" style="43" hidden="1" customWidth="1"/>
    <col min="23" max="23" width="0.142857142857143" style="43" hidden="1" customWidth="1"/>
    <col min="24" max="25" width="24.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24.7142857142857" style="43" customWidth="1"/>
    <col min="31" max="31" width="0.142857142857143" style="43" customWidth="1"/>
    <col min="32" max="33" width="24" style="43" customWidth="1"/>
    <col min="34" max="34" width="11" style="43" customWidth="1"/>
    <col min="35" max="35" width="3.71428571428571" style="43" customWidth="1"/>
    <col min="36" max="36" width="11" style="43" customWidth="1"/>
    <col min="37" max="37" width="8.57142857142857" style="43" hidden="1" customWidth="1"/>
    <col min="38" max="38" width="4" style="43" customWidth="1"/>
    <col min="39" max="39" width="115" style="43" customWidth="1"/>
    <col min="40" max="44" width="10" style="44" customWidth="1"/>
    <col min="45" max="45" width="10.5714285714286" style="43" hidden="1"/>
  </cols>
  <sheetData>
    <row r="1" ht="22.5" hidden="1" customHeight="1" spans="45:45">
      <c r="AS1" s="43" t="s">
        <v>14</v>
      </c>
    </row>
    <row r="2" ht="21" hidden="1" customHeight="1" spans="1:45">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61"/>
      <c r="AC2" s="1089"/>
      <c r="AD2" s="1090" t="e">
        <f>INDEX(PT_DIFFERENTIATION_NTAR,MATCH(A2,PT_DIFFERENTIATION_NTAR_ID,0))</f>
        <v>#N/A</v>
      </c>
      <c r="AE2" s="1061"/>
      <c r="AF2" s="1061"/>
      <c r="AG2" s="1061"/>
      <c r="AH2" s="1061"/>
      <c r="AI2" s="1061"/>
      <c r="AJ2" s="1061"/>
      <c r="AK2" s="1061"/>
      <c r="AL2" s="1089"/>
      <c r="AM2" s="136" t="s">
        <v>392</v>
      </c>
      <c r="AO2" s="151"/>
      <c r="AP2" s="151" t="str">
        <f t="shared" ref="AP2:AP15" si="0">IF(T2="","",T2)</f>
        <v>Наименование тарифа</v>
      </c>
      <c r="AQ2" s="151"/>
      <c r="AR2" s="151"/>
      <c r="AS2" s="43">
        <v>0</v>
      </c>
    </row>
    <row r="3" ht="21" hidden="1" customHeight="1" spans="1:45">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61"/>
      <c r="AC3" s="1089"/>
      <c r="AD3" s="1090" t="e">
        <f>INDEX(PT_DIFFERENTIATION_TER,MATCH(B3,PT_DIFFERENTIATION_TER_ID,0))</f>
        <v>#N/A</v>
      </c>
      <c r="AE3" s="1061"/>
      <c r="AF3" s="1061"/>
      <c r="AG3" s="1061"/>
      <c r="AH3" s="1061"/>
      <c r="AI3" s="1061"/>
      <c r="AJ3" s="1061"/>
      <c r="AK3" s="1061"/>
      <c r="AL3" s="1089"/>
      <c r="AM3" s="136" t="s">
        <v>394</v>
      </c>
      <c r="AO3" s="151"/>
      <c r="AP3" s="151" t="str">
        <f t="shared" si="0"/>
        <v>Территория действия тарифа</v>
      </c>
      <c r="AQ3" s="151"/>
      <c r="AR3" s="151"/>
      <c r="AS3" s="43">
        <v>0</v>
      </c>
    </row>
    <row r="4" ht="23.25" hidden="1" customHeight="1" spans="1:45">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395</v>
      </c>
      <c r="U4" s="84"/>
      <c r="V4" s="1090"/>
      <c r="W4" s="1061"/>
      <c r="X4" s="1061"/>
      <c r="Y4" s="1061"/>
      <c r="Z4" s="1061"/>
      <c r="AA4" s="1061"/>
      <c r="AB4" s="1061"/>
      <c r="AC4" s="1089"/>
      <c r="AD4" s="1090" t="e">
        <f>INDEX(PT_DIFFERENTIATION_CS,MATCH(C4,PT_DIFFERENTIATION_CS_ID,0))</f>
        <v>#N/A</v>
      </c>
      <c r="AE4" s="1061"/>
      <c r="AF4" s="1061"/>
      <c r="AG4" s="1061"/>
      <c r="AH4" s="1061"/>
      <c r="AI4" s="1061"/>
      <c r="AJ4" s="1061"/>
      <c r="AK4" s="1061"/>
      <c r="AL4" s="1089"/>
      <c r="AM4" s="136" t="s">
        <v>396</v>
      </c>
      <c r="AO4" s="151"/>
      <c r="AP4" s="151" t="str">
        <f t="shared" si="0"/>
        <v>Наименование системы теплоснабжения </v>
      </c>
      <c r="AQ4" s="151"/>
      <c r="AR4" s="151"/>
      <c r="AS4" s="43">
        <v>0</v>
      </c>
    </row>
    <row r="5" ht="21" hidden="1" customHeight="1" spans="1:45">
      <c r="A5" s="46"/>
      <c r="B5" s="46"/>
      <c r="C5" s="46"/>
      <c r="D5" s="46"/>
      <c r="E5" s="1053"/>
      <c r="F5" s="1053"/>
      <c r="G5" s="1053"/>
      <c r="H5" s="1052">
        <v>1</v>
      </c>
      <c r="I5" s="46"/>
      <c r="J5" s="46"/>
      <c r="K5" s="46"/>
      <c r="L5" s="1054"/>
      <c r="M5" s="47"/>
      <c r="N5" s="47"/>
      <c r="O5" s="47"/>
      <c r="P5" s="90"/>
      <c r="Q5" s="87"/>
      <c r="R5" s="88"/>
      <c r="S5" s="65" t="e">
        <f>INDEX(PT_DIFFERENTIATION_NUM_IST_TE,MATCH(D5,PT_DIFFERENTIATION_IST_TE_ID,0))</f>
        <v>#N/A</v>
      </c>
      <c r="T5" s="92" t="s">
        <v>397</v>
      </c>
      <c r="U5" s="84"/>
      <c r="V5" s="1090"/>
      <c r="W5" s="1061"/>
      <c r="X5" s="1061"/>
      <c r="Y5" s="1061"/>
      <c r="Z5" s="1061"/>
      <c r="AA5" s="1061"/>
      <c r="AB5" s="1061"/>
      <c r="AC5" s="1089"/>
      <c r="AD5" s="1090" t="e">
        <f>INDEX(PT_DIFFERENTIATION_IST_TE,MATCH(D5,PT_DIFFERENTIATION_IST_TE_ID,0))</f>
        <v>#N/A</v>
      </c>
      <c r="AE5" s="1061"/>
      <c r="AF5" s="1061"/>
      <c r="AG5" s="1061"/>
      <c r="AH5" s="1061"/>
      <c r="AI5" s="1061"/>
      <c r="AJ5" s="1061"/>
      <c r="AK5" s="1061"/>
      <c r="AL5" s="1089"/>
      <c r="AM5" s="136" t="s">
        <v>398</v>
      </c>
      <c r="AO5" s="151"/>
      <c r="AP5" s="151" t="str">
        <f t="shared" si="0"/>
        <v>Источник тепловой энергии  </v>
      </c>
      <c r="AQ5" s="151"/>
      <c r="AR5" s="151"/>
      <c r="AS5" s="43">
        <v>0</v>
      </c>
    </row>
    <row r="6" ht="47.25" hidden="1" customHeight="1" spans="1:45">
      <c r="A6" s="46"/>
      <c r="B6" s="46"/>
      <c r="C6" s="46"/>
      <c r="D6" s="46"/>
      <c r="E6" s="1053"/>
      <c r="F6" s="1053"/>
      <c r="G6" s="1053"/>
      <c r="H6" s="1053"/>
      <c r="I6" s="229" t="e">
        <f>S5&amp;".1"</f>
        <v>#N/A</v>
      </c>
      <c r="J6" s="46"/>
      <c r="K6" s="46"/>
      <c r="L6" s="1054" t="s">
        <v>399</v>
      </c>
      <c r="M6" s="38"/>
      <c r="P6" s="93">
        <v>1</v>
      </c>
      <c r="Q6" s="93"/>
      <c r="R6" s="94"/>
      <c r="S6" s="65" t="e">
        <f>$I6</f>
        <v>#N/A</v>
      </c>
      <c r="T6" s="95" t="s">
        <v>400</v>
      </c>
      <c r="U6" s="84"/>
      <c r="V6" s="99"/>
      <c r="W6" s="100"/>
      <c r="X6" s="100"/>
      <c r="Y6" s="100"/>
      <c r="Z6" s="100"/>
      <c r="AA6" s="100"/>
      <c r="AB6" s="100"/>
      <c r="AC6" s="137"/>
      <c r="AD6" s="99"/>
      <c r="AE6" s="100"/>
      <c r="AF6" s="100"/>
      <c r="AG6" s="100"/>
      <c r="AH6" s="100"/>
      <c r="AI6" s="100"/>
      <c r="AJ6" s="100"/>
      <c r="AK6" s="100"/>
      <c r="AL6" s="137"/>
      <c r="AM6" s="136" t="s">
        <v>401</v>
      </c>
      <c r="AO6" s="151"/>
      <c r="AP6" s="151" t="str">
        <f t="shared" si="0"/>
        <v>Схема подключения теплопотребляющей установки к коллектору источника тепловой энергии</v>
      </c>
      <c r="AQ6" s="151"/>
      <c r="AR6" s="151"/>
      <c r="AS6" s="43">
        <v>0</v>
      </c>
    </row>
    <row r="7" ht="21" hidden="1" customHeight="1" spans="1:45">
      <c r="A7" s="46"/>
      <c r="B7" s="46"/>
      <c r="C7" s="46"/>
      <c r="D7" s="46"/>
      <c r="E7" s="1053"/>
      <c r="F7" s="1053"/>
      <c r="G7" s="1053"/>
      <c r="H7" s="1053"/>
      <c r="I7" s="1058"/>
      <c r="J7" s="229" t="e">
        <f>I6&amp;".1"</f>
        <v>#N/A</v>
      </c>
      <c r="K7" s="46"/>
      <c r="L7" s="1054" t="s">
        <v>402</v>
      </c>
      <c r="M7" s="38"/>
      <c r="N7" s="38"/>
      <c r="P7" s="93"/>
      <c r="Q7" s="93">
        <v>1</v>
      </c>
      <c r="R7" s="97"/>
      <c r="S7" s="65" t="e">
        <f>$J7</f>
        <v>#N/A</v>
      </c>
      <c r="T7" s="98" t="s">
        <v>403</v>
      </c>
      <c r="U7" s="84"/>
      <c r="V7" s="99"/>
      <c r="W7" s="100"/>
      <c r="X7" s="100"/>
      <c r="Y7" s="100"/>
      <c r="Z7" s="100"/>
      <c r="AA7" s="100"/>
      <c r="AB7" s="100"/>
      <c r="AC7" s="137"/>
      <c r="AD7" s="99"/>
      <c r="AE7" s="100"/>
      <c r="AF7" s="100"/>
      <c r="AG7" s="100"/>
      <c r="AH7" s="100"/>
      <c r="AI7" s="100"/>
      <c r="AJ7" s="100"/>
      <c r="AK7" s="100"/>
      <c r="AL7" s="137"/>
      <c r="AM7" s="136" t="s">
        <v>404</v>
      </c>
      <c r="AO7" s="151"/>
      <c r="AP7" s="151" t="str">
        <f t="shared" si="0"/>
        <v>Группа потребителей</v>
      </c>
      <c r="AQ7" s="151"/>
      <c r="AR7" s="151"/>
      <c r="AS7" s="43">
        <v>0</v>
      </c>
    </row>
    <row r="8" ht="21" hidden="1" customHeight="1" spans="1:45">
      <c r="A8" s="46"/>
      <c r="B8" s="46"/>
      <c r="C8" s="46"/>
      <c r="D8" s="46"/>
      <c r="E8" s="1053"/>
      <c r="F8" s="1053"/>
      <c r="G8" s="1053"/>
      <c r="H8" s="1053"/>
      <c r="I8" s="1058"/>
      <c r="J8" s="1058"/>
      <c r="K8" s="229" t="e">
        <f>J7&amp;".1"</f>
        <v>#N/A</v>
      </c>
      <c r="L8" s="1054" t="s">
        <v>405</v>
      </c>
      <c r="M8" s="38"/>
      <c r="N8" s="38"/>
      <c r="O8" s="38"/>
      <c r="P8" s="93"/>
      <c r="Q8" s="93"/>
      <c r="R8" s="97">
        <v>1</v>
      </c>
      <c r="S8" s="65" t="e">
        <f>$K8</f>
        <v>#N/A</v>
      </c>
      <c r="T8" s="101"/>
      <c r="U8" s="84"/>
      <c r="V8" s="102"/>
      <c r="W8" s="103"/>
      <c r="X8" s="102"/>
      <c r="Y8" s="138"/>
      <c r="Z8" s="139"/>
      <c r="AA8" s="140" t="s">
        <v>66</v>
      </c>
      <c r="AB8" s="139"/>
      <c r="AC8" s="140" t="s">
        <v>66</v>
      </c>
      <c r="AD8" s="102"/>
      <c r="AE8" s="103"/>
      <c r="AF8" s="102"/>
      <c r="AG8" s="138"/>
      <c r="AH8" s="139"/>
      <c r="AI8" s="140" t="s">
        <v>66</v>
      </c>
      <c r="AJ8" s="139"/>
      <c r="AK8" s="140" t="s">
        <v>66</v>
      </c>
      <c r="AL8" s="103"/>
      <c r="AM8" s="141" t="s">
        <v>406</v>
      </c>
      <c r="AN8" s="44" t="e">
        <f>STRCHECKDATE(V9:AL9)</f>
        <v>#NAME?</v>
      </c>
      <c r="AO8" s="151"/>
      <c r="AP8" s="151" t="str">
        <f t="shared" si="0"/>
        <v/>
      </c>
      <c r="AQ8" s="151"/>
      <c r="AR8" s="151"/>
      <c r="AS8" s="43">
        <v>0</v>
      </c>
    </row>
    <row r="9" ht="0.75" hidden="1" customHeight="1" spans="1:45">
      <c r="A9" s="46"/>
      <c r="B9" s="46"/>
      <c r="C9" s="46"/>
      <c r="D9" s="46"/>
      <c r="E9" s="1053"/>
      <c r="F9" s="1053"/>
      <c r="G9" s="1053"/>
      <c r="H9" s="1053"/>
      <c r="I9" s="1058"/>
      <c r="J9" s="1058"/>
      <c r="K9" s="229"/>
      <c r="L9" s="1054"/>
      <c r="M9" s="38"/>
      <c r="N9" s="38"/>
      <c r="O9" s="38"/>
      <c r="P9" s="93"/>
      <c r="Q9" s="93"/>
      <c r="R9" s="97"/>
      <c r="S9" s="104"/>
      <c r="T9" s="84"/>
      <c r="U9" s="84"/>
      <c r="V9" s="103"/>
      <c r="W9" s="103"/>
      <c r="X9" s="103"/>
      <c r="Y9" s="142" t="str">
        <f>Z8&amp;"-"&amp;AB8</f>
        <v>-</v>
      </c>
      <c r="Z9" s="143"/>
      <c r="AA9" s="140"/>
      <c r="AB9" s="143"/>
      <c r="AC9" s="140"/>
      <c r="AD9" s="103"/>
      <c r="AE9" s="103"/>
      <c r="AF9" s="103"/>
      <c r="AG9" s="142" t="str">
        <f>AH8&amp;"-"&amp;AJ8</f>
        <v>-</v>
      </c>
      <c r="AH9" s="143"/>
      <c r="AI9" s="140"/>
      <c r="AJ9" s="143"/>
      <c r="AK9" s="140"/>
      <c r="AL9" s="103"/>
      <c r="AM9" s="144"/>
      <c r="AO9" s="151"/>
      <c r="AP9" s="151" t="str">
        <f t="shared" si="0"/>
        <v/>
      </c>
      <c r="AQ9" s="151"/>
      <c r="AR9" s="151"/>
      <c r="AS9" s="43">
        <v>0</v>
      </c>
    </row>
    <row r="10" ht="15" hidden="1" customHeight="1" spans="1:45">
      <c r="A10" s="46"/>
      <c r="B10" s="46"/>
      <c r="C10" s="46"/>
      <c r="D10" s="46"/>
      <c r="E10" s="1053"/>
      <c r="F10" s="1053"/>
      <c r="G10" s="1053"/>
      <c r="H10" s="1053"/>
      <c r="I10" s="1058"/>
      <c r="J10" s="229"/>
      <c r="K10" s="46"/>
      <c r="L10" s="1054"/>
      <c r="M10" s="38"/>
      <c r="N10" s="38"/>
      <c r="P10" s="93"/>
      <c r="Q10" s="93"/>
      <c r="R10" s="94"/>
      <c r="S10" s="105"/>
      <c r="T10" s="106" t="s">
        <v>407</v>
      </c>
      <c r="U10" s="107"/>
      <c r="V10" s="107"/>
      <c r="W10" s="107"/>
      <c r="X10" s="107"/>
      <c r="Y10" s="107"/>
      <c r="Z10" s="107"/>
      <c r="AA10" s="107"/>
      <c r="AB10" s="107"/>
      <c r="AC10" s="107"/>
      <c r="AD10" s="107"/>
      <c r="AE10" s="107"/>
      <c r="AF10" s="107"/>
      <c r="AG10" s="107"/>
      <c r="AH10" s="107"/>
      <c r="AI10" s="107"/>
      <c r="AJ10" s="107"/>
      <c r="AK10" s="107"/>
      <c r="AL10" s="145"/>
      <c r="AM10" s="146"/>
      <c r="AO10" s="151"/>
      <c r="AP10" s="151" t="str">
        <f t="shared" si="0"/>
        <v>Добавить вид теплоносителя (параметры теплоносителя)</v>
      </c>
      <c r="AQ10" s="151"/>
      <c r="AR10" s="151"/>
      <c r="AS10" s="43">
        <v>0</v>
      </c>
    </row>
    <row r="11" ht="15" hidden="1" customHeight="1" spans="1:45">
      <c r="A11" s="46"/>
      <c r="B11" s="46"/>
      <c r="C11" s="46"/>
      <c r="D11" s="46"/>
      <c r="E11" s="1053"/>
      <c r="F11" s="1053"/>
      <c r="G11" s="1053"/>
      <c r="H11" s="1053"/>
      <c r="I11" s="229"/>
      <c r="J11" s="46"/>
      <c r="K11" s="46"/>
      <c r="L11" s="1054"/>
      <c r="M11" s="38"/>
      <c r="P11" s="93"/>
      <c r="Q11" s="93"/>
      <c r="R11" s="94"/>
      <c r="S11" s="105"/>
      <c r="T11" s="108" t="s">
        <v>408</v>
      </c>
      <c r="U11" s="107"/>
      <c r="V11" s="107"/>
      <c r="W11" s="107"/>
      <c r="X11" s="107"/>
      <c r="Y11" s="107"/>
      <c r="Z11" s="107"/>
      <c r="AA11" s="107"/>
      <c r="AB11" s="107"/>
      <c r="AC11" s="147"/>
      <c r="AD11" s="107"/>
      <c r="AE11" s="107"/>
      <c r="AF11" s="107"/>
      <c r="AG11" s="107"/>
      <c r="AH11" s="107"/>
      <c r="AI11" s="107"/>
      <c r="AJ11" s="107"/>
      <c r="AK11" s="147"/>
      <c r="AL11" s="107"/>
      <c r="AM11" s="148"/>
      <c r="AO11" s="151"/>
      <c r="AP11" s="151" t="str">
        <f t="shared" si="0"/>
        <v>Добавить группу потребителей</v>
      </c>
      <c r="AQ11" s="151"/>
      <c r="AR11" s="151"/>
      <c r="AS11" s="43">
        <v>0</v>
      </c>
    </row>
    <row r="12" hidden="1" customHeight="1" spans="1:45">
      <c r="A12" s="46"/>
      <c r="B12" s="46"/>
      <c r="C12" s="46"/>
      <c r="D12" s="46"/>
      <c r="E12" s="1053"/>
      <c r="F12" s="1053"/>
      <c r="G12" s="1053"/>
      <c r="H12" s="1052"/>
      <c r="I12" s="46"/>
      <c r="J12" s="46"/>
      <c r="K12" s="46"/>
      <c r="L12" s="1054"/>
      <c r="M12" s="47"/>
      <c r="N12" s="47"/>
      <c r="O12" s="38"/>
      <c r="P12" s="81"/>
      <c r="Q12" s="109"/>
      <c r="R12" s="82"/>
      <c r="S12" s="105"/>
      <c r="T12" s="110" t="s">
        <v>409</v>
      </c>
      <c r="U12" s="107"/>
      <c r="V12" s="107"/>
      <c r="W12" s="107"/>
      <c r="X12" s="107"/>
      <c r="Y12" s="107"/>
      <c r="Z12" s="107"/>
      <c r="AA12" s="107"/>
      <c r="AB12" s="107"/>
      <c r="AC12" s="147"/>
      <c r="AD12" s="107"/>
      <c r="AE12" s="107"/>
      <c r="AF12" s="107"/>
      <c r="AG12" s="107"/>
      <c r="AH12" s="107"/>
      <c r="AI12" s="107"/>
      <c r="AJ12" s="107"/>
      <c r="AK12" s="147"/>
      <c r="AL12" s="107"/>
      <c r="AM12" s="148"/>
      <c r="AO12" s="151"/>
      <c r="AP12" s="151" t="str">
        <f t="shared" si="0"/>
        <v>Добавить схему подключения</v>
      </c>
      <c r="AQ12" s="151"/>
      <c r="AR12" s="151"/>
      <c r="AS12" s="43">
        <v>0</v>
      </c>
    </row>
    <row r="13" s="44" customFormat="1" ht="0.75" hidden="1" customHeight="1" spans="1:45">
      <c r="A13" s="590"/>
      <c r="B13" s="590"/>
      <c r="C13" s="590"/>
      <c r="D13" s="590"/>
      <c r="E13" s="1053"/>
      <c r="F13" s="1053"/>
      <c r="G13" s="1052"/>
      <c r="H13" s="590"/>
      <c r="I13" s="590"/>
      <c r="J13" s="590"/>
      <c r="K13" s="590"/>
      <c r="L13" s="611"/>
      <c r="M13" s="283"/>
      <c r="N13" s="283"/>
      <c r="P13" s="152"/>
      <c r="Q13" s="1082"/>
      <c r="R13" s="152"/>
      <c r="S13" s="1166"/>
      <c r="T13" s="1167" t="s">
        <v>410</v>
      </c>
      <c r="U13" s="1168"/>
      <c r="V13" s="1168"/>
      <c r="W13" s="1168"/>
      <c r="X13" s="1168"/>
      <c r="Y13" s="1168"/>
      <c r="Z13" s="1168"/>
      <c r="AA13" s="1168"/>
      <c r="AB13" s="1168"/>
      <c r="AC13" s="1168"/>
      <c r="AD13" s="1168"/>
      <c r="AE13" s="1168"/>
      <c r="AF13" s="1168"/>
      <c r="AG13" s="1168"/>
      <c r="AH13" s="1168"/>
      <c r="AI13" s="1168"/>
      <c r="AJ13" s="1168"/>
      <c r="AK13" s="1168"/>
      <c r="AL13" s="1168"/>
      <c r="AM13" s="1168"/>
      <c r="AO13" s="151"/>
      <c r="AP13" s="151" t="str">
        <f t="shared" si="0"/>
        <v>Добавить источник для дифференциации</v>
      </c>
      <c r="AQ13" s="151"/>
      <c r="AR13" s="151"/>
      <c r="AS13" s="44">
        <v>0</v>
      </c>
    </row>
    <row r="14" s="44" customFormat="1" ht="0.75" hidden="1" customHeight="1" spans="1:45">
      <c r="A14" s="590"/>
      <c r="B14" s="590"/>
      <c r="C14" s="590"/>
      <c r="D14" s="590"/>
      <c r="E14" s="1053"/>
      <c r="F14" s="1052"/>
      <c r="G14" s="590"/>
      <c r="H14" s="590"/>
      <c r="I14" s="590"/>
      <c r="J14" s="590"/>
      <c r="K14" s="590"/>
      <c r="L14" s="611"/>
      <c r="M14" s="1059"/>
      <c r="N14" s="1059"/>
      <c r="P14" s="152"/>
      <c r="Q14" s="1082"/>
      <c r="R14" s="152"/>
      <c r="S14" s="1084"/>
      <c r="T14" s="1169" t="s">
        <v>411</v>
      </c>
      <c r="U14" s="307"/>
      <c r="V14" s="307"/>
      <c r="W14" s="307"/>
      <c r="X14" s="307"/>
      <c r="Y14" s="307"/>
      <c r="Z14" s="307"/>
      <c r="AA14" s="307"/>
      <c r="AB14" s="307"/>
      <c r="AC14" s="307"/>
      <c r="AD14" s="307"/>
      <c r="AE14" s="307"/>
      <c r="AF14" s="307"/>
      <c r="AG14" s="307"/>
      <c r="AH14" s="307"/>
      <c r="AI14" s="307"/>
      <c r="AJ14" s="307"/>
      <c r="AK14" s="307"/>
      <c r="AL14" s="307"/>
      <c r="AM14" s="307"/>
      <c r="AO14" s="151"/>
      <c r="AP14" s="151" t="str">
        <f t="shared" si="0"/>
        <v>Добавить централизованную систему для дифференциации</v>
      </c>
      <c r="AQ14" s="151"/>
      <c r="AR14" s="151"/>
      <c r="AS14" s="44">
        <v>0</v>
      </c>
    </row>
    <row r="15" s="44" customFormat="1" ht="0.75" hidden="1" customHeight="1" spans="1:45">
      <c r="A15" s="590"/>
      <c r="B15" s="590"/>
      <c r="C15" s="590"/>
      <c r="D15" s="590"/>
      <c r="E15" s="1052"/>
      <c r="F15" s="590"/>
      <c r="G15" s="590"/>
      <c r="H15" s="590"/>
      <c r="I15" s="590"/>
      <c r="J15" s="590"/>
      <c r="K15" s="590"/>
      <c r="L15" s="611"/>
      <c r="M15" s="1059"/>
      <c r="N15" s="1059"/>
      <c r="P15" s="152"/>
      <c r="Q15" s="1082"/>
      <c r="R15" s="152"/>
      <c r="S15" s="1084"/>
      <c r="T15" s="1085" t="s">
        <v>412</v>
      </c>
      <c r="U15" s="307"/>
      <c r="V15" s="307"/>
      <c r="W15" s="307"/>
      <c r="X15" s="307"/>
      <c r="Y15" s="307"/>
      <c r="Z15" s="307"/>
      <c r="AA15" s="307"/>
      <c r="AB15" s="307"/>
      <c r="AC15" s="307"/>
      <c r="AD15" s="307"/>
      <c r="AE15" s="307"/>
      <c r="AF15" s="307"/>
      <c r="AG15" s="307"/>
      <c r="AH15" s="307"/>
      <c r="AI15" s="307"/>
      <c r="AJ15" s="307"/>
      <c r="AK15" s="307"/>
      <c r="AL15" s="307"/>
      <c r="AM15" s="307"/>
      <c r="AO15" s="151"/>
      <c r="AP15" s="151" t="str">
        <f t="shared" si="0"/>
        <v>Добавить территорию для дифференциации</v>
      </c>
      <c r="AQ15" s="151"/>
      <c r="AR15" s="151"/>
      <c r="AS15" s="44">
        <v>0</v>
      </c>
    </row>
    <row r="16" hidden="1" customHeight="1" spans="45:45">
      <c r="AS16" s="43">
        <v>0</v>
      </c>
    </row>
    <row r="17" hidden="1" customHeight="1" spans="30:45">
      <c r="AD17" s="492"/>
      <c r="AE17" s="492"/>
      <c r="AF17" s="492"/>
      <c r="AG17" s="1132"/>
      <c r="AH17" s="1133"/>
      <c r="AI17" s="353" t="s">
        <v>66</v>
      </c>
      <c r="AJ17" s="1133"/>
      <c r="AK17" s="353" t="s">
        <v>66</v>
      </c>
      <c r="AS17" s="43">
        <v>0</v>
      </c>
    </row>
    <row r="18" hidden="1" customHeight="1" spans="30:45">
      <c r="AD18" s="492"/>
      <c r="AE18" s="492"/>
      <c r="AF18" s="492"/>
      <c r="AG18" s="142" t="str">
        <f>AH17&amp;"-"&amp;AJ17</f>
        <v>-</v>
      </c>
      <c r="AH18" s="353"/>
      <c r="AI18" s="353"/>
      <c r="AJ18" s="353"/>
      <c r="AK18" s="353"/>
      <c r="AS18" s="43">
        <v>0</v>
      </c>
    </row>
    <row r="19" hidden="1" customHeight="1" spans="45:45">
      <c r="AS19" s="43">
        <v>0</v>
      </c>
    </row>
    <row r="20" s="38" customFormat="1" ht="22.5" hidden="1" customHeight="1" spans="12:45">
      <c r="L20" s="48"/>
      <c r="M20" s="39"/>
      <c r="N20" s="39"/>
      <c r="O20" s="1060" t="s">
        <v>413</v>
      </c>
      <c r="P20" s="39"/>
      <c r="Q20" s="1051"/>
      <c r="R20" s="1051"/>
      <c r="S20" s="47"/>
      <c r="Z20" s="1060"/>
      <c r="AB20" s="1060"/>
      <c r="AH20" s="1060"/>
      <c r="AJ20" s="1060"/>
      <c r="AN20" s="44"/>
      <c r="AO20" s="44"/>
      <c r="AP20" s="44"/>
      <c r="AQ20" s="44"/>
      <c r="AR20" s="44"/>
      <c r="AS20" s="38">
        <v>0</v>
      </c>
    </row>
    <row r="21" s="38" customFormat="1" hidden="1" customHeight="1" spans="12:45">
      <c r="L21" s="48"/>
      <c r="M21" s="39"/>
      <c r="N21" s="39"/>
      <c r="O21" s="39"/>
      <c r="P21" s="39"/>
      <c r="Q21" s="1051"/>
      <c r="R21" s="1051"/>
      <c r="S21" s="47"/>
      <c r="AN21" s="44"/>
      <c r="AO21" s="44"/>
      <c r="AP21" s="44"/>
      <c r="AQ21" s="44"/>
      <c r="AR21" s="44"/>
      <c r="AS21" s="38">
        <v>0</v>
      </c>
    </row>
    <row r="22" s="38" customFormat="1" hidden="1" customHeight="1" spans="12:45">
      <c r="L22" s="48"/>
      <c r="M22" s="39"/>
      <c r="N22" s="39"/>
      <c r="O22" s="1054" t="s">
        <v>414</v>
      </c>
      <c r="P22" s="39"/>
      <c r="Q22" s="1051"/>
      <c r="R22" s="1051"/>
      <c r="S22" s="47"/>
      <c r="T22" s="38" t="s">
        <v>415</v>
      </c>
      <c r="AA22" s="45" t="s">
        <v>416</v>
      </c>
      <c r="AC22" s="45" t="s">
        <v>417</v>
      </c>
      <c r="AD22" s="38" t="s">
        <v>415</v>
      </c>
      <c r="AI22" s="45" t="s">
        <v>418</v>
      </c>
      <c r="AK22" s="45" t="s">
        <v>417</v>
      </c>
      <c r="AN22" s="44"/>
      <c r="AO22" s="44"/>
      <c r="AP22" s="44"/>
      <c r="AQ22" s="44"/>
      <c r="AR22" s="44"/>
      <c r="AS22" s="38">
        <v>0</v>
      </c>
    </row>
    <row r="23" hidden="1" customHeight="1" spans="15:45">
      <c r="O23" s="1054"/>
      <c r="AS23" s="43">
        <v>0</v>
      </c>
    </row>
    <row r="24" hidden="1" customHeight="1" spans="15:45">
      <c r="O24" s="1054"/>
      <c r="AS24" s="43">
        <v>0</v>
      </c>
    </row>
    <row r="25" ht="14.7" customHeight="1" spans="17:45">
      <c r="Q25" s="51"/>
      <c r="R25" s="51"/>
      <c r="S25" s="52"/>
      <c r="T25" s="53"/>
      <c r="U25" s="53"/>
      <c r="AS25" s="43">
        <v>14</v>
      </c>
    </row>
    <row r="26" ht="14.7" customHeight="1" spans="17:45">
      <c r="Q26" s="51"/>
      <c r="R26" s="51"/>
      <c r="S26" s="7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755"/>
      <c r="U26" s="755"/>
      <c r="V26" s="755"/>
      <c r="W26" s="755"/>
      <c r="X26" s="755"/>
      <c r="Y26" s="755"/>
      <c r="Z26" s="755"/>
      <c r="AA26" s="755"/>
      <c r="AB26" s="755"/>
      <c r="AC26" s="755"/>
      <c r="AD26" s="755"/>
      <c r="AE26" s="755"/>
      <c r="AF26" s="755"/>
      <c r="AG26" s="755"/>
      <c r="AH26" s="755"/>
      <c r="AI26" s="755"/>
      <c r="AJ26" s="755"/>
      <c r="AK26" s="121"/>
      <c r="AS26" s="43">
        <v>14</v>
      </c>
    </row>
    <row r="27" ht="14.7" customHeight="1" spans="17:45">
      <c r="Q27" s="51"/>
      <c r="R27" s="51"/>
      <c r="S27" s="660" t="str">
        <f>IF(org=0,"Не определено",org)</f>
        <v>АО "Теплокоммунэнерго"</v>
      </c>
      <c r="T27" s="660"/>
      <c r="U27" s="660"/>
      <c r="V27" s="660"/>
      <c r="W27" s="660"/>
      <c r="X27" s="660"/>
      <c r="Y27" s="660"/>
      <c r="Z27" s="660"/>
      <c r="AA27" s="660"/>
      <c r="AB27" s="660"/>
      <c r="AC27" s="660"/>
      <c r="AD27" s="660"/>
      <c r="AE27" s="660"/>
      <c r="AF27" s="660"/>
      <c r="AG27" s="660"/>
      <c r="AH27" s="660"/>
      <c r="AI27" s="660"/>
      <c r="AJ27" s="660"/>
      <c r="AK27" s="121"/>
      <c r="AS27" s="43">
        <v>14</v>
      </c>
    </row>
    <row r="28" hidden="1" customHeight="1" spans="17:45">
      <c r="Q28" s="51"/>
      <c r="R28" s="51"/>
      <c r="S28" s="52"/>
      <c r="T28" s="53"/>
      <c r="U28" s="53"/>
      <c r="V28" s="56"/>
      <c r="W28" s="56"/>
      <c r="X28" s="56"/>
      <c r="Y28" s="56"/>
      <c r="Z28" s="56"/>
      <c r="AA28" s="56"/>
      <c r="AB28" s="56"/>
      <c r="AC28" s="56"/>
      <c r="AD28" s="56"/>
      <c r="AE28" s="56"/>
      <c r="AF28" s="56"/>
      <c r="AG28" s="56"/>
      <c r="AH28" s="56"/>
      <c r="AI28" s="56"/>
      <c r="AJ28" s="56"/>
      <c r="AK28" s="56"/>
      <c r="AS28" s="43">
        <v>0</v>
      </c>
    </row>
    <row r="29" s="36" customFormat="1" ht="25.5" hidden="1" customHeight="1" spans="1:45">
      <c r="A29" s="45"/>
      <c r="B29" s="45"/>
      <c r="C29" s="45"/>
      <c r="D29" s="45"/>
      <c r="E29" s="45"/>
      <c r="F29" s="45"/>
      <c r="G29" s="45"/>
      <c r="H29" s="45"/>
      <c r="I29" s="45"/>
      <c r="J29" s="45"/>
      <c r="K29" s="45"/>
      <c r="L29" s="1054"/>
      <c r="M29" s="45"/>
      <c r="N29" s="45"/>
      <c r="O29" s="45"/>
      <c r="S29"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58"/>
      <c r="U29" s="1088"/>
      <c r="V29" s="60" t="str">
        <f>IF(TITLE_NAME_OR_PR_CHANGE="",IF(TITLE_NAME_OR_PR="","",TITLE_NAME_OR_PR),TITLE_NAME_OR_PR_CHANGE)</f>
        <v/>
      </c>
      <c r="W29" s="60"/>
      <c r="X29" s="60"/>
      <c r="Y29" s="60"/>
      <c r="Z29" s="60"/>
      <c r="AA29" s="60"/>
      <c r="AB29" s="60"/>
      <c r="AC29" s="43"/>
      <c r="AD29" s="60" t="str">
        <f>IF(TITLE_NAME_OR_PR_CHANGE="",IF(TITLE_NAME_OR_PR="","",TITLE_NAME_OR_PR),TITLE_NAME_OR_PR_CHANGE)</f>
        <v/>
      </c>
      <c r="AE29" s="60"/>
      <c r="AF29" s="60"/>
      <c r="AG29" s="60"/>
      <c r="AH29" s="60"/>
      <c r="AI29" s="60"/>
      <c r="AJ29" s="60"/>
      <c r="AK29" s="43"/>
      <c r="AL29" s="43"/>
      <c r="AM29" s="122"/>
      <c r="AN29" s="151"/>
      <c r="AO29" s="151"/>
      <c r="AP29" s="151"/>
      <c r="AQ29" s="151"/>
      <c r="AR29" s="151"/>
      <c r="AS29" s="36">
        <v>0</v>
      </c>
    </row>
    <row r="30" s="36" customFormat="1" ht="18.75" hidden="1" customHeight="1" spans="1:45">
      <c r="A30" s="45"/>
      <c r="B30" s="45"/>
      <c r="C30" s="45"/>
      <c r="D30" s="45"/>
      <c r="E30" s="45"/>
      <c r="F30" s="45"/>
      <c r="G30" s="45"/>
      <c r="H30" s="45"/>
      <c r="I30" s="45"/>
      <c r="J30" s="45"/>
      <c r="K30" s="45"/>
      <c r="L30" s="1054"/>
      <c r="M30" s="45"/>
      <c r="N30" s="45"/>
      <c r="O30" s="45"/>
      <c r="S30" s="58" t="str">
        <f>"Дата документа об "&amp;IF(TITLE_DATE_PR_CHANGE="","утверждении","изменении")&amp;" тарифов"</f>
        <v>Дата документа об утверждении тарифов</v>
      </c>
      <c r="T30" s="58"/>
      <c r="U30" s="1088"/>
      <c r="V30" s="793" t="str">
        <f>IF(TITLE_DATE_PR_CHANGE="",IF(TITLE_DATE_PR="","",TITLE_DATE_PR),TITLE_DATE_PR_CHANGE)</f>
        <v/>
      </c>
      <c r="W30" s="793"/>
      <c r="X30" s="793"/>
      <c r="Y30" s="793"/>
      <c r="Z30" s="793"/>
      <c r="AA30" s="793"/>
      <c r="AB30" s="793"/>
      <c r="AC30" s="43"/>
      <c r="AD30" s="793" t="str">
        <f>IF(TITLE_DATE_PR_CHANGE="",IF(TITLE_DATE_PR="","",TITLE_DATE_PR),TITLE_DATE_PR_CHANGE)</f>
        <v/>
      </c>
      <c r="AE30" s="793"/>
      <c r="AF30" s="793"/>
      <c r="AG30" s="793"/>
      <c r="AH30" s="793"/>
      <c r="AI30" s="793"/>
      <c r="AJ30" s="793"/>
      <c r="AK30" s="43"/>
      <c r="AL30" s="43"/>
      <c r="AM30" s="122"/>
      <c r="AN30" s="151"/>
      <c r="AO30" s="151"/>
      <c r="AP30" s="151"/>
      <c r="AQ30" s="151"/>
      <c r="AR30" s="151"/>
      <c r="AS30" s="36">
        <v>0</v>
      </c>
    </row>
    <row r="31" s="36" customFormat="1" ht="18.75" hidden="1" customHeight="1" spans="1:45">
      <c r="A31" s="45"/>
      <c r="B31" s="45"/>
      <c r="C31" s="45"/>
      <c r="D31" s="45"/>
      <c r="E31" s="45"/>
      <c r="F31" s="45"/>
      <c r="G31" s="45"/>
      <c r="H31" s="45"/>
      <c r="I31" s="45"/>
      <c r="J31" s="45"/>
      <c r="K31" s="45"/>
      <c r="L31" s="1054"/>
      <c r="M31" s="45"/>
      <c r="N31" s="45"/>
      <c r="O31" s="45"/>
      <c r="S31" s="58" t="str">
        <f>"Номер документа об "&amp;IF(TITLE_DATE_PR_CHANGE="","утверждении","изменении")&amp;" тарифов"</f>
        <v>Номер документа об утверждении тарифов</v>
      </c>
      <c r="T31" s="58"/>
      <c r="U31" s="1088"/>
      <c r="V31" s="60" t="str">
        <f>IF(TITLE_NUMBER_PR_CHANGE="",IF(TITLE_NUMBER_PR="","",TITLE_NUMBER_PR),TITLE_NUMBER_PR_CHANGE)</f>
        <v/>
      </c>
      <c r="W31" s="60"/>
      <c r="X31" s="60"/>
      <c r="Y31" s="60"/>
      <c r="Z31" s="60"/>
      <c r="AA31" s="60"/>
      <c r="AB31" s="60"/>
      <c r="AC31" s="43"/>
      <c r="AD31" s="60" t="str">
        <f>IF(TITLE_NUMBER_PR_CHANGE="",IF(TITLE_NUMBER_PR="","",TITLE_NUMBER_PR),TITLE_NUMBER_PR_CHANGE)</f>
        <v/>
      </c>
      <c r="AE31" s="60"/>
      <c r="AF31" s="60"/>
      <c r="AG31" s="60"/>
      <c r="AH31" s="60"/>
      <c r="AI31" s="60"/>
      <c r="AJ31" s="60"/>
      <c r="AK31" s="43"/>
      <c r="AL31" s="43"/>
      <c r="AM31" s="122"/>
      <c r="AN31" s="151"/>
      <c r="AO31" s="151"/>
      <c r="AP31" s="151"/>
      <c r="AQ31" s="151"/>
      <c r="AR31" s="151"/>
      <c r="AS31" s="36">
        <v>0</v>
      </c>
    </row>
    <row r="32" s="36" customFormat="1" ht="18.75" hidden="1" customHeight="1" spans="1:45">
      <c r="A32" s="45"/>
      <c r="B32" s="45"/>
      <c r="C32" s="45"/>
      <c r="D32" s="45"/>
      <c r="E32" s="45"/>
      <c r="F32" s="45"/>
      <c r="G32" s="45"/>
      <c r="H32" s="45"/>
      <c r="I32" s="45"/>
      <c r="J32" s="45"/>
      <c r="K32" s="45"/>
      <c r="L32" s="1054"/>
      <c r="M32" s="45"/>
      <c r="N32" s="45"/>
      <c r="O32" s="45"/>
      <c r="S32" s="58" t="s">
        <v>43</v>
      </c>
      <c r="T32" s="58"/>
      <c r="U32" s="1088"/>
      <c r="V32" s="60" t="str">
        <f>IF(TITLE_IST_PUB_CHANGE="",IF(TITLE_IST_PUB="","",TITLE_IST_PUB),TITLE_IST_PUB_CHANGE)</f>
        <v/>
      </c>
      <c r="W32" s="60"/>
      <c r="X32" s="60"/>
      <c r="Y32" s="60"/>
      <c r="Z32" s="60"/>
      <c r="AA32" s="60"/>
      <c r="AB32" s="60"/>
      <c r="AC32" s="43"/>
      <c r="AD32" s="60" t="str">
        <f>IF(TITLE_IST_PUB_CHANGE="",IF(TITLE_IST_PUB="","",TITLE_IST_PUB),TITLE_IST_PUB_CHANGE)</f>
        <v/>
      </c>
      <c r="AE32" s="60"/>
      <c r="AF32" s="60"/>
      <c r="AG32" s="60"/>
      <c r="AH32" s="60"/>
      <c r="AI32" s="60"/>
      <c r="AJ32" s="60"/>
      <c r="AK32" s="43"/>
      <c r="AL32" s="43"/>
      <c r="AM32" s="122"/>
      <c r="AN32" s="151"/>
      <c r="AO32" s="151"/>
      <c r="AP32" s="151"/>
      <c r="AQ32" s="151"/>
      <c r="AR32" s="151"/>
      <c r="AS32" s="36">
        <v>0</v>
      </c>
    </row>
    <row r="33" hidden="1" customHeight="1" spans="17:45">
      <c r="Q33" s="51"/>
      <c r="R33" s="51"/>
      <c r="S33" s="52"/>
      <c r="T33" s="53"/>
      <c r="U33" s="53"/>
      <c r="V33" s="56"/>
      <c r="W33" s="56"/>
      <c r="X33" s="56"/>
      <c r="Y33" s="56"/>
      <c r="Z33" s="56"/>
      <c r="AA33" s="56"/>
      <c r="AB33" s="56"/>
      <c r="AC33" s="56"/>
      <c r="AD33" s="56"/>
      <c r="AE33" s="56"/>
      <c r="AF33" s="56"/>
      <c r="AG33" s="56"/>
      <c r="AH33" s="56"/>
      <c r="AI33" s="56"/>
      <c r="AJ33" s="56"/>
      <c r="AK33" s="56"/>
      <c r="AS33" s="43">
        <v>0</v>
      </c>
    </row>
    <row r="34" s="36" customFormat="1" ht="18.75" hidden="1" customHeight="1" spans="1:45">
      <c r="A34" s="45"/>
      <c r="B34" s="45"/>
      <c r="C34" s="45"/>
      <c r="D34" s="45"/>
      <c r="E34" s="45"/>
      <c r="F34" s="45"/>
      <c r="G34" s="45"/>
      <c r="H34" s="45"/>
      <c r="I34" s="45"/>
      <c r="J34" s="45"/>
      <c r="K34" s="45"/>
      <c r="L34" s="1054"/>
      <c r="M34" s="45"/>
      <c r="N34" s="45"/>
      <c r="O34" s="45"/>
      <c r="S34" s="58" t="str">
        <f>"Дата подачи заявления об "&amp;IF(TITLE_DATE_PR_CHANGE="","утверждении","изменении")&amp;" тарифов"</f>
        <v>Дата подачи заявления об утверждении тарифов</v>
      </c>
      <c r="T34" s="58"/>
      <c r="U34" s="1088"/>
      <c r="V34" s="793" t="str">
        <f>IF(TITLE_DATE_PR_CHANGE="",IF(TITLE_DATE_PR="","",TITLE_DATE_PR),TITLE_DATE_PR_CHANGE)</f>
        <v/>
      </c>
      <c r="W34" s="793"/>
      <c r="X34" s="793"/>
      <c r="Y34" s="793"/>
      <c r="Z34" s="793"/>
      <c r="AA34" s="793"/>
      <c r="AB34" s="793"/>
      <c r="AC34" s="43"/>
      <c r="AD34" s="793" t="str">
        <f>IF(TITLE_DATE_PR_CHANGE="",IF(TITLE_DATE_PR="","",TITLE_DATE_PR),TITLE_DATE_PR_CHANGE)</f>
        <v/>
      </c>
      <c r="AE34" s="793"/>
      <c r="AF34" s="793"/>
      <c r="AG34" s="793"/>
      <c r="AH34" s="793"/>
      <c r="AI34" s="793"/>
      <c r="AJ34" s="793"/>
      <c r="AK34" s="43"/>
      <c r="AL34" s="43"/>
      <c r="AM34" s="122"/>
      <c r="AN34" s="151"/>
      <c r="AO34" s="151"/>
      <c r="AP34" s="151"/>
      <c r="AQ34" s="151"/>
      <c r="AR34" s="151"/>
      <c r="AS34" s="36">
        <v>0</v>
      </c>
    </row>
    <row r="35" s="36" customFormat="1" ht="18.75" hidden="1" customHeight="1" spans="1:45">
      <c r="A35" s="45"/>
      <c r="B35" s="45"/>
      <c r="C35" s="45"/>
      <c r="D35" s="45"/>
      <c r="E35" s="45"/>
      <c r="F35" s="45"/>
      <c r="G35" s="45"/>
      <c r="H35" s="45"/>
      <c r="I35" s="45"/>
      <c r="J35" s="45"/>
      <c r="K35" s="45"/>
      <c r="L35" s="1054"/>
      <c r="M35" s="45"/>
      <c r="N35" s="45"/>
      <c r="O35" s="45"/>
      <c r="S35" s="58" t="str">
        <f>"Номер подачи заявления об "&amp;IF(TITLE_DATE_PR_CHANGE="","утверждении","изменении")&amp;" тарифов"</f>
        <v>Номер подачи заявления об утверждении тарифов</v>
      </c>
      <c r="T35" s="58"/>
      <c r="U35" s="1088"/>
      <c r="V35" s="60" t="str">
        <f>IF(TITLE_NUMBER_PR_CHANGE="",IF(TITLE_NUMBER_PR="","",TITLE_NUMBER_PR),TITLE_NUMBER_PR_CHANGE)</f>
        <v/>
      </c>
      <c r="W35" s="60"/>
      <c r="X35" s="60"/>
      <c r="Y35" s="60"/>
      <c r="Z35" s="60"/>
      <c r="AA35" s="60"/>
      <c r="AB35" s="60"/>
      <c r="AC35" s="43"/>
      <c r="AD35" s="60" t="str">
        <f>IF(TITLE_NUMBER_PR_CHANGE="",IF(TITLE_NUMBER_PR="","",TITLE_NUMBER_PR),TITLE_NUMBER_PR_CHANGE)</f>
        <v/>
      </c>
      <c r="AE35" s="60"/>
      <c r="AF35" s="60"/>
      <c r="AG35" s="60"/>
      <c r="AH35" s="60"/>
      <c r="AI35" s="60"/>
      <c r="AJ35" s="60"/>
      <c r="AK35" s="43"/>
      <c r="AL35" s="43"/>
      <c r="AM35" s="122"/>
      <c r="AN35" s="151"/>
      <c r="AO35" s="151"/>
      <c r="AP35" s="151"/>
      <c r="AQ35" s="151"/>
      <c r="AR35" s="151"/>
      <c r="AS35" s="36">
        <v>0</v>
      </c>
    </row>
    <row r="36" s="36" customFormat="1" hidden="1" customHeight="1" spans="1:45">
      <c r="A36" s="45"/>
      <c r="B36" s="45"/>
      <c r="C36" s="45"/>
      <c r="D36" s="45"/>
      <c r="E36" s="45"/>
      <c r="F36" s="45"/>
      <c r="G36" s="45"/>
      <c r="H36" s="45"/>
      <c r="I36" s="45"/>
      <c r="J36" s="45"/>
      <c r="K36" s="45"/>
      <c r="L36" s="1054"/>
      <c r="M36" s="45"/>
      <c r="N36" s="45"/>
      <c r="O36" s="45"/>
      <c r="S36" s="43"/>
      <c r="T36" s="43"/>
      <c r="U36" s="61"/>
      <c r="V36" s="43"/>
      <c r="W36" s="43"/>
      <c r="X36" s="43"/>
      <c r="Y36" s="43"/>
      <c r="Z36" s="43"/>
      <c r="AA36" s="43"/>
      <c r="AB36" s="43"/>
      <c r="AC36" s="44" t="s">
        <v>419</v>
      </c>
      <c r="AD36" s="43"/>
      <c r="AE36" s="43"/>
      <c r="AF36" s="43"/>
      <c r="AG36" s="43"/>
      <c r="AH36" s="43"/>
      <c r="AI36" s="43"/>
      <c r="AJ36" s="43"/>
      <c r="AK36" s="44" t="s">
        <v>419</v>
      </c>
      <c r="AN36" s="151"/>
      <c r="AO36" s="151"/>
      <c r="AP36" s="151"/>
      <c r="AQ36" s="151"/>
      <c r="AR36" s="151"/>
      <c r="AS36" s="36">
        <v>0</v>
      </c>
    </row>
    <row r="37" ht="14.7" customHeight="1" spans="17:45">
      <c r="Q37" s="51"/>
      <c r="R37" s="51"/>
      <c r="S37" s="52"/>
      <c r="T37" s="53"/>
      <c r="U37" s="62"/>
      <c r="V37" s="63"/>
      <c r="W37" s="63"/>
      <c r="X37" s="63"/>
      <c r="Y37" s="63"/>
      <c r="Z37" s="63"/>
      <c r="AA37" s="63"/>
      <c r="AB37" s="63"/>
      <c r="AC37" s="63"/>
      <c r="AD37" s="63"/>
      <c r="AE37" s="63"/>
      <c r="AF37" s="63"/>
      <c r="AG37" s="63"/>
      <c r="AH37" s="63"/>
      <c r="AI37" s="63"/>
      <c r="AJ37" s="63"/>
      <c r="AK37" s="63"/>
      <c r="AS37" s="43">
        <v>14</v>
      </c>
    </row>
    <row r="38" ht="14.7" customHeight="1" spans="17:45">
      <c r="Q38" s="51"/>
      <c r="R38" s="51"/>
      <c r="S38" s="64" t="s">
        <v>296</v>
      </c>
      <c r="T38" s="64"/>
      <c r="U38" s="64"/>
      <c r="V38" s="64"/>
      <c r="W38" s="64"/>
      <c r="X38" s="64"/>
      <c r="Y38" s="64"/>
      <c r="Z38" s="64"/>
      <c r="AA38" s="64"/>
      <c r="AB38" s="64"/>
      <c r="AC38" s="64"/>
      <c r="AD38" s="64"/>
      <c r="AE38" s="64"/>
      <c r="AF38" s="64"/>
      <c r="AG38" s="64"/>
      <c r="AH38" s="64"/>
      <c r="AI38" s="64"/>
      <c r="AJ38" s="64"/>
      <c r="AK38" s="64"/>
      <c r="AL38" s="64"/>
      <c r="AM38" s="64" t="s">
        <v>297</v>
      </c>
      <c r="AS38" s="43">
        <v>14</v>
      </c>
    </row>
    <row r="39" ht="14.7" customHeight="1" spans="17:45">
      <c r="Q39" s="51"/>
      <c r="R39" s="51"/>
      <c r="S39" s="65" t="s">
        <v>89</v>
      </c>
      <c r="T39" s="66" t="s">
        <v>420</v>
      </c>
      <c r="U39" s="67"/>
      <c r="V39" s="68" t="s">
        <v>421</v>
      </c>
      <c r="W39" s="69"/>
      <c r="X39" s="69"/>
      <c r="Y39" s="69"/>
      <c r="Z39" s="69"/>
      <c r="AA39" s="69"/>
      <c r="AB39" s="123"/>
      <c r="AC39" s="124" t="s">
        <v>422</v>
      </c>
      <c r="AD39" s="68" t="s">
        <v>421</v>
      </c>
      <c r="AE39" s="69"/>
      <c r="AF39" s="69"/>
      <c r="AG39" s="69"/>
      <c r="AH39" s="69"/>
      <c r="AI39" s="69"/>
      <c r="AJ39" s="123"/>
      <c r="AK39" s="124" t="s">
        <v>423</v>
      </c>
      <c r="AL39" s="125" t="s">
        <v>424</v>
      </c>
      <c r="AM39" s="64"/>
      <c r="AS39" s="43">
        <v>14</v>
      </c>
    </row>
    <row r="40" ht="35.7" customHeight="1" spans="17:45">
      <c r="Q40" s="51"/>
      <c r="R40" s="51"/>
      <c r="S40" s="65"/>
      <c r="T40" s="66"/>
      <c r="U40" s="70"/>
      <c r="V40" s="71" t="s">
        <v>425</v>
      </c>
      <c r="W40" s="1181" t="s">
        <v>426</v>
      </c>
      <c r="X40" s="126" t="s">
        <v>427</v>
      </c>
      <c r="Y40" s="127"/>
      <c r="Z40" s="126" t="s">
        <v>441</v>
      </c>
      <c r="AA40" s="128"/>
      <c r="AB40" s="127"/>
      <c r="AC40" s="129"/>
      <c r="AD40" s="71" t="s">
        <v>425</v>
      </c>
      <c r="AE40" s="1181" t="s">
        <v>426</v>
      </c>
      <c r="AF40" s="126" t="s">
        <v>427</v>
      </c>
      <c r="AG40" s="127"/>
      <c r="AH40" s="126" t="s">
        <v>428</v>
      </c>
      <c r="AI40" s="128"/>
      <c r="AJ40" s="127"/>
      <c r="AK40" s="129"/>
      <c r="AL40" s="130"/>
      <c r="AM40" s="64"/>
      <c r="AS40" s="43">
        <v>34</v>
      </c>
    </row>
    <row r="41" ht="35.7" customHeight="1" spans="1:45">
      <c r="A41" s="45"/>
      <c r="B41" s="45" t="s">
        <v>133</v>
      </c>
      <c r="C41" s="45" t="s">
        <v>134</v>
      </c>
      <c r="D41" s="45" t="s">
        <v>135</v>
      </c>
      <c r="E41" s="1054" t="s">
        <v>429</v>
      </c>
      <c r="F41" s="1054" t="s">
        <v>430</v>
      </c>
      <c r="G41" s="1054" t="s">
        <v>431</v>
      </c>
      <c r="H41" s="1054" t="s">
        <v>432</v>
      </c>
      <c r="I41" s="1054" t="s">
        <v>433</v>
      </c>
      <c r="J41" s="1054" t="s">
        <v>434</v>
      </c>
      <c r="K41" s="1054" t="s">
        <v>435</v>
      </c>
      <c r="L41" s="1054" t="s">
        <v>414</v>
      </c>
      <c r="Q41" s="51"/>
      <c r="R41" s="51"/>
      <c r="S41" s="65"/>
      <c r="T41" s="66"/>
      <c r="U41" s="72"/>
      <c r="V41" s="73"/>
      <c r="W41" s="222"/>
      <c r="X41" s="131" t="s">
        <v>436</v>
      </c>
      <c r="Y41" s="131" t="s">
        <v>437</v>
      </c>
      <c r="Z41" s="131" t="s">
        <v>438</v>
      </c>
      <c r="AA41" s="132" t="s">
        <v>439</v>
      </c>
      <c r="AB41" s="133"/>
      <c r="AC41" s="134"/>
      <c r="AD41" s="73"/>
      <c r="AE41" s="222"/>
      <c r="AF41" s="131" t="s">
        <v>436</v>
      </c>
      <c r="AG41" s="131" t="s">
        <v>437</v>
      </c>
      <c r="AH41" s="131" t="s">
        <v>438</v>
      </c>
      <c r="AI41" s="132" t="s">
        <v>439</v>
      </c>
      <c r="AJ41" s="133"/>
      <c r="AK41" s="134"/>
      <c r="AL41" s="135"/>
      <c r="AM41" s="64"/>
      <c r="AS41" s="43">
        <v>34</v>
      </c>
    </row>
    <row r="42" s="37" customFormat="1" ht="11.25" hidden="1" customHeight="1" spans="1:45">
      <c r="A42" s="45"/>
      <c r="B42" s="45"/>
      <c r="C42" s="45"/>
      <c r="D42" s="45"/>
      <c r="E42" s="45"/>
      <c r="F42" s="45"/>
      <c r="G42" s="45"/>
      <c r="H42" s="45"/>
      <c r="I42" s="45"/>
      <c r="J42" s="45"/>
      <c r="K42" s="45"/>
      <c r="L42" s="1054"/>
      <c r="M42" s="39"/>
      <c r="N42" s="39"/>
      <c r="O42" s="39"/>
      <c r="P42" s="74"/>
      <c r="Q42" s="75"/>
      <c r="R42" s="76">
        <v>1</v>
      </c>
      <c r="S42" s="77" t="s">
        <v>107</v>
      </c>
      <c r="T42" s="78" t="s">
        <v>108</v>
      </c>
      <c r="U42" s="79" t="str">
        <f ca="1">OFFSET(U42,0,-1)</f>
        <v>2</v>
      </c>
      <c r="V42" s="80">
        <f ca="1">OFFSET(V42,0,-1)+1</f>
        <v>3</v>
      </c>
      <c r="W42" s="80"/>
      <c r="X42" s="80">
        <f ca="1">OFFSET(X42,0,-1)+1</f>
        <v>1</v>
      </c>
      <c r="Y42" s="80">
        <f ca="1">OFFSET(Y42,0,-1)+1</f>
        <v>2</v>
      </c>
      <c r="Z42" s="80">
        <f ca="1">OFFSET(Z42,0,-1)+1</f>
        <v>3</v>
      </c>
      <c r="AA42" s="80">
        <f ca="1">OFFSET(AA42,0,-1)+1</f>
        <v>4</v>
      </c>
      <c r="AB42" s="80"/>
      <c r="AC42" s="80">
        <f ca="1">OFFSET(AC42,0,-2)+1</f>
        <v>5</v>
      </c>
      <c r="AD42" s="80">
        <f ca="1">OFFSET(AD42,0,-1)+1</f>
        <v>6</v>
      </c>
      <c r="AE42" s="80"/>
      <c r="AF42" s="80">
        <f ca="1">OFFSET(AF42,0,-1)+1</f>
        <v>1</v>
      </c>
      <c r="AG42" s="80">
        <f ca="1">OFFSET(AG42,0,-1)+1</f>
        <v>2</v>
      </c>
      <c r="AH42" s="80">
        <f ca="1">OFFSET(AH42,0,-1)+1</f>
        <v>3</v>
      </c>
      <c r="AI42" s="80">
        <f ca="1">OFFSET(AI42,0,-1)+1</f>
        <v>4</v>
      </c>
      <c r="AJ42" s="80"/>
      <c r="AK42" s="80">
        <f ca="1">OFFSET(AK42,0,-2)+1</f>
        <v>5</v>
      </c>
      <c r="AL42" s="79">
        <f ca="1">OFFSET(AL42,0,-1)</f>
        <v>5</v>
      </c>
      <c r="AM42" s="80">
        <f ca="1">OFFSET(AM42,0,-1)+1</f>
        <v>6</v>
      </c>
      <c r="AN42" s="44"/>
      <c r="AO42" s="44"/>
      <c r="AP42" s="44"/>
      <c r="AQ42" s="44"/>
      <c r="AR42" s="44"/>
      <c r="AS42" s="37">
        <v>0</v>
      </c>
    </row>
    <row r="43" ht="22.05" customHeight="1" spans="1:45">
      <c r="A43" s="46" t="s">
        <v>159</v>
      </c>
      <c r="B43" s="46"/>
      <c r="C43" s="46"/>
      <c r="D43" s="46"/>
      <c r="E43" s="1052">
        <v>1</v>
      </c>
      <c r="F43" s="46"/>
      <c r="G43" s="46"/>
      <c r="H43" s="46"/>
      <c r="I43" s="46"/>
      <c r="J43" s="46"/>
      <c r="K43" s="46"/>
      <c r="L43" s="1054"/>
      <c r="M43" s="47"/>
      <c r="N43" s="47"/>
      <c r="O43" s="47"/>
      <c r="Q43" s="81"/>
      <c r="R43" s="82"/>
      <c r="S43" s="65">
        <f>INDEX(PT_DIFFERENTIATION_NUM_NTAR,MATCH(A43,PT_DIFFERENTIATION_NTAR_ID,0))</f>
        <v>0</v>
      </c>
      <c r="T43" s="83" t="s">
        <v>121</v>
      </c>
      <c r="U43" s="84"/>
      <c r="V43" s="1090"/>
      <c r="W43" s="1061"/>
      <c r="X43" s="1061"/>
      <c r="Y43" s="1061"/>
      <c r="Z43" s="1061"/>
      <c r="AA43" s="1061"/>
      <c r="AB43" s="1061"/>
      <c r="AC43" s="1089"/>
      <c r="AD43" s="1090" t="str">
        <f>INDEX(PT_DIFFERENTIATION_NTAR,MATCH(A43,PT_DIFFERENTIATION_NTAR_ID,0))</f>
        <v/>
      </c>
      <c r="AE43" s="1061"/>
      <c r="AF43" s="1061"/>
      <c r="AG43" s="1061"/>
      <c r="AH43" s="1061"/>
      <c r="AI43" s="1061"/>
      <c r="AJ43" s="1061"/>
      <c r="AK43" s="1061"/>
      <c r="AL43" s="1089"/>
      <c r="AM43" s="1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
      <c r="AP43" s="151" t="str">
        <f t="shared" ref="AP43:AP57" si="1">IF(T43="","",T43)</f>
        <v>Наименование тарифа</v>
      </c>
      <c r="AQ43" s="151"/>
      <c r="AR43" s="151"/>
      <c r="AS43" s="43">
        <v>21</v>
      </c>
    </row>
    <row r="44" ht="22.05" customHeight="1" spans="1:45">
      <c r="A44" s="46" t="s">
        <v>159</v>
      </c>
      <c r="B44" s="46" t="s">
        <v>160</v>
      </c>
      <c r="C44" s="46"/>
      <c r="D44" s="46"/>
      <c r="E44" s="1053"/>
      <c r="F44" s="1052">
        <v>1</v>
      </c>
      <c r="G44" s="46"/>
      <c r="H44" s="46"/>
      <c r="I44" s="46"/>
      <c r="J44" s="46"/>
      <c r="K44" s="46"/>
      <c r="L44" s="1054"/>
      <c r="M44" s="47"/>
      <c r="N44" s="47"/>
      <c r="O44" s="47"/>
      <c r="P44" s="86"/>
      <c r="Q44" s="87"/>
      <c r="R44" s="88"/>
      <c r="S44" s="65" t="str">
        <f>INDEX(PT_DIFFERENTIATION_NUM_TER,MATCH(B44,PT_DIFFERENTIATION_TER_ID,0))</f>
        <v>.</v>
      </c>
      <c r="T44" s="89" t="s">
        <v>393</v>
      </c>
      <c r="U44" s="84"/>
      <c r="V44" s="1090"/>
      <c r="W44" s="1061"/>
      <c r="X44" s="1061"/>
      <c r="Y44" s="1061"/>
      <c r="Z44" s="1061"/>
      <c r="AA44" s="1061"/>
      <c r="AB44" s="1061"/>
      <c r="AC44" s="1089"/>
      <c r="AD44" s="1090" t="str">
        <f>INDEX(PT_DIFFERENTIATION_TER,MATCH(B44,PT_DIFFERENTIATION_TER_ID,0))</f>
        <v/>
      </c>
      <c r="AE44" s="1061"/>
      <c r="AF44" s="1061"/>
      <c r="AG44" s="1061"/>
      <c r="AH44" s="1061"/>
      <c r="AI44" s="1061"/>
      <c r="AJ44" s="1061"/>
      <c r="AK44" s="1061"/>
      <c r="AL44" s="1089"/>
      <c r="AM44" s="136" t="s">
        <v>394</v>
      </c>
      <c r="AO44" s="151"/>
      <c r="AP44" s="151" t="str">
        <f t="shared" si="1"/>
        <v>Территория действия тарифа</v>
      </c>
      <c r="AQ44" s="151"/>
      <c r="AR44" s="151"/>
      <c r="AS44" s="43">
        <v>21</v>
      </c>
    </row>
    <row r="45" ht="24" customHeight="1" spans="1:45">
      <c r="A45" s="46" t="s">
        <v>159</v>
      </c>
      <c r="B45" s="46" t="s">
        <v>160</v>
      </c>
      <c r="C45" s="46" t="s">
        <v>161</v>
      </c>
      <c r="D45" s="46"/>
      <c r="E45" s="1053"/>
      <c r="F45" s="1053"/>
      <c r="G45" s="1052">
        <v>1</v>
      </c>
      <c r="H45" s="46"/>
      <c r="I45" s="46"/>
      <c r="J45" s="46"/>
      <c r="K45" s="46"/>
      <c r="L45" s="1054"/>
      <c r="M45" s="47"/>
      <c r="N45" s="47"/>
      <c r="O45" s="47"/>
      <c r="P45" s="90"/>
      <c r="Q45" s="87"/>
      <c r="R45" s="88"/>
      <c r="S45" s="65" t="str">
        <f>INDEX(PT_DIFFERENTIATION_NUM_CS,MATCH(C45,PT_DIFFERENTIATION_CS_ID,0))</f>
        <v>..</v>
      </c>
      <c r="T45" s="91" t="s">
        <v>395</v>
      </c>
      <c r="U45" s="84"/>
      <c r="V45" s="1090"/>
      <c r="W45" s="1061"/>
      <c r="X45" s="1061"/>
      <c r="Y45" s="1061"/>
      <c r="Z45" s="1061"/>
      <c r="AA45" s="1061"/>
      <c r="AB45" s="1061"/>
      <c r="AC45" s="1089"/>
      <c r="AD45" s="1090" t="str">
        <f>INDEX(PT_DIFFERENTIATION_CS,MATCH(C45,PT_DIFFERENTIATION_CS_ID,0))</f>
        <v/>
      </c>
      <c r="AE45" s="1061"/>
      <c r="AF45" s="1061"/>
      <c r="AG45" s="1061"/>
      <c r="AH45" s="1061"/>
      <c r="AI45" s="1061"/>
      <c r="AJ45" s="1061"/>
      <c r="AK45" s="1061"/>
      <c r="AL45" s="1089"/>
      <c r="AM45" s="136" t="s">
        <v>396</v>
      </c>
      <c r="AO45" s="151"/>
      <c r="AP45" s="151" t="str">
        <f t="shared" si="1"/>
        <v>Наименование системы теплоснабжения </v>
      </c>
      <c r="AQ45" s="151"/>
      <c r="AR45" s="151"/>
      <c r="AS45" s="43">
        <v>23</v>
      </c>
    </row>
    <row r="46" ht="22.05" customHeight="1" spans="1:45">
      <c r="A46" s="46" t="s">
        <v>159</v>
      </c>
      <c r="B46" s="46" t="s">
        <v>160</v>
      </c>
      <c r="C46" s="46" t="s">
        <v>161</v>
      </c>
      <c r="D46" s="46" t="s">
        <v>162</v>
      </c>
      <c r="E46" s="1053"/>
      <c r="F46" s="1053"/>
      <c r="G46" s="1053"/>
      <c r="H46" s="1052">
        <v>1</v>
      </c>
      <c r="I46" s="46"/>
      <c r="J46" s="46"/>
      <c r="K46" s="46"/>
      <c r="L46" s="1054"/>
      <c r="M46" s="47"/>
      <c r="N46" s="47"/>
      <c r="O46" s="47"/>
      <c r="P46" s="90"/>
      <c r="Q46" s="87"/>
      <c r="R46" s="88"/>
      <c r="S46" s="65" t="str">
        <f>INDEX(PT_DIFFERENTIATION_NUM_IST_TE,MATCH(D46,PT_DIFFERENTIATION_IST_TE_ID,0))</f>
        <v>...</v>
      </c>
      <c r="T46" s="92" t="s">
        <v>397</v>
      </c>
      <c r="U46" s="84"/>
      <c r="V46" s="1090"/>
      <c r="W46" s="1061"/>
      <c r="X46" s="1061"/>
      <c r="Y46" s="1061"/>
      <c r="Z46" s="1061"/>
      <c r="AA46" s="1061"/>
      <c r="AB46" s="1061"/>
      <c r="AC46" s="1089"/>
      <c r="AD46" s="1090" t="str">
        <f>INDEX(PT_DIFFERENTIATION_IST_TE,MATCH(D46,PT_DIFFERENTIATION_IST_TE_ID,0))</f>
        <v/>
      </c>
      <c r="AE46" s="1061"/>
      <c r="AF46" s="1061"/>
      <c r="AG46" s="1061"/>
      <c r="AH46" s="1061"/>
      <c r="AI46" s="1061"/>
      <c r="AJ46" s="1061"/>
      <c r="AK46" s="1061"/>
      <c r="AL46" s="1089"/>
      <c r="AM46" s="136" t="s">
        <v>398</v>
      </c>
      <c r="AO46" s="151"/>
      <c r="AP46" s="151" t="str">
        <f t="shared" si="1"/>
        <v>Источник тепловой энергии  </v>
      </c>
      <c r="AQ46" s="151"/>
      <c r="AR46" s="151"/>
      <c r="AS46" s="43">
        <v>21</v>
      </c>
    </row>
    <row r="47" ht="49.5" customHeight="1" spans="1:45">
      <c r="A47" s="46" t="s">
        <v>159</v>
      </c>
      <c r="B47" s="46" t="s">
        <v>160</v>
      </c>
      <c r="C47" s="46" t="s">
        <v>161</v>
      </c>
      <c r="D47" s="46" t="s">
        <v>162</v>
      </c>
      <c r="E47" s="1053"/>
      <c r="F47" s="1053"/>
      <c r="G47" s="1053"/>
      <c r="H47" s="1053"/>
      <c r="I47" s="229" t="str">
        <f>S46&amp;".1"</f>
        <v>....1</v>
      </c>
      <c r="J47" s="46"/>
      <c r="K47" s="46"/>
      <c r="L47" s="1054" t="s">
        <v>399</v>
      </c>
      <c r="P47" s="93">
        <v>1</v>
      </c>
      <c r="Q47" s="93"/>
      <c r="R47" s="94"/>
      <c r="S47" s="65" t="str">
        <f>$I47</f>
        <v>....1</v>
      </c>
      <c r="T47" s="95" t="s">
        <v>400</v>
      </c>
      <c r="U47" s="84"/>
      <c r="V47" s="99"/>
      <c r="W47" s="100"/>
      <c r="X47" s="100"/>
      <c r="Y47" s="100"/>
      <c r="Z47" s="100"/>
      <c r="AA47" s="100"/>
      <c r="AB47" s="100"/>
      <c r="AC47" s="137"/>
      <c r="AD47" s="99"/>
      <c r="AE47" s="100"/>
      <c r="AF47" s="100"/>
      <c r="AG47" s="100"/>
      <c r="AH47" s="100"/>
      <c r="AI47" s="100"/>
      <c r="AJ47" s="100"/>
      <c r="AK47" s="100"/>
      <c r="AL47" s="137"/>
      <c r="AM47" s="136" t="s">
        <v>401</v>
      </c>
      <c r="AO47" s="151"/>
      <c r="AP47" s="151" t="str">
        <f t="shared" si="1"/>
        <v>Схема подключения теплопотребляющей установки к коллектору источника тепловой энергии</v>
      </c>
      <c r="AQ47" s="151"/>
      <c r="AR47" s="151"/>
      <c r="AS47" s="43">
        <v>47</v>
      </c>
    </row>
    <row r="48" ht="22.05" customHeight="1" spans="1:45">
      <c r="A48" s="46" t="s">
        <v>159</v>
      </c>
      <c r="B48" s="46" t="s">
        <v>160</v>
      </c>
      <c r="C48" s="46" t="s">
        <v>161</v>
      </c>
      <c r="D48" s="46" t="s">
        <v>162</v>
      </c>
      <c r="E48" s="1053"/>
      <c r="F48" s="1053"/>
      <c r="G48" s="1053"/>
      <c r="H48" s="1053"/>
      <c r="I48" s="1058"/>
      <c r="J48" s="229" t="str">
        <f>I47&amp;".1"</f>
        <v>....1.1</v>
      </c>
      <c r="K48" s="46"/>
      <c r="L48" s="1054" t="s">
        <v>402</v>
      </c>
      <c r="P48" s="93"/>
      <c r="Q48" s="93">
        <v>1</v>
      </c>
      <c r="R48" s="97"/>
      <c r="S48" s="65" t="str">
        <f>$J48</f>
        <v>....1.1</v>
      </c>
      <c r="T48" s="98" t="s">
        <v>403</v>
      </c>
      <c r="U48" s="84"/>
      <c r="V48" s="99"/>
      <c r="W48" s="100"/>
      <c r="X48" s="100"/>
      <c r="Y48" s="100"/>
      <c r="Z48" s="100"/>
      <c r="AA48" s="100"/>
      <c r="AB48" s="100"/>
      <c r="AC48" s="137"/>
      <c r="AD48" s="99"/>
      <c r="AE48" s="100"/>
      <c r="AF48" s="100"/>
      <c r="AG48" s="100"/>
      <c r="AH48" s="100"/>
      <c r="AI48" s="100"/>
      <c r="AJ48" s="100"/>
      <c r="AK48" s="100"/>
      <c r="AL48" s="137"/>
      <c r="AM48" s="136" t="s">
        <v>404</v>
      </c>
      <c r="AO48" s="151"/>
      <c r="AP48" s="151" t="str">
        <f t="shared" si="1"/>
        <v>Группа потребителей</v>
      </c>
      <c r="AQ48" s="151"/>
      <c r="AR48" s="151"/>
      <c r="AS48" s="43">
        <v>21</v>
      </c>
    </row>
    <row r="49" ht="22.05" customHeight="1" spans="1:45">
      <c r="A49" s="46" t="s">
        <v>159</v>
      </c>
      <c r="B49" s="46" t="s">
        <v>160</v>
      </c>
      <c r="C49" s="46" t="s">
        <v>161</v>
      </c>
      <c r="D49" s="46" t="s">
        <v>162</v>
      </c>
      <c r="E49" s="1053"/>
      <c r="F49" s="1053"/>
      <c r="G49" s="1053"/>
      <c r="H49" s="1053"/>
      <c r="I49" s="1058"/>
      <c r="J49" s="1058"/>
      <c r="K49" s="229" t="str">
        <f>J48&amp;".1"</f>
        <v>....1.1.1</v>
      </c>
      <c r="L49" s="1054" t="s">
        <v>405</v>
      </c>
      <c r="P49" s="93"/>
      <c r="Q49" s="93"/>
      <c r="R49" s="97">
        <v>1</v>
      </c>
      <c r="S49" s="65" t="str">
        <f>$K49</f>
        <v>....1.1.1</v>
      </c>
      <c r="T49" s="101"/>
      <c r="U49" s="84"/>
      <c r="V49" s="102"/>
      <c r="W49" s="103"/>
      <c r="X49" s="102"/>
      <c r="Y49" s="138"/>
      <c r="Z49" s="139"/>
      <c r="AA49" s="140" t="s">
        <v>66</v>
      </c>
      <c r="AB49" s="139"/>
      <c r="AC49" s="140" t="s">
        <v>66</v>
      </c>
      <c r="AD49" s="102"/>
      <c r="AE49" s="103"/>
      <c r="AF49" s="102"/>
      <c r="AG49" s="138"/>
      <c r="AH49" s="139"/>
      <c r="AI49" s="140" t="s">
        <v>66</v>
      </c>
      <c r="AJ49" s="1137"/>
      <c r="AK49" s="140" t="s">
        <v>66</v>
      </c>
      <c r="AL49" s="1120"/>
      <c r="AM49" s="141" t="s">
        <v>406</v>
      </c>
      <c r="AN49" s="44" t="e">
        <f>STRCHECKDATE(V50:AL50)</f>
        <v>#NAME?</v>
      </c>
      <c r="AO49" s="151"/>
      <c r="AP49" s="151" t="str">
        <f t="shared" si="1"/>
        <v/>
      </c>
      <c r="AQ49" s="151"/>
      <c r="AR49" s="151"/>
      <c r="AS49" s="43">
        <v>21</v>
      </c>
    </row>
    <row r="50" ht="1.05" customHeight="1" spans="1:45">
      <c r="A50" s="46" t="s">
        <v>159</v>
      </c>
      <c r="B50" s="46" t="s">
        <v>160</v>
      </c>
      <c r="C50" s="46" t="s">
        <v>161</v>
      </c>
      <c r="D50" s="46" t="s">
        <v>162</v>
      </c>
      <c r="E50" s="1053"/>
      <c r="F50" s="1053"/>
      <c r="G50" s="1053"/>
      <c r="H50" s="1053"/>
      <c r="I50" s="1058"/>
      <c r="J50" s="1058"/>
      <c r="K50" s="229"/>
      <c r="L50" s="1054"/>
      <c r="P50" s="93"/>
      <c r="Q50" s="93"/>
      <c r="R50" s="97"/>
      <c r="S50" s="104"/>
      <c r="T50" s="84"/>
      <c r="U50" s="84"/>
      <c r="V50" s="103"/>
      <c r="W50" s="103"/>
      <c r="X50" s="103"/>
      <c r="Y50" s="142" t="str">
        <f>Z49&amp;"-"&amp;AB49</f>
        <v>-</v>
      </c>
      <c r="Z50" s="143"/>
      <c r="AA50" s="140"/>
      <c r="AB50" s="143"/>
      <c r="AC50" s="140"/>
      <c r="AD50" s="103"/>
      <c r="AE50" s="103"/>
      <c r="AF50" s="103"/>
      <c r="AG50" s="142" t="str">
        <f>AH49&amp;"-"&amp;AJ49</f>
        <v>-</v>
      </c>
      <c r="AH50" s="143"/>
      <c r="AI50" s="140"/>
      <c r="AJ50" s="1140"/>
      <c r="AK50" s="140"/>
      <c r="AL50" s="1163"/>
      <c r="AM50" s="144"/>
      <c r="AO50" s="151"/>
      <c r="AP50" s="151" t="str">
        <f t="shared" si="1"/>
        <v/>
      </c>
      <c r="AQ50" s="151"/>
      <c r="AR50" s="151"/>
      <c r="AS50" s="43">
        <v>1</v>
      </c>
    </row>
    <row r="51" ht="11.55" customHeight="1" spans="1:45">
      <c r="A51" s="46" t="s">
        <v>159</v>
      </c>
      <c r="B51" s="46" t="s">
        <v>160</v>
      </c>
      <c r="C51" s="46" t="s">
        <v>161</v>
      </c>
      <c r="D51" s="46" t="s">
        <v>162</v>
      </c>
      <c r="E51" s="1053"/>
      <c r="F51" s="1053"/>
      <c r="G51" s="1053"/>
      <c r="H51" s="1053"/>
      <c r="I51" s="1058"/>
      <c r="J51" s="229"/>
      <c r="K51" s="46"/>
      <c r="L51" s="1054"/>
      <c r="P51" s="93"/>
      <c r="Q51" s="93"/>
      <c r="R51" s="94"/>
      <c r="S51" s="105"/>
      <c r="T51" s="106" t="s">
        <v>407</v>
      </c>
      <c r="U51" s="107"/>
      <c r="V51" s="107"/>
      <c r="W51" s="107"/>
      <c r="X51" s="107"/>
      <c r="Y51" s="107"/>
      <c r="Z51" s="107"/>
      <c r="AA51" s="107"/>
      <c r="AB51" s="107"/>
      <c r="AC51" s="107"/>
      <c r="AD51" s="107"/>
      <c r="AE51" s="107"/>
      <c r="AF51" s="107"/>
      <c r="AG51" s="107"/>
      <c r="AH51" s="107"/>
      <c r="AI51" s="107"/>
      <c r="AJ51" s="107"/>
      <c r="AK51" s="107"/>
      <c r="AL51" s="145"/>
      <c r="AM51" s="146"/>
      <c r="AO51" s="151"/>
      <c r="AP51" s="151" t="str">
        <f t="shared" si="1"/>
        <v>Добавить вид теплоносителя (параметры теплоносителя)</v>
      </c>
      <c r="AQ51" s="151"/>
      <c r="AR51" s="151"/>
      <c r="AS51" s="43">
        <v>11</v>
      </c>
    </row>
    <row r="52" ht="11.55" customHeight="1" spans="1:45">
      <c r="A52" s="46" t="s">
        <v>159</v>
      </c>
      <c r="B52" s="46" t="s">
        <v>160</v>
      </c>
      <c r="C52" s="46" t="s">
        <v>161</v>
      </c>
      <c r="D52" s="46" t="s">
        <v>162</v>
      </c>
      <c r="E52" s="1053"/>
      <c r="F52" s="1053"/>
      <c r="G52" s="1053"/>
      <c r="H52" s="1053"/>
      <c r="I52" s="229"/>
      <c r="J52" s="46"/>
      <c r="K52" s="46"/>
      <c r="L52" s="1054"/>
      <c r="P52" s="93"/>
      <c r="Q52" s="93"/>
      <c r="R52" s="94"/>
      <c r="S52" s="105"/>
      <c r="T52" s="108" t="s">
        <v>408</v>
      </c>
      <c r="U52" s="107"/>
      <c r="V52" s="107"/>
      <c r="W52" s="107"/>
      <c r="X52" s="107"/>
      <c r="Y52" s="107"/>
      <c r="Z52" s="107"/>
      <c r="AA52" s="107"/>
      <c r="AB52" s="107"/>
      <c r="AC52" s="147"/>
      <c r="AD52" s="107"/>
      <c r="AE52" s="107"/>
      <c r="AF52" s="107"/>
      <c r="AG52" s="107"/>
      <c r="AH52" s="107"/>
      <c r="AI52" s="107"/>
      <c r="AJ52" s="107"/>
      <c r="AK52" s="147"/>
      <c r="AL52" s="107"/>
      <c r="AM52" s="148"/>
      <c r="AO52" s="151"/>
      <c r="AP52" s="151" t="str">
        <f t="shared" si="1"/>
        <v>Добавить группу потребителей</v>
      </c>
      <c r="AQ52" s="151"/>
      <c r="AR52" s="151"/>
      <c r="AS52" s="43">
        <v>11</v>
      </c>
    </row>
    <row r="53" ht="14.7" customHeight="1" spans="1:45">
      <c r="A53" s="46" t="s">
        <v>159</v>
      </c>
      <c r="B53" s="46" t="s">
        <v>160</v>
      </c>
      <c r="C53" s="46" t="s">
        <v>161</v>
      </c>
      <c r="D53" s="46" t="s">
        <v>162</v>
      </c>
      <c r="E53" s="1053"/>
      <c r="F53" s="1053"/>
      <c r="G53" s="1053"/>
      <c r="H53" s="1052"/>
      <c r="I53" s="46"/>
      <c r="J53" s="46"/>
      <c r="K53" s="46"/>
      <c r="L53" s="1054"/>
      <c r="M53" s="47"/>
      <c r="N53" s="47"/>
      <c r="O53" s="38"/>
      <c r="P53" s="81"/>
      <c r="Q53" s="109"/>
      <c r="R53" s="82"/>
      <c r="S53" s="105"/>
      <c r="T53" s="110" t="s">
        <v>409</v>
      </c>
      <c r="U53" s="107"/>
      <c r="V53" s="107"/>
      <c r="W53" s="107"/>
      <c r="X53" s="107"/>
      <c r="Y53" s="107"/>
      <c r="Z53" s="107"/>
      <c r="AA53" s="107"/>
      <c r="AB53" s="107"/>
      <c r="AC53" s="147"/>
      <c r="AD53" s="107"/>
      <c r="AE53" s="107"/>
      <c r="AF53" s="107"/>
      <c r="AG53" s="107"/>
      <c r="AH53" s="107"/>
      <c r="AI53" s="107"/>
      <c r="AJ53" s="107"/>
      <c r="AK53" s="147"/>
      <c r="AL53" s="107"/>
      <c r="AM53" s="148"/>
      <c r="AO53" s="151"/>
      <c r="AP53" s="151" t="str">
        <f t="shared" si="1"/>
        <v>Добавить схему подключения</v>
      </c>
      <c r="AQ53" s="151"/>
      <c r="AR53" s="151"/>
      <c r="AS53" s="43">
        <v>14</v>
      </c>
    </row>
    <row r="54" s="44" customFormat="1" ht="1.05" customHeight="1" spans="1:45">
      <c r="A54" s="590" t="s">
        <v>159</v>
      </c>
      <c r="B54" s="590" t="s">
        <v>160</v>
      </c>
      <c r="C54" s="590" t="s">
        <v>161</v>
      </c>
      <c r="D54" s="590"/>
      <c r="E54" s="1053"/>
      <c r="F54" s="1053"/>
      <c r="G54" s="1052"/>
      <c r="H54" s="590"/>
      <c r="I54" s="590"/>
      <c r="J54" s="590"/>
      <c r="K54" s="590"/>
      <c r="L54" s="611"/>
      <c r="M54" s="283"/>
      <c r="N54" s="283"/>
      <c r="P54" s="152"/>
      <c r="Q54" s="1082"/>
      <c r="R54" s="152"/>
      <c r="S54" s="1084"/>
      <c r="T54" s="1085" t="s">
        <v>410</v>
      </c>
      <c r="U54" s="307"/>
      <c r="V54" s="307"/>
      <c r="W54" s="307"/>
      <c r="X54" s="307"/>
      <c r="Y54" s="307"/>
      <c r="Z54" s="307"/>
      <c r="AA54" s="307"/>
      <c r="AB54" s="307"/>
      <c r="AC54" s="307"/>
      <c r="AD54" s="307"/>
      <c r="AE54" s="307"/>
      <c r="AF54" s="307"/>
      <c r="AG54" s="307"/>
      <c r="AH54" s="307"/>
      <c r="AI54" s="307"/>
      <c r="AJ54" s="307"/>
      <c r="AK54" s="307"/>
      <c r="AL54" s="307"/>
      <c r="AM54" s="307"/>
      <c r="AO54" s="151"/>
      <c r="AP54" s="151" t="str">
        <f t="shared" si="1"/>
        <v>Добавить источник для дифференциации</v>
      </c>
      <c r="AQ54" s="151"/>
      <c r="AR54" s="151"/>
      <c r="AS54" s="44">
        <v>1</v>
      </c>
    </row>
    <row r="55" s="44" customFormat="1" ht="1.05" customHeight="1" spans="1:45">
      <c r="A55" s="590" t="s">
        <v>159</v>
      </c>
      <c r="B55" s="590" t="s">
        <v>160</v>
      </c>
      <c r="C55" s="590"/>
      <c r="D55" s="590"/>
      <c r="E55" s="1053"/>
      <c r="F55" s="1052"/>
      <c r="G55" s="590"/>
      <c r="H55" s="590"/>
      <c r="I55" s="590"/>
      <c r="J55" s="590"/>
      <c r="K55" s="590"/>
      <c r="L55" s="611"/>
      <c r="M55" s="1059"/>
      <c r="N55" s="1059"/>
      <c r="P55" s="152"/>
      <c r="Q55" s="1082"/>
      <c r="R55" s="152"/>
      <c r="S55" s="1084"/>
      <c r="T55" s="1085" t="s">
        <v>411</v>
      </c>
      <c r="U55" s="307"/>
      <c r="V55" s="307"/>
      <c r="W55" s="307"/>
      <c r="X55" s="307"/>
      <c r="Y55" s="307"/>
      <c r="Z55" s="307"/>
      <c r="AA55" s="307"/>
      <c r="AB55" s="307"/>
      <c r="AC55" s="307"/>
      <c r="AD55" s="307"/>
      <c r="AE55" s="307"/>
      <c r="AF55" s="307"/>
      <c r="AG55" s="307"/>
      <c r="AH55" s="307"/>
      <c r="AI55" s="307"/>
      <c r="AJ55" s="307"/>
      <c r="AK55" s="307"/>
      <c r="AL55" s="307"/>
      <c r="AM55" s="307"/>
      <c r="AO55" s="151"/>
      <c r="AP55" s="151" t="str">
        <f t="shared" si="1"/>
        <v>Добавить централизованную систему для дифференциации</v>
      </c>
      <c r="AQ55" s="151"/>
      <c r="AR55" s="151"/>
      <c r="AS55" s="44">
        <v>1</v>
      </c>
    </row>
    <row r="56" s="44" customFormat="1" ht="1.05" customHeight="1" spans="1:45">
      <c r="A56" s="590" t="s">
        <v>159</v>
      </c>
      <c r="B56" s="590"/>
      <c r="C56" s="590"/>
      <c r="D56" s="590"/>
      <c r="E56" s="1052"/>
      <c r="F56" s="590"/>
      <c r="G56" s="590"/>
      <c r="H56" s="590"/>
      <c r="I56" s="590"/>
      <c r="J56" s="590"/>
      <c r="K56" s="590"/>
      <c r="L56" s="611"/>
      <c r="M56" s="1059"/>
      <c r="N56" s="1059"/>
      <c r="P56" s="152"/>
      <c r="Q56" s="1082"/>
      <c r="R56" s="152"/>
      <c r="S56" s="1084"/>
      <c r="T56" s="1085" t="s">
        <v>412</v>
      </c>
      <c r="U56" s="307"/>
      <c r="V56" s="307"/>
      <c r="W56" s="307"/>
      <c r="X56" s="307"/>
      <c r="Y56" s="307"/>
      <c r="Z56" s="307"/>
      <c r="AA56" s="307"/>
      <c r="AB56" s="307"/>
      <c r="AC56" s="307"/>
      <c r="AD56" s="307"/>
      <c r="AE56" s="307"/>
      <c r="AF56" s="307"/>
      <c r="AG56" s="307"/>
      <c r="AH56" s="307"/>
      <c r="AI56" s="307"/>
      <c r="AJ56" s="307"/>
      <c r="AK56" s="307"/>
      <c r="AL56" s="307"/>
      <c r="AM56" s="307"/>
      <c r="AO56" s="151"/>
      <c r="AP56" s="151" t="str">
        <f t="shared" si="1"/>
        <v>Добавить территорию для дифференциации</v>
      </c>
      <c r="AQ56" s="151"/>
      <c r="AR56" s="151"/>
      <c r="AS56" s="44">
        <v>1</v>
      </c>
    </row>
    <row r="57" s="44" customFormat="1" ht="1.05" customHeight="1" spans="1:45">
      <c r="A57" s="590"/>
      <c r="B57" s="590"/>
      <c r="C57" s="590"/>
      <c r="D57" s="590"/>
      <c r="E57" s="590"/>
      <c r="F57" s="590"/>
      <c r="G57" s="590"/>
      <c r="H57" s="590"/>
      <c r="I57" s="590"/>
      <c r="J57" s="590"/>
      <c r="K57" s="590"/>
      <c r="L57" s="611"/>
      <c r="M57" s="1059"/>
      <c r="N57" s="1059"/>
      <c r="P57" s="152"/>
      <c r="Q57" s="1082"/>
      <c r="R57" s="152"/>
      <c r="S57" s="1084"/>
      <c r="T57" s="1085" t="s">
        <v>440</v>
      </c>
      <c r="U57" s="307"/>
      <c r="V57" s="307"/>
      <c r="W57" s="307"/>
      <c r="X57" s="307"/>
      <c r="Y57" s="307"/>
      <c r="Z57" s="307"/>
      <c r="AA57" s="307"/>
      <c r="AB57" s="307"/>
      <c r="AC57" s="307"/>
      <c r="AD57" s="307"/>
      <c r="AE57" s="307"/>
      <c r="AF57" s="307"/>
      <c r="AG57" s="307"/>
      <c r="AH57" s="307"/>
      <c r="AI57" s="307"/>
      <c r="AJ57" s="307"/>
      <c r="AK57" s="307"/>
      <c r="AL57" s="307"/>
      <c r="AM57" s="307"/>
      <c r="AO57" s="151"/>
      <c r="AP57" s="151" t="str">
        <f t="shared" si="1"/>
        <v>Добавить наименование тарифа</v>
      </c>
      <c r="AQ57" s="151"/>
      <c r="AR57" s="151"/>
      <c r="AS57" s="44">
        <v>1</v>
      </c>
    </row>
    <row r="58" ht="11.55" customHeight="1" spans="13:45">
      <c r="M58" s="38"/>
      <c r="N58" s="38"/>
      <c r="O58" s="38"/>
      <c r="P58" s="43"/>
      <c r="Q58" s="43"/>
      <c r="R58" s="43"/>
      <c r="S58" s="43"/>
      <c r="AN58" s="43"/>
      <c r="AO58" s="43"/>
      <c r="AP58" s="43"/>
      <c r="AQ58" s="43"/>
      <c r="AR58" s="43"/>
      <c r="AS58" s="43">
        <v>11</v>
      </c>
    </row>
    <row r="59" ht="28.5" customHeight="1" spans="15:45">
      <c r="O59" s="38"/>
      <c r="S59" s="786"/>
      <c r="T59" s="120"/>
      <c r="U59" s="120"/>
      <c r="V59" s="120"/>
      <c r="W59" s="120"/>
      <c r="X59" s="120"/>
      <c r="Y59" s="120"/>
      <c r="Z59" s="120"/>
      <c r="AA59" s="120"/>
      <c r="AB59" s="120"/>
      <c r="AC59" s="120"/>
      <c r="AD59" s="120"/>
      <c r="AE59" s="120"/>
      <c r="AF59" s="120"/>
      <c r="AG59" s="120"/>
      <c r="AH59" s="120"/>
      <c r="AI59" s="120"/>
      <c r="AJ59" s="120"/>
      <c r="AK59" s="120"/>
      <c r="AL59" s="120"/>
      <c r="AM59" s="120"/>
      <c r="AS59" s="43">
        <v>27</v>
      </c>
    </row>
    <row r="60" ht="65.25" customHeight="1" spans="15:45">
      <c r="O60" s="38"/>
      <c r="T60" s="120"/>
      <c r="U60" s="120"/>
      <c r="V60" s="120"/>
      <c r="W60" s="120"/>
      <c r="X60" s="120"/>
      <c r="Y60" s="120"/>
      <c r="Z60" s="120"/>
      <c r="AA60" s="120"/>
      <c r="AB60" s="120"/>
      <c r="AC60" s="120"/>
      <c r="AD60" s="120"/>
      <c r="AE60" s="120"/>
      <c r="AF60" s="120"/>
      <c r="AG60" s="120"/>
      <c r="AH60" s="120"/>
      <c r="AI60" s="120"/>
      <c r="AJ60" s="120"/>
      <c r="AK60" s="120"/>
      <c r="AL60" s="120"/>
      <c r="AM60" s="120"/>
      <c r="AS60" s="43">
        <v>62</v>
      </c>
    </row>
    <row r="61" ht="14.7" customHeight="1" spans="15:45">
      <c r="O61" s="38"/>
      <c r="AS61" s="43">
        <v>14</v>
      </c>
    </row>
    <row r="62" ht="18.75" customHeight="1" spans="15:45">
      <c r="O62" s="38"/>
      <c r="S62" s="786"/>
      <c r="T62" s="120"/>
      <c r="U62" s="120"/>
      <c r="V62" s="120"/>
      <c r="W62" s="120"/>
      <c r="X62" s="120"/>
      <c r="Y62" s="120"/>
      <c r="Z62" s="120"/>
      <c r="AA62" s="120"/>
      <c r="AB62" s="120"/>
      <c r="AC62" s="120"/>
      <c r="AD62" s="120"/>
      <c r="AE62" s="120"/>
      <c r="AF62" s="120"/>
      <c r="AG62" s="120"/>
      <c r="AH62" s="120"/>
      <c r="AI62" s="120"/>
      <c r="AJ62" s="120"/>
      <c r="AK62" s="120"/>
      <c r="AL62" s="120"/>
      <c r="AM62" s="120"/>
      <c r="AS62" s="43">
        <v>18</v>
      </c>
    </row>
    <row r="63" ht="18.75" customHeight="1" spans="15:45">
      <c r="O63" s="38"/>
      <c r="T63" s="120"/>
      <c r="U63" s="120"/>
      <c r="V63" s="120"/>
      <c r="W63" s="120"/>
      <c r="X63" s="120"/>
      <c r="Y63" s="120"/>
      <c r="Z63" s="120"/>
      <c r="AA63" s="120"/>
      <c r="AB63" s="120"/>
      <c r="AC63" s="120"/>
      <c r="AD63" s="120"/>
      <c r="AE63" s="120"/>
      <c r="AF63" s="120"/>
      <c r="AG63" s="120"/>
      <c r="AH63" s="120"/>
      <c r="AI63" s="120"/>
      <c r="AJ63" s="120"/>
      <c r="AK63" s="120"/>
      <c r="AL63" s="120"/>
      <c r="AM63" s="120"/>
      <c r="AS63" s="43">
        <v>18</v>
      </c>
    </row>
    <row r="64" ht="29.25" customHeight="1" spans="15:45">
      <c r="O64" s="38"/>
      <c r="S64" s="786"/>
      <c r="T64" s="120"/>
      <c r="U64" s="120"/>
      <c r="V64" s="120"/>
      <c r="W64" s="120"/>
      <c r="X64" s="120"/>
      <c r="Y64" s="120"/>
      <c r="Z64" s="120"/>
      <c r="AA64" s="120"/>
      <c r="AB64" s="120"/>
      <c r="AC64" s="120"/>
      <c r="AD64" s="120"/>
      <c r="AE64" s="120"/>
      <c r="AF64" s="120"/>
      <c r="AG64" s="120"/>
      <c r="AH64" s="120"/>
      <c r="AI64" s="120"/>
      <c r="AJ64" s="120"/>
      <c r="AK64" s="120"/>
      <c r="AL64" s="120"/>
      <c r="AM64" s="120"/>
      <c r="AS64" s="43">
        <v>28</v>
      </c>
    </row>
    <row r="65" ht="22.5" hidden="1" customHeight="1" spans="1:45">
      <c r="A65" s="38" t="s">
        <v>83</v>
      </c>
      <c r="B65" s="38">
        <v>0</v>
      </c>
      <c r="C65" s="38">
        <v>0</v>
      </c>
      <c r="D65" s="38">
        <v>0</v>
      </c>
      <c r="E65" s="38">
        <v>0</v>
      </c>
      <c r="F65" s="38">
        <v>0</v>
      </c>
      <c r="G65" s="38">
        <v>0</v>
      </c>
      <c r="H65" s="38">
        <v>0</v>
      </c>
      <c r="I65" s="38">
        <v>0</v>
      </c>
      <c r="J65" s="38">
        <v>0</v>
      </c>
      <c r="K65" s="38">
        <v>0</v>
      </c>
      <c r="L65" s="48">
        <v>0</v>
      </c>
      <c r="M65" s="39">
        <v>0</v>
      </c>
      <c r="N65" s="39">
        <v>0</v>
      </c>
      <c r="O65" s="39">
        <v>0</v>
      </c>
      <c r="P65" s="40">
        <v>3</v>
      </c>
      <c r="Q65" s="41">
        <v>3</v>
      </c>
      <c r="R65" s="41">
        <v>3</v>
      </c>
      <c r="S65" s="42">
        <v>12</v>
      </c>
      <c r="T65" s="43">
        <v>31</v>
      </c>
      <c r="U65" s="43">
        <v>0</v>
      </c>
      <c r="V65" s="43">
        <v>0</v>
      </c>
      <c r="W65" s="43">
        <v>0</v>
      </c>
      <c r="X65" s="43">
        <v>0</v>
      </c>
      <c r="Y65" s="43">
        <v>0</v>
      </c>
      <c r="Z65" s="43">
        <v>0</v>
      </c>
      <c r="AA65" s="43">
        <v>0</v>
      </c>
      <c r="AB65" s="43">
        <v>0</v>
      </c>
      <c r="AC65" s="43">
        <v>0</v>
      </c>
      <c r="AD65" s="43">
        <v>24</v>
      </c>
      <c r="AE65" s="43">
        <v>0</v>
      </c>
      <c r="AF65" s="43">
        <v>24</v>
      </c>
      <c r="AG65" s="43">
        <v>24</v>
      </c>
      <c r="AH65" s="43">
        <v>11</v>
      </c>
      <c r="AI65" s="43">
        <v>3</v>
      </c>
      <c r="AJ65" s="43">
        <v>11</v>
      </c>
      <c r="AK65" s="43">
        <v>0</v>
      </c>
      <c r="AL65" s="43">
        <v>4</v>
      </c>
      <c r="AM65" s="43">
        <v>115</v>
      </c>
      <c r="AN65" s="44">
        <v>10</v>
      </c>
      <c r="AO65" s="44">
        <v>10</v>
      </c>
      <c r="AP65" s="44">
        <v>10</v>
      </c>
      <c r="AQ65" s="44">
        <v>10</v>
      </c>
      <c r="AR65" s="44">
        <v>10</v>
      </c>
      <c r="AS65" s="43">
        <v>23</v>
      </c>
    </row>
  </sheetData>
  <sheetProtection formatColumns="0" formatRows="0"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43" hidden="1"/>
    <col min="2" max="2" width="11" style="43" hidden="1" customWidth="1"/>
    <col min="3" max="3" width="10.5714285714286" style="43" hidden="1"/>
    <col min="4" max="4" width="11.847619047619" style="43" hidden="1" customWidth="1"/>
    <col min="5" max="5" width="10" style="43" hidden="1" customWidth="1"/>
    <col min="6" max="6" width="8.71428571428571" style="43" hidden="1" customWidth="1"/>
    <col min="7" max="7" width="7.57142857142857" style="43" hidden="1" customWidth="1"/>
    <col min="8" max="8" width="11.4190476190476" style="43" hidden="1" customWidth="1"/>
    <col min="9" max="9" width="12" style="43" hidden="1" customWidth="1"/>
    <col min="10" max="10" width="9.84761904761905" style="43" hidden="1" customWidth="1"/>
    <col min="11" max="11" width="11.4190476190476" style="43" hidden="1" customWidth="1"/>
    <col min="12" max="12" width="19.1428571428571" style="86" hidden="1" customWidth="1"/>
    <col min="13" max="14" width="12.2857142857143" style="40" hidden="1" customWidth="1"/>
    <col min="15" max="15" width="23.4190476190476" style="40" hidden="1" customWidth="1"/>
    <col min="16" max="16" width="3" style="40" customWidth="1"/>
    <col min="17" max="18" width="3" style="41" customWidth="1"/>
    <col min="19" max="19" width="12" style="42" customWidth="1"/>
    <col min="20" max="20" width="31" style="43" customWidth="1"/>
    <col min="21" max="21" width="0.142857142857143" style="43" customWidth="1"/>
    <col min="22" max="22" width="24.7142857142857" style="43" hidden="1" customWidth="1"/>
    <col min="23" max="23" width="0.142857142857143" style="43" hidden="1" customWidth="1"/>
    <col min="24" max="25" width="24.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24.7142857142857" style="43" customWidth="1"/>
    <col min="31" max="31" width="0.142857142857143" style="43" customWidth="1"/>
    <col min="32" max="33" width="24" style="43" customWidth="1"/>
    <col min="34" max="34" width="11" style="43" customWidth="1"/>
    <col min="35" max="35" width="3.71428571428571" style="43" customWidth="1"/>
    <col min="36" max="36" width="11" style="43" customWidth="1"/>
    <col min="37" max="37" width="8.57142857142857" style="43" hidden="1" customWidth="1"/>
    <col min="38" max="38" width="4" style="43" customWidth="1"/>
    <col min="39" max="39" width="115" style="43" customWidth="1"/>
    <col min="40" max="44" width="10" style="44" customWidth="1"/>
    <col min="45" max="45" width="10.5714285714286" style="43" hidden="1"/>
  </cols>
  <sheetData>
    <row r="1" ht="22.5" hidden="1" customHeight="1" spans="45:45">
      <c r="AS1" s="43" t="s">
        <v>14</v>
      </c>
    </row>
    <row r="2" ht="21" hidden="1" customHeight="1" spans="1:45">
      <c r="A2" s="502"/>
      <c r="B2" s="502"/>
      <c r="C2" s="502"/>
      <c r="D2" s="502"/>
      <c r="E2" s="1143">
        <v>1</v>
      </c>
      <c r="F2" s="502"/>
      <c r="G2" s="502"/>
      <c r="H2" s="502"/>
      <c r="I2" s="502"/>
      <c r="J2" s="502"/>
      <c r="K2" s="502"/>
      <c r="L2" s="536"/>
      <c r="M2" s="42"/>
      <c r="N2" s="42"/>
      <c r="O2" s="42"/>
      <c r="Q2" s="81"/>
      <c r="R2" s="82"/>
      <c r="S2" s="65" t="e">
        <f>INDEX(PT_DIFFERENTIATION_NUM_NTAR,MATCH(A2,PT_DIFFERENTIATION_NTAR_ID,0))</f>
        <v>#N/A</v>
      </c>
      <c r="T2" s="83" t="s">
        <v>121</v>
      </c>
      <c r="U2" s="84"/>
      <c r="V2" s="1090"/>
      <c r="W2" s="1061"/>
      <c r="X2" s="1061"/>
      <c r="Y2" s="1061"/>
      <c r="Z2" s="1061"/>
      <c r="AA2" s="1061"/>
      <c r="AB2" s="1061"/>
      <c r="AC2" s="1089"/>
      <c r="AD2" s="1090" t="e">
        <f>INDEX(PT_DIFFERENTIATION_NTAR,MATCH(A2,PT_DIFFERENTIATION_NTAR_ID,0))</f>
        <v>#N/A</v>
      </c>
      <c r="AE2" s="1061"/>
      <c r="AF2" s="1061"/>
      <c r="AG2" s="1061"/>
      <c r="AH2" s="1061"/>
      <c r="AI2" s="1061"/>
      <c r="AJ2" s="1061"/>
      <c r="AK2" s="1061"/>
      <c r="AL2" s="1089"/>
      <c r="AM2" s="136" t="s">
        <v>392</v>
      </c>
      <c r="AO2" s="151"/>
      <c r="AP2" s="151" t="str">
        <f t="shared" ref="AP2:AP15" si="0">IF(T2="","",T2)</f>
        <v>Наименование тарифа</v>
      </c>
      <c r="AQ2" s="151"/>
      <c r="AR2" s="151"/>
      <c r="AS2" s="43">
        <v>0</v>
      </c>
    </row>
    <row r="3" ht="21" hidden="1" customHeight="1" spans="1:45">
      <c r="A3" s="502"/>
      <c r="B3" s="502"/>
      <c r="C3" s="502"/>
      <c r="D3" s="502"/>
      <c r="E3" s="1144"/>
      <c r="F3" s="1143">
        <v>1</v>
      </c>
      <c r="G3" s="502"/>
      <c r="H3" s="502"/>
      <c r="I3" s="502"/>
      <c r="J3" s="502"/>
      <c r="K3" s="502"/>
      <c r="L3" s="536"/>
      <c r="M3" s="42"/>
      <c r="N3" s="42"/>
      <c r="O3" s="42"/>
      <c r="P3" s="86"/>
      <c r="Q3" s="87"/>
      <c r="R3" s="88"/>
      <c r="S3" s="65" t="e">
        <f>INDEX(PT_DIFFERENTIATION_NUM_TER,MATCH(B3,PT_DIFFERENTIATION_TER_ID,0))</f>
        <v>#N/A</v>
      </c>
      <c r="T3" s="89" t="s">
        <v>393</v>
      </c>
      <c r="U3" s="84"/>
      <c r="V3" s="1090"/>
      <c r="W3" s="1061"/>
      <c r="X3" s="1061"/>
      <c r="Y3" s="1061"/>
      <c r="Z3" s="1061"/>
      <c r="AA3" s="1061"/>
      <c r="AB3" s="1061"/>
      <c r="AC3" s="1089"/>
      <c r="AD3" s="1090" t="e">
        <f>INDEX(PT_DIFFERENTIATION_TER,MATCH(B3,PT_DIFFERENTIATION_TER_ID,0))</f>
        <v>#N/A</v>
      </c>
      <c r="AE3" s="1061"/>
      <c r="AF3" s="1061"/>
      <c r="AG3" s="1061"/>
      <c r="AH3" s="1061"/>
      <c r="AI3" s="1061"/>
      <c r="AJ3" s="1061"/>
      <c r="AK3" s="1061"/>
      <c r="AL3" s="1089"/>
      <c r="AM3" s="136" t="s">
        <v>394</v>
      </c>
      <c r="AO3" s="151"/>
      <c r="AP3" s="151" t="str">
        <f t="shared" si="0"/>
        <v>Территория действия тарифа</v>
      </c>
      <c r="AQ3" s="151"/>
      <c r="AR3" s="151"/>
      <c r="AS3" s="43">
        <v>0</v>
      </c>
    </row>
    <row r="4" ht="23.25" hidden="1" customHeight="1" spans="1:45">
      <c r="A4" s="502"/>
      <c r="B4" s="502"/>
      <c r="C4" s="502"/>
      <c r="D4" s="502"/>
      <c r="E4" s="1144"/>
      <c r="F4" s="1144"/>
      <c r="G4" s="1143">
        <v>1</v>
      </c>
      <c r="H4" s="502"/>
      <c r="I4" s="502"/>
      <c r="J4" s="502"/>
      <c r="K4" s="502"/>
      <c r="L4" s="536"/>
      <c r="M4" s="42"/>
      <c r="N4" s="42"/>
      <c r="O4" s="42"/>
      <c r="P4" s="90"/>
      <c r="Q4" s="87"/>
      <c r="R4" s="88"/>
      <c r="S4" s="65" t="e">
        <f>INDEX(PT_DIFFERENTIATION_NUM_CS,MATCH(C4,PT_DIFFERENTIATION_CS_ID,0))</f>
        <v>#N/A</v>
      </c>
      <c r="T4" s="91" t="s">
        <v>395</v>
      </c>
      <c r="U4" s="84"/>
      <c r="V4" s="1090"/>
      <c r="W4" s="1061"/>
      <c r="X4" s="1061"/>
      <c r="Y4" s="1061"/>
      <c r="Z4" s="1061"/>
      <c r="AA4" s="1061"/>
      <c r="AB4" s="1061"/>
      <c r="AC4" s="1089"/>
      <c r="AD4" s="1090" t="e">
        <f>INDEX(PT_DIFFERENTIATION_CS,MATCH(C4,PT_DIFFERENTIATION_CS_ID,0))</f>
        <v>#N/A</v>
      </c>
      <c r="AE4" s="1061"/>
      <c r="AF4" s="1061"/>
      <c r="AG4" s="1061"/>
      <c r="AH4" s="1061"/>
      <c r="AI4" s="1061"/>
      <c r="AJ4" s="1061"/>
      <c r="AK4" s="1061"/>
      <c r="AL4" s="1089"/>
      <c r="AM4" s="136" t="s">
        <v>396</v>
      </c>
      <c r="AO4" s="151"/>
      <c r="AP4" s="151" t="str">
        <f t="shared" si="0"/>
        <v>Наименование системы теплоснабжения </v>
      </c>
      <c r="AQ4" s="151"/>
      <c r="AR4" s="151"/>
      <c r="AS4" s="43">
        <v>0</v>
      </c>
    </row>
    <row r="5" ht="21" hidden="1" customHeight="1" spans="1:45">
      <c r="A5" s="502"/>
      <c r="B5" s="502"/>
      <c r="C5" s="502"/>
      <c r="D5" s="502"/>
      <c r="E5" s="1144"/>
      <c r="F5" s="1144"/>
      <c r="G5" s="1144"/>
      <c r="H5" s="1143">
        <v>1</v>
      </c>
      <c r="I5" s="502"/>
      <c r="J5" s="502"/>
      <c r="K5" s="502"/>
      <c r="L5" s="536"/>
      <c r="M5" s="42"/>
      <c r="N5" s="42"/>
      <c r="O5" s="42"/>
      <c r="P5" s="90"/>
      <c r="Q5" s="87"/>
      <c r="R5" s="88"/>
      <c r="S5" s="65" t="e">
        <f>INDEX(PT_DIFFERENTIATION_NUM_IST_TE,MATCH(D5,PT_DIFFERENTIATION_IST_TE_ID,0))</f>
        <v>#N/A</v>
      </c>
      <c r="T5" s="92" t="s">
        <v>397</v>
      </c>
      <c r="U5" s="84"/>
      <c r="V5" s="1090"/>
      <c r="W5" s="1061"/>
      <c r="X5" s="1061"/>
      <c r="Y5" s="1061"/>
      <c r="Z5" s="1061"/>
      <c r="AA5" s="1061"/>
      <c r="AB5" s="1061"/>
      <c r="AC5" s="1089"/>
      <c r="AD5" s="1090" t="e">
        <f>INDEX(PT_DIFFERENTIATION_IST_TE,MATCH(D5,PT_DIFFERENTIATION_IST_TE_ID,0))</f>
        <v>#N/A</v>
      </c>
      <c r="AE5" s="1061"/>
      <c r="AF5" s="1061"/>
      <c r="AG5" s="1061"/>
      <c r="AH5" s="1061"/>
      <c r="AI5" s="1061"/>
      <c r="AJ5" s="1061"/>
      <c r="AK5" s="1061"/>
      <c r="AL5" s="1089"/>
      <c r="AM5" s="136" t="s">
        <v>398</v>
      </c>
      <c r="AO5" s="151"/>
      <c r="AP5" s="151" t="str">
        <f t="shared" si="0"/>
        <v>Источник тепловой энергии  </v>
      </c>
      <c r="AQ5" s="151"/>
      <c r="AR5" s="151"/>
      <c r="AS5" s="43">
        <v>0</v>
      </c>
    </row>
    <row r="6" ht="47.25" hidden="1" customHeight="1" spans="1:45">
      <c r="A6" s="502"/>
      <c r="B6" s="502"/>
      <c r="C6" s="502"/>
      <c r="D6" s="502"/>
      <c r="E6" s="1144"/>
      <c r="F6" s="1144"/>
      <c r="G6" s="1144"/>
      <c r="H6" s="1144"/>
      <c r="I6" s="64" t="e">
        <f>S5&amp;".1"</f>
        <v>#N/A</v>
      </c>
      <c r="J6" s="502"/>
      <c r="K6" s="502"/>
      <c r="L6" s="536" t="s">
        <v>399</v>
      </c>
      <c r="M6" s="43"/>
      <c r="P6" s="93">
        <v>1</v>
      </c>
      <c r="Q6" s="93"/>
      <c r="R6" s="94"/>
      <c r="S6" s="65" t="e">
        <f>$I6</f>
        <v>#N/A</v>
      </c>
      <c r="T6" s="95" t="s">
        <v>400</v>
      </c>
      <c r="U6" s="84"/>
      <c r="V6" s="99"/>
      <c r="W6" s="100"/>
      <c r="X6" s="100"/>
      <c r="Y6" s="100"/>
      <c r="Z6" s="100"/>
      <c r="AA6" s="100"/>
      <c r="AB6" s="100"/>
      <c r="AC6" s="137"/>
      <c r="AD6" s="99"/>
      <c r="AE6" s="100"/>
      <c r="AF6" s="100"/>
      <c r="AG6" s="100"/>
      <c r="AH6" s="100"/>
      <c r="AI6" s="100"/>
      <c r="AJ6" s="100"/>
      <c r="AK6" s="100"/>
      <c r="AL6" s="137"/>
      <c r="AM6" s="136" t="s">
        <v>401</v>
      </c>
      <c r="AO6" s="151"/>
      <c r="AP6" s="151" t="str">
        <f t="shared" si="0"/>
        <v>Схема подключения теплопотребляющей установки к коллектору источника тепловой энергии</v>
      </c>
      <c r="AQ6" s="151"/>
      <c r="AR6" s="151"/>
      <c r="AS6" s="43">
        <v>0</v>
      </c>
    </row>
    <row r="7" ht="21" hidden="1" customHeight="1" spans="1:45">
      <c r="A7" s="502"/>
      <c r="B7" s="502"/>
      <c r="C7" s="502"/>
      <c r="D7" s="502"/>
      <c r="E7" s="1144"/>
      <c r="F7" s="1144"/>
      <c r="G7" s="1144"/>
      <c r="H7" s="1144"/>
      <c r="I7" s="126"/>
      <c r="J7" s="64" t="e">
        <f>I6&amp;".1"</f>
        <v>#N/A</v>
      </c>
      <c r="K7" s="502"/>
      <c r="L7" s="536" t="s">
        <v>402</v>
      </c>
      <c r="M7" s="43"/>
      <c r="N7" s="43"/>
      <c r="P7" s="93"/>
      <c r="Q7" s="93">
        <v>1</v>
      </c>
      <c r="R7" s="97"/>
      <c r="S7" s="65" t="e">
        <f>$J7</f>
        <v>#N/A</v>
      </c>
      <c r="T7" s="98" t="s">
        <v>403</v>
      </c>
      <c r="U7" s="84"/>
      <c r="V7" s="99"/>
      <c r="W7" s="100"/>
      <c r="X7" s="100"/>
      <c r="Y7" s="100"/>
      <c r="Z7" s="100"/>
      <c r="AA7" s="100"/>
      <c r="AB7" s="100"/>
      <c r="AC7" s="137"/>
      <c r="AD7" s="99"/>
      <c r="AE7" s="100"/>
      <c r="AF7" s="100"/>
      <c r="AG7" s="100"/>
      <c r="AH7" s="100"/>
      <c r="AI7" s="100"/>
      <c r="AJ7" s="100"/>
      <c r="AK7" s="100"/>
      <c r="AL7" s="137"/>
      <c r="AM7" s="136" t="s">
        <v>404</v>
      </c>
      <c r="AO7" s="151"/>
      <c r="AP7" s="151" t="str">
        <f t="shared" si="0"/>
        <v>Группа потребителей</v>
      </c>
      <c r="AQ7" s="151"/>
      <c r="AR7" s="151"/>
      <c r="AS7" s="43">
        <v>0</v>
      </c>
    </row>
    <row r="8" ht="21" hidden="1" customHeight="1" spans="1:45">
      <c r="A8" s="502"/>
      <c r="B8" s="502"/>
      <c r="C8" s="502"/>
      <c r="D8" s="502"/>
      <c r="E8" s="1144"/>
      <c r="F8" s="1144"/>
      <c r="G8" s="1144"/>
      <c r="H8" s="1144"/>
      <c r="I8" s="126"/>
      <c r="J8" s="126"/>
      <c r="K8" s="64" t="e">
        <f>J7&amp;".1"</f>
        <v>#N/A</v>
      </c>
      <c r="L8" s="536" t="s">
        <v>405</v>
      </c>
      <c r="M8" s="43"/>
      <c r="N8" s="43"/>
      <c r="O8" s="43"/>
      <c r="P8" s="93"/>
      <c r="Q8" s="93"/>
      <c r="R8" s="97">
        <v>1</v>
      </c>
      <c r="S8" s="65" t="e">
        <f>$K8</f>
        <v>#N/A</v>
      </c>
      <c r="T8" s="101"/>
      <c r="U8" s="84"/>
      <c r="V8" s="102"/>
      <c r="W8" s="103"/>
      <c r="X8" s="102"/>
      <c r="Y8" s="138"/>
      <c r="Z8" s="139"/>
      <c r="AA8" s="140" t="s">
        <v>66</v>
      </c>
      <c r="AB8" s="139"/>
      <c r="AC8" s="140" t="s">
        <v>66</v>
      </c>
      <c r="AD8" s="102"/>
      <c r="AE8" s="103"/>
      <c r="AF8" s="102"/>
      <c r="AG8" s="138"/>
      <c r="AH8" s="139"/>
      <c r="AI8" s="140" t="s">
        <v>66</v>
      </c>
      <c r="AJ8" s="139"/>
      <c r="AK8" s="140" t="s">
        <v>66</v>
      </c>
      <c r="AL8" s="103"/>
      <c r="AM8" s="141" t="s">
        <v>406</v>
      </c>
      <c r="AN8" s="44" t="e">
        <f>STRCHECKDATE(V9:AL9)</f>
        <v>#NAME?</v>
      </c>
      <c r="AO8" s="151"/>
      <c r="AP8" s="151" t="str">
        <f t="shared" si="0"/>
        <v/>
      </c>
      <c r="AQ8" s="151"/>
      <c r="AR8" s="151"/>
      <c r="AS8" s="43">
        <v>0</v>
      </c>
    </row>
    <row r="9" ht="0.75" hidden="1" customHeight="1" spans="1:45">
      <c r="A9" s="502"/>
      <c r="B9" s="502"/>
      <c r="C9" s="502"/>
      <c r="D9" s="502"/>
      <c r="E9" s="1144"/>
      <c r="F9" s="1144"/>
      <c r="G9" s="1144"/>
      <c r="H9" s="1144"/>
      <c r="I9" s="126"/>
      <c r="J9" s="126"/>
      <c r="K9" s="64"/>
      <c r="L9" s="536"/>
      <c r="M9" s="43"/>
      <c r="N9" s="43"/>
      <c r="O9" s="43"/>
      <c r="P9" s="93"/>
      <c r="Q9" s="93"/>
      <c r="R9" s="97"/>
      <c r="S9" s="104"/>
      <c r="T9" s="84"/>
      <c r="U9" s="84"/>
      <c r="V9" s="103"/>
      <c r="W9" s="103"/>
      <c r="X9" s="103"/>
      <c r="Y9" s="142" t="str">
        <f>Z8&amp;"-"&amp;AB8</f>
        <v>-</v>
      </c>
      <c r="Z9" s="143"/>
      <c r="AA9" s="140"/>
      <c r="AB9" s="143"/>
      <c r="AC9" s="140"/>
      <c r="AD9" s="103"/>
      <c r="AE9" s="103"/>
      <c r="AF9" s="103"/>
      <c r="AG9" s="142" t="str">
        <f>AH8&amp;"-"&amp;AJ8</f>
        <v>-</v>
      </c>
      <c r="AH9" s="143"/>
      <c r="AI9" s="140"/>
      <c r="AJ9" s="143"/>
      <c r="AK9" s="140"/>
      <c r="AL9" s="103"/>
      <c r="AM9" s="144"/>
      <c r="AO9" s="151"/>
      <c r="AP9" s="151" t="str">
        <f t="shared" si="0"/>
        <v/>
      </c>
      <c r="AQ9" s="151"/>
      <c r="AR9" s="151"/>
      <c r="AS9" s="43">
        <v>0</v>
      </c>
    </row>
    <row r="10" ht="15" hidden="1" customHeight="1" spans="1:45">
      <c r="A10" s="502"/>
      <c r="B10" s="502"/>
      <c r="C10" s="502"/>
      <c r="D10" s="502"/>
      <c r="E10" s="1144"/>
      <c r="F10" s="1144"/>
      <c r="G10" s="1144"/>
      <c r="H10" s="1144"/>
      <c r="I10" s="126"/>
      <c r="J10" s="64"/>
      <c r="K10" s="502"/>
      <c r="L10" s="536"/>
      <c r="M10" s="43"/>
      <c r="N10" s="43"/>
      <c r="P10" s="93"/>
      <c r="Q10" s="93"/>
      <c r="R10" s="94"/>
      <c r="S10" s="105"/>
      <c r="T10" s="106" t="s">
        <v>407</v>
      </c>
      <c r="U10" s="107"/>
      <c r="V10" s="107"/>
      <c r="W10" s="107"/>
      <c r="X10" s="107"/>
      <c r="Y10" s="107"/>
      <c r="Z10" s="107"/>
      <c r="AA10" s="107"/>
      <c r="AB10" s="107"/>
      <c r="AC10" s="107"/>
      <c r="AD10" s="107"/>
      <c r="AE10" s="107"/>
      <c r="AF10" s="107"/>
      <c r="AG10" s="107"/>
      <c r="AH10" s="107"/>
      <c r="AI10" s="107"/>
      <c r="AJ10" s="107"/>
      <c r="AK10" s="107"/>
      <c r="AL10" s="145"/>
      <c r="AM10" s="146"/>
      <c r="AO10" s="151"/>
      <c r="AP10" s="151" t="str">
        <f t="shared" si="0"/>
        <v>Добавить вид теплоносителя (параметры теплоносителя)</v>
      </c>
      <c r="AQ10" s="151"/>
      <c r="AR10" s="151"/>
      <c r="AS10" s="43">
        <v>0</v>
      </c>
    </row>
    <row r="11" ht="15" hidden="1" customHeight="1" spans="1:45">
      <c r="A11" s="502"/>
      <c r="B11" s="502"/>
      <c r="C11" s="502"/>
      <c r="D11" s="502"/>
      <c r="E11" s="1144"/>
      <c r="F11" s="1144"/>
      <c r="G11" s="1144"/>
      <c r="H11" s="1144"/>
      <c r="I11" s="64"/>
      <c r="J11" s="502"/>
      <c r="K11" s="502"/>
      <c r="L11" s="536"/>
      <c r="M11" s="43"/>
      <c r="P11" s="93"/>
      <c r="Q11" s="93"/>
      <c r="R11" s="94"/>
      <c r="S11" s="105"/>
      <c r="T11" s="108" t="s">
        <v>408</v>
      </c>
      <c r="U11" s="107"/>
      <c r="V11" s="107"/>
      <c r="W11" s="107"/>
      <c r="X11" s="107"/>
      <c r="Y11" s="107"/>
      <c r="Z11" s="107"/>
      <c r="AA11" s="107"/>
      <c r="AB11" s="107"/>
      <c r="AC11" s="147"/>
      <c r="AD11" s="107"/>
      <c r="AE11" s="107"/>
      <c r="AF11" s="107"/>
      <c r="AG11" s="107"/>
      <c r="AH11" s="107"/>
      <c r="AI11" s="107"/>
      <c r="AJ11" s="107"/>
      <c r="AK11" s="147"/>
      <c r="AL11" s="107"/>
      <c r="AM11" s="148"/>
      <c r="AO11" s="151"/>
      <c r="AP11" s="151" t="str">
        <f t="shared" si="0"/>
        <v>Добавить группу потребителей</v>
      </c>
      <c r="AQ11" s="151"/>
      <c r="AR11" s="151"/>
      <c r="AS11" s="43">
        <v>0</v>
      </c>
    </row>
    <row r="12" hidden="1" customHeight="1" spans="1:45">
      <c r="A12" s="502"/>
      <c r="B12" s="502"/>
      <c r="C12" s="502"/>
      <c r="D12" s="502"/>
      <c r="E12" s="1144"/>
      <c r="F12" s="1144"/>
      <c r="G12" s="1144"/>
      <c r="H12" s="1143"/>
      <c r="I12" s="502"/>
      <c r="J12" s="502"/>
      <c r="K12" s="502"/>
      <c r="L12" s="536"/>
      <c r="M12" s="42"/>
      <c r="N12" s="42"/>
      <c r="O12" s="43"/>
      <c r="P12" s="81"/>
      <c r="Q12" s="109"/>
      <c r="R12" s="82"/>
      <c r="S12" s="105"/>
      <c r="T12" s="110" t="s">
        <v>409</v>
      </c>
      <c r="U12" s="107"/>
      <c r="V12" s="107"/>
      <c r="W12" s="107"/>
      <c r="X12" s="107"/>
      <c r="Y12" s="107"/>
      <c r="Z12" s="107"/>
      <c r="AA12" s="107"/>
      <c r="AB12" s="107"/>
      <c r="AC12" s="147"/>
      <c r="AD12" s="107"/>
      <c r="AE12" s="107"/>
      <c r="AF12" s="107"/>
      <c r="AG12" s="107"/>
      <c r="AH12" s="107"/>
      <c r="AI12" s="107"/>
      <c r="AJ12" s="107"/>
      <c r="AK12" s="147"/>
      <c r="AL12" s="107"/>
      <c r="AM12" s="148"/>
      <c r="AO12" s="151"/>
      <c r="AP12" s="151" t="str">
        <f t="shared" si="0"/>
        <v>Добавить схему подключения</v>
      </c>
      <c r="AQ12" s="151"/>
      <c r="AR12" s="151"/>
      <c r="AS12" s="43">
        <v>0</v>
      </c>
    </row>
    <row r="13" s="44" customFormat="1" ht="0.75" hidden="1" customHeight="1" spans="1:45">
      <c r="A13" s="1145"/>
      <c r="B13" s="1145"/>
      <c r="C13" s="1145"/>
      <c r="D13" s="1145"/>
      <c r="E13" s="1144"/>
      <c r="F13" s="1144"/>
      <c r="G13" s="1143"/>
      <c r="H13" s="1145"/>
      <c r="I13" s="1145"/>
      <c r="J13" s="1145"/>
      <c r="K13" s="1145"/>
      <c r="L13" s="1147"/>
      <c r="M13" s="1148"/>
      <c r="N13" s="1148"/>
      <c r="O13" s="37"/>
      <c r="P13" s="152"/>
      <c r="Q13" s="1082"/>
      <c r="R13" s="152"/>
      <c r="S13" s="1166"/>
      <c r="T13" s="1167" t="s">
        <v>410</v>
      </c>
      <c r="U13" s="1168"/>
      <c r="V13" s="1168"/>
      <c r="W13" s="1168"/>
      <c r="X13" s="1168"/>
      <c r="Y13" s="1168"/>
      <c r="Z13" s="1168"/>
      <c r="AA13" s="1168"/>
      <c r="AB13" s="1168"/>
      <c r="AC13" s="1168"/>
      <c r="AD13" s="1168"/>
      <c r="AE13" s="1168"/>
      <c r="AF13" s="1168"/>
      <c r="AG13" s="1168"/>
      <c r="AH13" s="1168"/>
      <c r="AI13" s="1168"/>
      <c r="AJ13" s="1168"/>
      <c r="AK13" s="1168"/>
      <c r="AL13" s="1168"/>
      <c r="AM13" s="1168"/>
      <c r="AO13" s="151"/>
      <c r="AP13" s="151" t="str">
        <f t="shared" si="0"/>
        <v>Добавить источник для дифференциации</v>
      </c>
      <c r="AQ13" s="151"/>
      <c r="AR13" s="151"/>
      <c r="AS13" s="44">
        <v>0</v>
      </c>
    </row>
    <row r="14" s="44" customFormat="1" ht="0.75" hidden="1" customHeight="1" spans="1:45">
      <c r="A14" s="1145"/>
      <c r="B14" s="1145"/>
      <c r="C14" s="1145"/>
      <c r="D14" s="1145"/>
      <c r="E14" s="1144"/>
      <c r="F14" s="1143"/>
      <c r="G14" s="1145"/>
      <c r="H14" s="1145"/>
      <c r="I14" s="1145"/>
      <c r="J14" s="1145"/>
      <c r="K14" s="1145"/>
      <c r="L14" s="1147"/>
      <c r="M14" s="1149"/>
      <c r="N14" s="1149"/>
      <c r="O14" s="37"/>
      <c r="P14" s="152"/>
      <c r="Q14" s="1082"/>
      <c r="R14" s="152"/>
      <c r="S14" s="1084"/>
      <c r="T14" s="1169" t="s">
        <v>411</v>
      </c>
      <c r="U14" s="307"/>
      <c r="V14" s="307"/>
      <c r="W14" s="307"/>
      <c r="X14" s="307"/>
      <c r="Y14" s="307"/>
      <c r="Z14" s="307"/>
      <c r="AA14" s="307"/>
      <c r="AB14" s="307"/>
      <c r="AC14" s="307"/>
      <c r="AD14" s="307"/>
      <c r="AE14" s="307"/>
      <c r="AF14" s="307"/>
      <c r="AG14" s="307"/>
      <c r="AH14" s="307"/>
      <c r="AI14" s="307"/>
      <c r="AJ14" s="307"/>
      <c r="AK14" s="307"/>
      <c r="AL14" s="307"/>
      <c r="AM14" s="307"/>
      <c r="AO14" s="151"/>
      <c r="AP14" s="151" t="str">
        <f t="shared" si="0"/>
        <v>Добавить централизованную систему для дифференциации</v>
      </c>
      <c r="AQ14" s="151"/>
      <c r="AR14" s="151"/>
      <c r="AS14" s="44">
        <v>0</v>
      </c>
    </row>
    <row r="15" s="44" customFormat="1" ht="0.75" hidden="1" customHeight="1" spans="1:45">
      <c r="A15" s="1145"/>
      <c r="B15" s="1145"/>
      <c r="C15" s="1145"/>
      <c r="D15" s="1145"/>
      <c r="E15" s="1143"/>
      <c r="F15" s="1145"/>
      <c r="G15" s="1145"/>
      <c r="H15" s="1145"/>
      <c r="I15" s="1145"/>
      <c r="J15" s="1145"/>
      <c r="K15" s="1145"/>
      <c r="L15" s="1147"/>
      <c r="M15" s="1149"/>
      <c r="N15" s="1149"/>
      <c r="O15" s="37"/>
      <c r="P15" s="152"/>
      <c r="Q15" s="1082"/>
      <c r="R15" s="152"/>
      <c r="S15" s="1084"/>
      <c r="T15" s="1085" t="s">
        <v>412</v>
      </c>
      <c r="U15" s="307"/>
      <c r="V15" s="307"/>
      <c r="W15" s="307"/>
      <c r="X15" s="307"/>
      <c r="Y15" s="307"/>
      <c r="Z15" s="307"/>
      <c r="AA15" s="307"/>
      <c r="AB15" s="307"/>
      <c r="AC15" s="307"/>
      <c r="AD15" s="307"/>
      <c r="AE15" s="307"/>
      <c r="AF15" s="307"/>
      <c r="AG15" s="307"/>
      <c r="AH15" s="307"/>
      <c r="AI15" s="307"/>
      <c r="AJ15" s="307"/>
      <c r="AK15" s="307"/>
      <c r="AL15" s="307"/>
      <c r="AM15" s="307"/>
      <c r="AO15" s="151"/>
      <c r="AP15" s="151" t="str">
        <f t="shared" si="0"/>
        <v>Добавить территорию для дифференциации</v>
      </c>
      <c r="AQ15" s="151"/>
      <c r="AR15" s="151"/>
      <c r="AS15" s="44">
        <v>0</v>
      </c>
    </row>
    <row r="16" hidden="1" customHeight="1" spans="45:45">
      <c r="AS16" s="43">
        <v>0</v>
      </c>
    </row>
    <row r="17" hidden="1" customHeight="1" spans="30:45">
      <c r="AD17" s="492"/>
      <c r="AE17" s="492"/>
      <c r="AF17" s="492"/>
      <c r="AG17" s="1132"/>
      <c r="AH17" s="1133"/>
      <c r="AI17" s="353" t="s">
        <v>66</v>
      </c>
      <c r="AJ17" s="1133"/>
      <c r="AK17" s="353" t="s">
        <v>66</v>
      </c>
      <c r="AS17" s="43">
        <v>0</v>
      </c>
    </row>
    <row r="18" hidden="1" customHeight="1" spans="30:45">
      <c r="AD18" s="492"/>
      <c r="AE18" s="492"/>
      <c r="AF18" s="492"/>
      <c r="AG18" s="142" t="str">
        <f>AH17&amp;"-"&amp;AJ17</f>
        <v>-</v>
      </c>
      <c r="AH18" s="353"/>
      <c r="AI18" s="353"/>
      <c r="AJ18" s="353"/>
      <c r="AK18" s="353"/>
      <c r="AS18" s="43">
        <v>0</v>
      </c>
    </row>
    <row r="19" hidden="1" customHeight="1" spans="45:45">
      <c r="AS19" s="43">
        <v>0</v>
      </c>
    </row>
    <row r="20" s="38" customFormat="1" ht="22.5" hidden="1" customHeight="1" spans="1:45">
      <c r="A20" s="43"/>
      <c r="B20" s="43"/>
      <c r="C20" s="43"/>
      <c r="D20" s="43"/>
      <c r="E20" s="43"/>
      <c r="F20" s="43"/>
      <c r="G20" s="43"/>
      <c r="H20" s="43"/>
      <c r="I20" s="43"/>
      <c r="J20" s="43"/>
      <c r="K20" s="43"/>
      <c r="L20" s="86"/>
      <c r="M20" s="40"/>
      <c r="N20" s="40"/>
      <c r="O20" s="1098" t="s">
        <v>413</v>
      </c>
      <c r="P20" s="39"/>
      <c r="Q20" s="1051"/>
      <c r="R20" s="1051"/>
      <c r="S20" s="47"/>
      <c r="Z20" s="1060"/>
      <c r="AB20" s="1060"/>
      <c r="AH20" s="1060"/>
      <c r="AJ20" s="1060"/>
      <c r="AN20" s="44"/>
      <c r="AO20" s="44"/>
      <c r="AP20" s="44"/>
      <c r="AQ20" s="44"/>
      <c r="AR20" s="44"/>
      <c r="AS20" s="38">
        <v>0</v>
      </c>
    </row>
    <row r="21" s="38" customFormat="1" hidden="1" customHeight="1" spans="1:45">
      <c r="A21" s="43"/>
      <c r="B21" s="43"/>
      <c r="C21" s="43"/>
      <c r="D21" s="43"/>
      <c r="E21" s="43"/>
      <c r="F21" s="43"/>
      <c r="G21" s="43"/>
      <c r="H21" s="43"/>
      <c r="I21" s="43"/>
      <c r="J21" s="43"/>
      <c r="K21" s="43"/>
      <c r="L21" s="86"/>
      <c r="M21" s="40"/>
      <c r="N21" s="40"/>
      <c r="O21" s="40"/>
      <c r="P21" s="39"/>
      <c r="Q21" s="1051"/>
      <c r="R21" s="1051"/>
      <c r="S21" s="47"/>
      <c r="AN21" s="44"/>
      <c r="AO21" s="44"/>
      <c r="AP21" s="44"/>
      <c r="AQ21" s="44"/>
      <c r="AR21" s="44"/>
      <c r="AS21" s="38">
        <v>0</v>
      </c>
    </row>
    <row r="22" s="38" customFormat="1" hidden="1" customHeight="1" spans="1:45">
      <c r="A22" s="43"/>
      <c r="B22" s="43"/>
      <c r="C22" s="43"/>
      <c r="D22" s="43"/>
      <c r="E22" s="43"/>
      <c r="F22" s="43"/>
      <c r="G22" s="43"/>
      <c r="H22" s="43"/>
      <c r="I22" s="43"/>
      <c r="J22" s="43"/>
      <c r="K22" s="43"/>
      <c r="L22" s="86"/>
      <c r="M22" s="40"/>
      <c r="N22" s="40"/>
      <c r="O22" s="536" t="s">
        <v>414</v>
      </c>
      <c r="P22" s="39"/>
      <c r="Q22" s="1051"/>
      <c r="R22" s="1051"/>
      <c r="S22" s="47"/>
      <c r="T22" s="38" t="s">
        <v>415</v>
      </c>
      <c r="AA22" s="45" t="s">
        <v>416</v>
      </c>
      <c r="AC22" s="45" t="s">
        <v>417</v>
      </c>
      <c r="AD22" s="38" t="s">
        <v>415</v>
      </c>
      <c r="AI22" s="45" t="s">
        <v>418</v>
      </c>
      <c r="AK22" s="45" t="s">
        <v>417</v>
      </c>
      <c r="AN22" s="44"/>
      <c r="AO22" s="44"/>
      <c r="AP22" s="44"/>
      <c r="AQ22" s="44"/>
      <c r="AR22" s="44"/>
      <c r="AS22" s="38">
        <v>0</v>
      </c>
    </row>
    <row r="23" hidden="1" customHeight="1" spans="15:45">
      <c r="O23" s="536"/>
      <c r="AS23" s="43">
        <v>0</v>
      </c>
    </row>
    <row r="24" hidden="1" customHeight="1" spans="15:45">
      <c r="O24" s="536"/>
      <c r="AS24" s="43">
        <v>0</v>
      </c>
    </row>
    <row r="25" ht="14.7" customHeight="1" spans="17:45">
      <c r="Q25" s="51"/>
      <c r="R25" s="51"/>
      <c r="S25" s="52"/>
      <c r="T25" s="53"/>
      <c r="U25" s="53"/>
      <c r="AS25" s="43">
        <v>14</v>
      </c>
    </row>
    <row r="26" ht="14.7" customHeight="1" spans="17:45">
      <c r="Q26" s="51"/>
      <c r="R26" s="51"/>
      <c r="S26" s="7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755"/>
      <c r="U26" s="755"/>
      <c r="V26" s="755"/>
      <c r="W26" s="755"/>
      <c r="X26" s="755"/>
      <c r="Y26" s="755"/>
      <c r="Z26" s="755"/>
      <c r="AA26" s="755"/>
      <c r="AB26" s="755"/>
      <c r="AC26" s="755"/>
      <c r="AD26" s="755"/>
      <c r="AE26" s="755"/>
      <c r="AF26" s="755"/>
      <c r="AG26" s="755"/>
      <c r="AH26" s="755"/>
      <c r="AI26" s="755"/>
      <c r="AJ26" s="755"/>
      <c r="AK26" s="121"/>
      <c r="AS26" s="43">
        <v>14</v>
      </c>
    </row>
    <row r="27" ht="14.7" customHeight="1" spans="17:45">
      <c r="Q27" s="51"/>
      <c r="R27" s="51"/>
      <c r="S27" s="660" t="str">
        <f>IF(org=0,"Не определено",org)</f>
        <v>АО "Теплокоммунэнерго"</v>
      </c>
      <c r="T27" s="660"/>
      <c r="U27" s="660"/>
      <c r="V27" s="660"/>
      <c r="W27" s="660"/>
      <c r="X27" s="660"/>
      <c r="Y27" s="660"/>
      <c r="Z27" s="660"/>
      <c r="AA27" s="660"/>
      <c r="AB27" s="660"/>
      <c r="AC27" s="660"/>
      <c r="AD27" s="660"/>
      <c r="AE27" s="660"/>
      <c r="AF27" s="660"/>
      <c r="AG27" s="660"/>
      <c r="AH27" s="660"/>
      <c r="AI27" s="660"/>
      <c r="AJ27" s="660"/>
      <c r="AK27" s="121"/>
      <c r="AS27" s="43">
        <v>14</v>
      </c>
    </row>
    <row r="28" hidden="1" customHeight="1" spans="17:45">
      <c r="Q28" s="51"/>
      <c r="R28" s="51"/>
      <c r="S28" s="52"/>
      <c r="T28" s="53"/>
      <c r="U28" s="53"/>
      <c r="V28" s="56"/>
      <c r="W28" s="56"/>
      <c r="X28" s="56"/>
      <c r="Y28" s="56"/>
      <c r="Z28" s="56"/>
      <c r="AA28" s="56"/>
      <c r="AB28" s="56"/>
      <c r="AC28" s="56"/>
      <c r="AD28" s="56"/>
      <c r="AE28" s="56"/>
      <c r="AF28" s="56"/>
      <c r="AG28" s="56"/>
      <c r="AH28" s="56"/>
      <c r="AI28" s="56"/>
      <c r="AJ28" s="56"/>
      <c r="AK28" s="56"/>
      <c r="AS28" s="43">
        <v>0</v>
      </c>
    </row>
    <row r="29" s="36" customFormat="1" ht="25.5" hidden="1" customHeight="1" spans="1:45">
      <c r="A29" s="503"/>
      <c r="B29" s="503"/>
      <c r="C29" s="503"/>
      <c r="D29" s="503"/>
      <c r="E29" s="503"/>
      <c r="F29" s="503"/>
      <c r="G29" s="503"/>
      <c r="H29" s="503"/>
      <c r="I29" s="503"/>
      <c r="J29" s="503"/>
      <c r="K29" s="503"/>
      <c r="L29" s="536"/>
      <c r="M29" s="503"/>
      <c r="N29" s="503"/>
      <c r="O29" s="503"/>
      <c r="S29"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58"/>
      <c r="U29" s="1088"/>
      <c r="V29" s="60" t="str">
        <f>IF(TITLE_NAME_OR_PR_CHANGE="",IF(TITLE_NAME_OR_PR="","",TITLE_NAME_OR_PR),TITLE_NAME_OR_PR_CHANGE)</f>
        <v/>
      </c>
      <c r="W29" s="60"/>
      <c r="X29" s="60"/>
      <c r="Y29" s="60"/>
      <c r="Z29" s="60"/>
      <c r="AA29" s="60"/>
      <c r="AB29" s="60"/>
      <c r="AC29" s="43"/>
      <c r="AD29" s="60" t="str">
        <f>IF(TITLE_NAME_OR_PR_CHANGE="",IF(TITLE_NAME_OR_PR="","",TITLE_NAME_OR_PR),TITLE_NAME_OR_PR_CHANGE)</f>
        <v/>
      </c>
      <c r="AE29" s="60"/>
      <c r="AF29" s="60"/>
      <c r="AG29" s="60"/>
      <c r="AH29" s="60"/>
      <c r="AI29" s="60"/>
      <c r="AJ29" s="60"/>
      <c r="AK29" s="43"/>
      <c r="AL29" s="43"/>
      <c r="AM29" s="122"/>
      <c r="AN29" s="151"/>
      <c r="AO29" s="151"/>
      <c r="AP29" s="151"/>
      <c r="AQ29" s="151"/>
      <c r="AR29" s="151"/>
      <c r="AS29" s="36">
        <v>0</v>
      </c>
    </row>
    <row r="30" s="36" customFormat="1" ht="18.75" hidden="1" customHeight="1" spans="1:45">
      <c r="A30" s="503"/>
      <c r="B30" s="503"/>
      <c r="C30" s="503"/>
      <c r="D30" s="503"/>
      <c r="E30" s="503"/>
      <c r="F30" s="503"/>
      <c r="G30" s="503"/>
      <c r="H30" s="503"/>
      <c r="I30" s="503"/>
      <c r="J30" s="503"/>
      <c r="K30" s="503"/>
      <c r="L30" s="536"/>
      <c r="M30" s="503"/>
      <c r="N30" s="503"/>
      <c r="O30" s="503"/>
      <c r="S30" s="58" t="str">
        <f>"Дата документа об "&amp;IF(TITLE_DATE_PR_CHANGE="","утверждении","изменении")&amp;" тарифов"</f>
        <v>Дата документа об утверждении тарифов</v>
      </c>
      <c r="T30" s="58"/>
      <c r="U30" s="1088"/>
      <c r="V30" s="793" t="str">
        <f>IF(TITLE_DATE_PR_CHANGE="",IF(TITLE_DATE_PR="","",TITLE_DATE_PR),TITLE_DATE_PR_CHANGE)</f>
        <v/>
      </c>
      <c r="W30" s="793"/>
      <c r="X30" s="793"/>
      <c r="Y30" s="793"/>
      <c r="Z30" s="793"/>
      <c r="AA30" s="793"/>
      <c r="AB30" s="793"/>
      <c r="AC30" s="43"/>
      <c r="AD30" s="793" t="str">
        <f>IF(TITLE_DATE_PR_CHANGE="",IF(TITLE_DATE_PR="","",TITLE_DATE_PR),TITLE_DATE_PR_CHANGE)</f>
        <v/>
      </c>
      <c r="AE30" s="793"/>
      <c r="AF30" s="793"/>
      <c r="AG30" s="793"/>
      <c r="AH30" s="793"/>
      <c r="AI30" s="793"/>
      <c r="AJ30" s="793"/>
      <c r="AK30" s="43"/>
      <c r="AL30" s="43"/>
      <c r="AM30" s="122"/>
      <c r="AN30" s="151"/>
      <c r="AO30" s="151"/>
      <c r="AP30" s="151"/>
      <c r="AQ30" s="151"/>
      <c r="AR30" s="151"/>
      <c r="AS30" s="36">
        <v>0</v>
      </c>
    </row>
    <row r="31" s="36" customFormat="1" ht="18.75" hidden="1" customHeight="1" spans="1:45">
      <c r="A31" s="503"/>
      <c r="B31" s="503"/>
      <c r="C31" s="503"/>
      <c r="D31" s="503"/>
      <c r="E31" s="503"/>
      <c r="F31" s="503"/>
      <c r="G31" s="503"/>
      <c r="H31" s="503"/>
      <c r="I31" s="503"/>
      <c r="J31" s="503"/>
      <c r="K31" s="503"/>
      <c r="L31" s="536"/>
      <c r="M31" s="503"/>
      <c r="N31" s="503"/>
      <c r="O31" s="503"/>
      <c r="S31" s="58" t="str">
        <f>"Номер документа об "&amp;IF(TITLE_DATE_PR_CHANGE="","утверждении","изменении")&amp;" тарифов"</f>
        <v>Номер документа об утверждении тарифов</v>
      </c>
      <c r="T31" s="58"/>
      <c r="U31" s="1088"/>
      <c r="V31" s="60" t="str">
        <f>IF(TITLE_NUMBER_PR_CHANGE="",IF(TITLE_NUMBER_PR="","",TITLE_NUMBER_PR),TITLE_NUMBER_PR_CHANGE)</f>
        <v/>
      </c>
      <c r="W31" s="60"/>
      <c r="X31" s="60"/>
      <c r="Y31" s="60"/>
      <c r="Z31" s="60"/>
      <c r="AA31" s="60"/>
      <c r="AB31" s="60"/>
      <c r="AC31" s="43"/>
      <c r="AD31" s="60" t="str">
        <f>IF(TITLE_NUMBER_PR_CHANGE="",IF(TITLE_NUMBER_PR="","",TITLE_NUMBER_PR),TITLE_NUMBER_PR_CHANGE)</f>
        <v/>
      </c>
      <c r="AE31" s="60"/>
      <c r="AF31" s="60"/>
      <c r="AG31" s="60"/>
      <c r="AH31" s="60"/>
      <c r="AI31" s="60"/>
      <c r="AJ31" s="60"/>
      <c r="AK31" s="43"/>
      <c r="AL31" s="43"/>
      <c r="AM31" s="122"/>
      <c r="AN31" s="151"/>
      <c r="AO31" s="151"/>
      <c r="AP31" s="151"/>
      <c r="AQ31" s="151"/>
      <c r="AR31" s="151"/>
      <c r="AS31" s="36">
        <v>0</v>
      </c>
    </row>
    <row r="32" s="36" customFormat="1" ht="18.75" hidden="1" customHeight="1" spans="1:45">
      <c r="A32" s="503"/>
      <c r="B32" s="503"/>
      <c r="C32" s="503"/>
      <c r="D32" s="503"/>
      <c r="E32" s="503"/>
      <c r="F32" s="503"/>
      <c r="G32" s="503"/>
      <c r="H32" s="503"/>
      <c r="I32" s="503"/>
      <c r="J32" s="503"/>
      <c r="K32" s="503"/>
      <c r="L32" s="536"/>
      <c r="M32" s="503"/>
      <c r="N32" s="503"/>
      <c r="O32" s="503"/>
      <c r="S32" s="58" t="s">
        <v>43</v>
      </c>
      <c r="T32" s="58"/>
      <c r="U32" s="1088"/>
      <c r="V32" s="60" t="str">
        <f>IF(TITLE_IST_PUB_CHANGE="",IF(TITLE_IST_PUB="","",TITLE_IST_PUB),TITLE_IST_PUB_CHANGE)</f>
        <v/>
      </c>
      <c r="W32" s="60"/>
      <c r="X32" s="60"/>
      <c r="Y32" s="60"/>
      <c r="Z32" s="60"/>
      <c r="AA32" s="60"/>
      <c r="AB32" s="60"/>
      <c r="AC32" s="43"/>
      <c r="AD32" s="60" t="str">
        <f>IF(TITLE_IST_PUB_CHANGE="",IF(TITLE_IST_PUB="","",TITLE_IST_PUB),TITLE_IST_PUB_CHANGE)</f>
        <v/>
      </c>
      <c r="AE32" s="60"/>
      <c r="AF32" s="60"/>
      <c r="AG32" s="60"/>
      <c r="AH32" s="60"/>
      <c r="AI32" s="60"/>
      <c r="AJ32" s="60"/>
      <c r="AK32" s="43"/>
      <c r="AL32" s="43"/>
      <c r="AM32" s="122"/>
      <c r="AN32" s="151"/>
      <c r="AO32" s="151"/>
      <c r="AP32" s="151"/>
      <c r="AQ32" s="151"/>
      <c r="AR32" s="151"/>
      <c r="AS32" s="36">
        <v>0</v>
      </c>
    </row>
    <row r="33" hidden="1" customHeight="1" spans="17:45">
      <c r="Q33" s="51"/>
      <c r="R33" s="51"/>
      <c r="S33" s="52"/>
      <c r="T33" s="53"/>
      <c r="U33" s="53"/>
      <c r="V33" s="56"/>
      <c r="W33" s="56"/>
      <c r="X33" s="56"/>
      <c r="Y33" s="56"/>
      <c r="Z33" s="56"/>
      <c r="AA33" s="56"/>
      <c r="AB33" s="56"/>
      <c r="AC33" s="56"/>
      <c r="AD33" s="56"/>
      <c r="AE33" s="56"/>
      <c r="AF33" s="56"/>
      <c r="AG33" s="56"/>
      <c r="AH33" s="56"/>
      <c r="AI33" s="56"/>
      <c r="AJ33" s="56"/>
      <c r="AK33" s="56"/>
      <c r="AS33" s="43">
        <v>0</v>
      </c>
    </row>
    <row r="34" s="36" customFormat="1" ht="18.75" hidden="1" customHeight="1" spans="1:45">
      <c r="A34" s="503"/>
      <c r="B34" s="503"/>
      <c r="C34" s="503"/>
      <c r="D34" s="503"/>
      <c r="E34" s="503"/>
      <c r="F34" s="503"/>
      <c r="G34" s="503"/>
      <c r="H34" s="503"/>
      <c r="I34" s="503"/>
      <c r="J34" s="503"/>
      <c r="K34" s="503"/>
      <c r="L34" s="536"/>
      <c r="M34" s="503"/>
      <c r="N34" s="503"/>
      <c r="O34" s="503"/>
      <c r="S34" s="58" t="str">
        <f>"Дата подачи заявления об "&amp;IF(TITLE_DATE_PR_CHANGE="","утверждении","изменении")&amp;" тарифов"</f>
        <v>Дата подачи заявления об утверждении тарифов</v>
      </c>
      <c r="T34" s="58"/>
      <c r="U34" s="1088"/>
      <c r="V34" s="793" t="str">
        <f>IF(TITLE_DATE_PR_CHANGE="",IF(TITLE_DATE_PR="","",TITLE_DATE_PR),TITLE_DATE_PR_CHANGE)</f>
        <v/>
      </c>
      <c r="W34" s="793"/>
      <c r="X34" s="793"/>
      <c r="Y34" s="793"/>
      <c r="Z34" s="793"/>
      <c r="AA34" s="793"/>
      <c r="AB34" s="793"/>
      <c r="AC34" s="43"/>
      <c r="AD34" s="793" t="str">
        <f>IF(TITLE_DATE_PR_CHANGE="",IF(TITLE_DATE_PR="","",TITLE_DATE_PR),TITLE_DATE_PR_CHANGE)</f>
        <v/>
      </c>
      <c r="AE34" s="793"/>
      <c r="AF34" s="793"/>
      <c r="AG34" s="793"/>
      <c r="AH34" s="793"/>
      <c r="AI34" s="793"/>
      <c r="AJ34" s="793"/>
      <c r="AK34" s="43"/>
      <c r="AL34" s="43"/>
      <c r="AM34" s="122"/>
      <c r="AN34" s="151"/>
      <c r="AO34" s="151"/>
      <c r="AP34" s="151"/>
      <c r="AQ34" s="151"/>
      <c r="AR34" s="151"/>
      <c r="AS34" s="36">
        <v>0</v>
      </c>
    </row>
    <row r="35" s="36" customFormat="1" ht="18.75" hidden="1" customHeight="1" spans="1:45">
      <c r="A35" s="503"/>
      <c r="B35" s="503"/>
      <c r="C35" s="503"/>
      <c r="D35" s="503"/>
      <c r="E35" s="503"/>
      <c r="F35" s="503"/>
      <c r="G35" s="503"/>
      <c r="H35" s="503"/>
      <c r="I35" s="503"/>
      <c r="J35" s="503"/>
      <c r="K35" s="503"/>
      <c r="L35" s="536"/>
      <c r="M35" s="503"/>
      <c r="N35" s="503"/>
      <c r="O35" s="503"/>
      <c r="S35" s="58" t="str">
        <f>"Номер подачи заявления об "&amp;IF(TITLE_DATE_PR_CHANGE="","утверждении","изменении")&amp;" тарифов"</f>
        <v>Номер подачи заявления об утверждении тарифов</v>
      </c>
      <c r="T35" s="58"/>
      <c r="U35" s="1088"/>
      <c r="V35" s="60" t="str">
        <f>IF(TITLE_NUMBER_PR_CHANGE="",IF(TITLE_NUMBER_PR="","",TITLE_NUMBER_PR),TITLE_NUMBER_PR_CHANGE)</f>
        <v/>
      </c>
      <c r="W35" s="60"/>
      <c r="X35" s="60"/>
      <c r="Y35" s="60"/>
      <c r="Z35" s="60"/>
      <c r="AA35" s="60"/>
      <c r="AB35" s="60"/>
      <c r="AC35" s="43"/>
      <c r="AD35" s="60" t="str">
        <f>IF(TITLE_NUMBER_PR_CHANGE="",IF(TITLE_NUMBER_PR="","",TITLE_NUMBER_PR),TITLE_NUMBER_PR_CHANGE)</f>
        <v/>
      </c>
      <c r="AE35" s="60"/>
      <c r="AF35" s="60"/>
      <c r="AG35" s="60"/>
      <c r="AH35" s="60"/>
      <c r="AI35" s="60"/>
      <c r="AJ35" s="60"/>
      <c r="AK35" s="43"/>
      <c r="AL35" s="43"/>
      <c r="AM35" s="122"/>
      <c r="AN35" s="151"/>
      <c r="AO35" s="151"/>
      <c r="AP35" s="151"/>
      <c r="AQ35" s="151"/>
      <c r="AR35" s="151"/>
      <c r="AS35" s="36">
        <v>0</v>
      </c>
    </row>
    <row r="36" s="36" customFormat="1" hidden="1" customHeight="1" spans="1:45">
      <c r="A36" s="503"/>
      <c r="B36" s="503"/>
      <c r="C36" s="503"/>
      <c r="D36" s="503"/>
      <c r="E36" s="503"/>
      <c r="F36" s="503"/>
      <c r="G36" s="503"/>
      <c r="H36" s="503"/>
      <c r="I36" s="503"/>
      <c r="J36" s="503"/>
      <c r="K36" s="503"/>
      <c r="L36" s="536"/>
      <c r="M36" s="503"/>
      <c r="N36" s="503"/>
      <c r="O36" s="503"/>
      <c r="S36" s="43"/>
      <c r="T36" s="43"/>
      <c r="U36" s="61"/>
      <c r="V36" s="43"/>
      <c r="W36" s="43"/>
      <c r="X36" s="43"/>
      <c r="Y36" s="43"/>
      <c r="Z36" s="43"/>
      <c r="AA36" s="43"/>
      <c r="AB36" s="43"/>
      <c r="AC36" s="44" t="s">
        <v>419</v>
      </c>
      <c r="AD36" s="43"/>
      <c r="AE36" s="43"/>
      <c r="AF36" s="43"/>
      <c r="AG36" s="43"/>
      <c r="AH36" s="43"/>
      <c r="AI36" s="43"/>
      <c r="AJ36" s="43"/>
      <c r="AK36" s="44" t="s">
        <v>419</v>
      </c>
      <c r="AN36" s="151"/>
      <c r="AO36" s="151"/>
      <c r="AP36" s="151"/>
      <c r="AQ36" s="151"/>
      <c r="AR36" s="151"/>
      <c r="AS36" s="36">
        <v>0</v>
      </c>
    </row>
    <row r="37" ht="14.7" customHeight="1" spans="17:45">
      <c r="Q37" s="51"/>
      <c r="R37" s="51"/>
      <c r="S37" s="52"/>
      <c r="T37" s="53"/>
      <c r="U37" s="62"/>
      <c r="V37" s="63"/>
      <c r="W37" s="63"/>
      <c r="X37" s="63"/>
      <c r="Y37" s="63"/>
      <c r="Z37" s="63"/>
      <c r="AA37" s="63"/>
      <c r="AB37" s="63"/>
      <c r="AC37" s="63"/>
      <c r="AD37" s="63"/>
      <c r="AE37" s="63"/>
      <c r="AF37" s="63"/>
      <c r="AG37" s="63"/>
      <c r="AH37" s="63"/>
      <c r="AI37" s="63"/>
      <c r="AJ37" s="63"/>
      <c r="AK37" s="63"/>
      <c r="AS37" s="43">
        <v>14</v>
      </c>
    </row>
    <row r="38" ht="14.7" customHeight="1" spans="17:45">
      <c r="Q38" s="51"/>
      <c r="R38" s="51"/>
      <c r="S38" s="64" t="s">
        <v>296</v>
      </c>
      <c r="T38" s="64"/>
      <c r="U38" s="64"/>
      <c r="V38" s="64"/>
      <c r="W38" s="64"/>
      <c r="X38" s="64"/>
      <c r="Y38" s="64"/>
      <c r="Z38" s="64"/>
      <c r="AA38" s="64"/>
      <c r="AB38" s="64"/>
      <c r="AC38" s="64"/>
      <c r="AD38" s="64"/>
      <c r="AE38" s="64"/>
      <c r="AF38" s="64"/>
      <c r="AG38" s="64"/>
      <c r="AH38" s="64"/>
      <c r="AI38" s="64"/>
      <c r="AJ38" s="64"/>
      <c r="AK38" s="64"/>
      <c r="AL38" s="64"/>
      <c r="AM38" s="64" t="s">
        <v>297</v>
      </c>
      <c r="AS38" s="43">
        <v>14</v>
      </c>
    </row>
    <row r="39" ht="14.7" customHeight="1" spans="17:45">
      <c r="Q39" s="51"/>
      <c r="R39" s="51"/>
      <c r="S39" s="65" t="s">
        <v>89</v>
      </c>
      <c r="T39" s="66" t="s">
        <v>420</v>
      </c>
      <c r="U39" s="67"/>
      <c r="V39" s="68" t="s">
        <v>421</v>
      </c>
      <c r="W39" s="69"/>
      <c r="X39" s="69"/>
      <c r="Y39" s="69"/>
      <c r="Z39" s="69"/>
      <c r="AA39" s="69"/>
      <c r="AB39" s="123"/>
      <c r="AC39" s="124" t="s">
        <v>422</v>
      </c>
      <c r="AD39" s="68" t="s">
        <v>421</v>
      </c>
      <c r="AE39" s="69"/>
      <c r="AF39" s="69"/>
      <c r="AG39" s="69"/>
      <c r="AH39" s="69"/>
      <c r="AI39" s="69"/>
      <c r="AJ39" s="123"/>
      <c r="AK39" s="124" t="s">
        <v>423</v>
      </c>
      <c r="AL39" s="125" t="s">
        <v>424</v>
      </c>
      <c r="AM39" s="64"/>
      <c r="AS39" s="43">
        <v>14</v>
      </c>
    </row>
    <row r="40" ht="35.7" customHeight="1" spans="17:45">
      <c r="Q40" s="51"/>
      <c r="R40" s="51"/>
      <c r="S40" s="65"/>
      <c r="T40" s="66"/>
      <c r="U40" s="70"/>
      <c r="V40" s="71" t="s">
        <v>425</v>
      </c>
      <c r="W40" s="1181" t="s">
        <v>426</v>
      </c>
      <c r="X40" s="126" t="s">
        <v>427</v>
      </c>
      <c r="Y40" s="127"/>
      <c r="Z40" s="126" t="s">
        <v>441</v>
      </c>
      <c r="AA40" s="128"/>
      <c r="AB40" s="127"/>
      <c r="AC40" s="129"/>
      <c r="AD40" s="71" t="s">
        <v>425</v>
      </c>
      <c r="AE40" s="1181" t="s">
        <v>426</v>
      </c>
      <c r="AF40" s="126" t="s">
        <v>427</v>
      </c>
      <c r="AG40" s="127"/>
      <c r="AH40" s="126" t="s">
        <v>428</v>
      </c>
      <c r="AI40" s="128"/>
      <c r="AJ40" s="127"/>
      <c r="AK40" s="129"/>
      <c r="AL40" s="130"/>
      <c r="AM40" s="64"/>
      <c r="AS40" s="43">
        <v>34</v>
      </c>
    </row>
    <row r="41" ht="35.7" customHeight="1" spans="1:45">
      <c r="A41" s="503"/>
      <c r="B41" s="503" t="s">
        <v>133</v>
      </c>
      <c r="C41" s="503" t="s">
        <v>134</v>
      </c>
      <c r="D41" s="503" t="s">
        <v>135</v>
      </c>
      <c r="E41" s="536" t="s">
        <v>429</v>
      </c>
      <c r="F41" s="536" t="s">
        <v>430</v>
      </c>
      <c r="G41" s="536" t="s">
        <v>431</v>
      </c>
      <c r="H41" s="536" t="s">
        <v>432</v>
      </c>
      <c r="I41" s="536" t="s">
        <v>433</v>
      </c>
      <c r="J41" s="536" t="s">
        <v>434</v>
      </c>
      <c r="K41" s="536" t="s">
        <v>435</v>
      </c>
      <c r="L41" s="536" t="s">
        <v>414</v>
      </c>
      <c r="Q41" s="51"/>
      <c r="R41" s="51"/>
      <c r="S41" s="65"/>
      <c r="T41" s="66"/>
      <c r="U41" s="72"/>
      <c r="V41" s="73"/>
      <c r="W41" s="222"/>
      <c r="X41" s="131" t="s">
        <v>436</v>
      </c>
      <c r="Y41" s="131" t="s">
        <v>437</v>
      </c>
      <c r="Z41" s="131" t="s">
        <v>438</v>
      </c>
      <c r="AA41" s="132" t="s">
        <v>439</v>
      </c>
      <c r="AB41" s="133"/>
      <c r="AC41" s="134"/>
      <c r="AD41" s="73"/>
      <c r="AE41" s="222"/>
      <c r="AF41" s="131" t="s">
        <v>436</v>
      </c>
      <c r="AG41" s="131" t="s">
        <v>437</v>
      </c>
      <c r="AH41" s="131" t="s">
        <v>438</v>
      </c>
      <c r="AI41" s="132" t="s">
        <v>439</v>
      </c>
      <c r="AJ41" s="133"/>
      <c r="AK41" s="134"/>
      <c r="AL41" s="135"/>
      <c r="AM41" s="64"/>
      <c r="AS41" s="43">
        <v>34</v>
      </c>
    </row>
    <row r="42" s="37" customFormat="1" ht="11.25" hidden="1" customHeight="1" spans="1:45">
      <c r="A42" s="503"/>
      <c r="B42" s="503"/>
      <c r="C42" s="503"/>
      <c r="D42" s="503"/>
      <c r="E42" s="503"/>
      <c r="F42" s="503"/>
      <c r="G42" s="503"/>
      <c r="H42" s="503"/>
      <c r="I42" s="503"/>
      <c r="J42" s="503"/>
      <c r="K42" s="503"/>
      <c r="L42" s="536"/>
      <c r="M42" s="40"/>
      <c r="N42" s="40"/>
      <c r="O42" s="40"/>
      <c r="P42" s="74"/>
      <c r="Q42" s="75"/>
      <c r="R42" s="76">
        <v>1</v>
      </c>
      <c r="S42" s="77" t="s">
        <v>107</v>
      </c>
      <c r="T42" s="78" t="s">
        <v>108</v>
      </c>
      <c r="U42" s="79" t="str">
        <f ca="1">OFFSET(U42,0,-1)</f>
        <v>2</v>
      </c>
      <c r="V42" s="80">
        <f ca="1">OFFSET(V42,0,-1)+1</f>
        <v>3</v>
      </c>
      <c r="W42" s="80"/>
      <c r="X42" s="80">
        <f ca="1">OFFSET(X42,0,-1)+1</f>
        <v>1</v>
      </c>
      <c r="Y42" s="80">
        <f ca="1">OFFSET(Y42,0,-1)+1</f>
        <v>2</v>
      </c>
      <c r="Z42" s="80">
        <f ca="1">OFFSET(Z42,0,-1)+1</f>
        <v>3</v>
      </c>
      <c r="AA42" s="80">
        <f ca="1">OFFSET(AA42,0,-1)+1</f>
        <v>4</v>
      </c>
      <c r="AB42" s="80"/>
      <c r="AC42" s="80">
        <f ca="1">OFFSET(AC42,0,-2)+1</f>
        <v>5</v>
      </c>
      <c r="AD42" s="80">
        <f ca="1">OFFSET(AD42,0,-1)+1</f>
        <v>6</v>
      </c>
      <c r="AE42" s="80"/>
      <c r="AF42" s="80">
        <f ca="1">OFFSET(AF42,0,-1)+1</f>
        <v>1</v>
      </c>
      <c r="AG42" s="80">
        <f ca="1">OFFSET(AG42,0,-1)+1</f>
        <v>2</v>
      </c>
      <c r="AH42" s="80">
        <f ca="1">OFFSET(AH42,0,-1)+1</f>
        <v>3</v>
      </c>
      <c r="AI42" s="80">
        <f ca="1">OFFSET(AI42,0,-1)+1</f>
        <v>4</v>
      </c>
      <c r="AJ42" s="80"/>
      <c r="AK42" s="80">
        <f ca="1">OFFSET(AK42,0,-2)+1</f>
        <v>5</v>
      </c>
      <c r="AL42" s="79">
        <f ca="1">OFFSET(AL42,0,-1)</f>
        <v>5</v>
      </c>
      <c r="AM42" s="80">
        <f ca="1">OFFSET(AM42,0,-1)+1</f>
        <v>6</v>
      </c>
      <c r="AN42" s="44"/>
      <c r="AO42" s="44"/>
      <c r="AP42" s="44"/>
      <c r="AQ42" s="44"/>
      <c r="AR42" s="44"/>
      <c r="AS42" s="37">
        <v>0</v>
      </c>
    </row>
    <row r="43" ht="22.05" customHeight="1" spans="1:45">
      <c r="A43" s="502" t="s">
        <v>208</v>
      </c>
      <c r="B43" s="502"/>
      <c r="C43" s="502"/>
      <c r="D43" s="502"/>
      <c r="E43" s="1143">
        <v>1</v>
      </c>
      <c r="F43" s="502"/>
      <c r="G43" s="502"/>
      <c r="H43" s="502"/>
      <c r="I43" s="502"/>
      <c r="J43" s="502"/>
      <c r="K43" s="502"/>
      <c r="L43" s="536"/>
      <c r="M43" s="42"/>
      <c r="N43" s="42"/>
      <c r="O43" s="42"/>
      <c r="Q43" s="81"/>
      <c r="R43" s="82"/>
      <c r="S43" s="65">
        <f>INDEX(PT_DIFFERENTIATION_NUM_NTAR,MATCH(A43,PT_DIFFERENTIATION_NTAR_ID,0))</f>
        <v>0</v>
      </c>
      <c r="T43" s="83" t="s">
        <v>121</v>
      </c>
      <c r="U43" s="84"/>
      <c r="V43" s="1090"/>
      <c r="W43" s="1061"/>
      <c r="X43" s="1061"/>
      <c r="Y43" s="1061"/>
      <c r="Z43" s="1061"/>
      <c r="AA43" s="1061"/>
      <c r="AB43" s="1061"/>
      <c r="AC43" s="1089"/>
      <c r="AD43" s="1090" t="str">
        <f>INDEX(PT_DIFFERENTIATION_NTAR,MATCH(A43,PT_DIFFERENTIATION_NTAR_ID,0))</f>
        <v/>
      </c>
      <c r="AE43" s="1061"/>
      <c r="AF43" s="1061"/>
      <c r="AG43" s="1061"/>
      <c r="AH43" s="1061"/>
      <c r="AI43" s="1061"/>
      <c r="AJ43" s="1061"/>
      <c r="AK43" s="1061"/>
      <c r="AL43" s="1089"/>
      <c r="AM43" s="1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
      <c r="AP43" s="151" t="str">
        <f t="shared" ref="AP43:AP57" si="1">IF(T43="","",T43)</f>
        <v>Наименование тарифа</v>
      </c>
      <c r="AQ43" s="151"/>
      <c r="AR43" s="151"/>
      <c r="AS43" s="43">
        <v>21</v>
      </c>
    </row>
    <row r="44" ht="22.05" customHeight="1" spans="1:45">
      <c r="A44" s="502" t="s">
        <v>208</v>
      </c>
      <c r="B44" s="502" t="s">
        <v>209</v>
      </c>
      <c r="C44" s="502"/>
      <c r="D44" s="502"/>
      <c r="E44" s="1144"/>
      <c r="F44" s="1143">
        <v>1</v>
      </c>
      <c r="G44" s="502"/>
      <c r="H44" s="502"/>
      <c r="I44" s="502"/>
      <c r="J44" s="502"/>
      <c r="K44" s="502"/>
      <c r="L44" s="536"/>
      <c r="M44" s="42"/>
      <c r="N44" s="42"/>
      <c r="O44" s="42"/>
      <c r="P44" s="86"/>
      <c r="Q44" s="87"/>
      <c r="R44" s="88"/>
      <c r="S44" s="65" t="str">
        <f>INDEX(PT_DIFFERENTIATION_NUM_TER,MATCH(B44,PT_DIFFERENTIATION_TER_ID,0))</f>
        <v>.</v>
      </c>
      <c r="T44" s="89" t="s">
        <v>393</v>
      </c>
      <c r="U44" s="84"/>
      <c r="V44" s="1090"/>
      <c r="W44" s="1061"/>
      <c r="X44" s="1061"/>
      <c r="Y44" s="1061"/>
      <c r="Z44" s="1061"/>
      <c r="AA44" s="1061"/>
      <c r="AB44" s="1061"/>
      <c r="AC44" s="1089"/>
      <c r="AD44" s="1090" t="str">
        <f>INDEX(PT_DIFFERENTIATION_TER,MATCH(B44,PT_DIFFERENTIATION_TER_ID,0))</f>
        <v/>
      </c>
      <c r="AE44" s="1061"/>
      <c r="AF44" s="1061"/>
      <c r="AG44" s="1061"/>
      <c r="AH44" s="1061"/>
      <c r="AI44" s="1061"/>
      <c r="AJ44" s="1061"/>
      <c r="AK44" s="1061"/>
      <c r="AL44" s="1089"/>
      <c r="AM44" s="136" t="s">
        <v>394</v>
      </c>
      <c r="AO44" s="151"/>
      <c r="AP44" s="151" t="str">
        <f t="shared" si="1"/>
        <v>Территория действия тарифа</v>
      </c>
      <c r="AQ44" s="151"/>
      <c r="AR44" s="151"/>
      <c r="AS44" s="43">
        <v>21</v>
      </c>
    </row>
    <row r="45" ht="24" customHeight="1" spans="1:45">
      <c r="A45" s="502" t="s">
        <v>208</v>
      </c>
      <c r="B45" s="502" t="s">
        <v>209</v>
      </c>
      <c r="C45" s="502" t="s">
        <v>210</v>
      </c>
      <c r="D45" s="502"/>
      <c r="E45" s="1144"/>
      <c r="F45" s="1144"/>
      <c r="G45" s="1143">
        <v>1</v>
      </c>
      <c r="H45" s="502"/>
      <c r="I45" s="502"/>
      <c r="J45" s="502"/>
      <c r="K45" s="502"/>
      <c r="L45" s="536"/>
      <c r="M45" s="42"/>
      <c r="N45" s="42"/>
      <c r="O45" s="42"/>
      <c r="P45" s="90"/>
      <c r="Q45" s="87"/>
      <c r="R45" s="88"/>
      <c r="S45" s="65" t="str">
        <f>INDEX(PT_DIFFERENTIATION_NUM_CS,MATCH(C45,PT_DIFFERENTIATION_CS_ID,0))</f>
        <v>..</v>
      </c>
      <c r="T45" s="91" t="s">
        <v>395</v>
      </c>
      <c r="U45" s="84"/>
      <c r="V45" s="1090"/>
      <c r="W45" s="1061"/>
      <c r="X45" s="1061"/>
      <c r="Y45" s="1061"/>
      <c r="Z45" s="1061"/>
      <c r="AA45" s="1061"/>
      <c r="AB45" s="1061"/>
      <c r="AC45" s="1089"/>
      <c r="AD45" s="1090" t="str">
        <f>INDEX(PT_DIFFERENTIATION_CS,MATCH(C45,PT_DIFFERENTIATION_CS_ID,0))</f>
        <v/>
      </c>
      <c r="AE45" s="1061"/>
      <c r="AF45" s="1061"/>
      <c r="AG45" s="1061"/>
      <c r="AH45" s="1061"/>
      <c r="AI45" s="1061"/>
      <c r="AJ45" s="1061"/>
      <c r="AK45" s="1061"/>
      <c r="AL45" s="1089"/>
      <c r="AM45" s="136" t="s">
        <v>396</v>
      </c>
      <c r="AO45" s="151"/>
      <c r="AP45" s="151" t="str">
        <f t="shared" si="1"/>
        <v>Наименование системы теплоснабжения </v>
      </c>
      <c r="AQ45" s="151"/>
      <c r="AR45" s="151"/>
      <c r="AS45" s="43">
        <v>23</v>
      </c>
    </row>
    <row r="46" ht="22.05" customHeight="1" spans="1:45">
      <c r="A46" s="502" t="s">
        <v>208</v>
      </c>
      <c r="B46" s="502" t="s">
        <v>209</v>
      </c>
      <c r="C46" s="502" t="s">
        <v>210</v>
      </c>
      <c r="D46" s="502" t="s">
        <v>211</v>
      </c>
      <c r="E46" s="1144"/>
      <c r="F46" s="1144"/>
      <c r="G46" s="1144"/>
      <c r="H46" s="1143">
        <v>1</v>
      </c>
      <c r="I46" s="502"/>
      <c r="J46" s="502"/>
      <c r="K46" s="502"/>
      <c r="L46" s="536"/>
      <c r="M46" s="42"/>
      <c r="N46" s="42"/>
      <c r="O46" s="42"/>
      <c r="P46" s="90"/>
      <c r="Q46" s="87"/>
      <c r="R46" s="88"/>
      <c r="S46" s="65" t="str">
        <f>INDEX(PT_DIFFERENTIATION_NUM_IST_TE,MATCH(D46,PT_DIFFERENTIATION_IST_TE_ID,0))</f>
        <v>...</v>
      </c>
      <c r="T46" s="92" t="s">
        <v>397</v>
      </c>
      <c r="U46" s="84"/>
      <c r="V46" s="1090"/>
      <c r="W46" s="1061"/>
      <c r="X46" s="1061"/>
      <c r="Y46" s="1061"/>
      <c r="Z46" s="1061"/>
      <c r="AA46" s="1061"/>
      <c r="AB46" s="1061"/>
      <c r="AC46" s="1089"/>
      <c r="AD46" s="1090" t="str">
        <f>INDEX(PT_DIFFERENTIATION_IST_TE,MATCH(D46,PT_DIFFERENTIATION_IST_TE_ID,0))</f>
        <v/>
      </c>
      <c r="AE46" s="1061"/>
      <c r="AF46" s="1061"/>
      <c r="AG46" s="1061"/>
      <c r="AH46" s="1061"/>
      <c r="AI46" s="1061"/>
      <c r="AJ46" s="1061"/>
      <c r="AK46" s="1061"/>
      <c r="AL46" s="1089"/>
      <c r="AM46" s="136" t="s">
        <v>398</v>
      </c>
      <c r="AO46" s="151"/>
      <c r="AP46" s="151" t="str">
        <f t="shared" si="1"/>
        <v>Источник тепловой энергии  </v>
      </c>
      <c r="AQ46" s="151"/>
      <c r="AR46" s="151"/>
      <c r="AS46" s="43">
        <v>21</v>
      </c>
    </row>
    <row r="47" ht="49.5" customHeight="1" spans="1:45">
      <c r="A47" s="502" t="s">
        <v>208</v>
      </c>
      <c r="B47" s="502" t="s">
        <v>209</v>
      </c>
      <c r="C47" s="502" t="s">
        <v>210</v>
      </c>
      <c r="D47" s="502" t="s">
        <v>211</v>
      </c>
      <c r="E47" s="1144"/>
      <c r="F47" s="1144"/>
      <c r="G47" s="1144"/>
      <c r="H47" s="1144"/>
      <c r="I47" s="64" t="str">
        <f>S46&amp;".1"</f>
        <v>....1</v>
      </c>
      <c r="J47" s="502"/>
      <c r="K47" s="502"/>
      <c r="L47" s="536" t="s">
        <v>399</v>
      </c>
      <c r="P47" s="93">
        <v>1</v>
      </c>
      <c r="Q47" s="93"/>
      <c r="R47" s="94"/>
      <c r="S47" s="65" t="str">
        <f>$I47</f>
        <v>....1</v>
      </c>
      <c r="T47" s="95" t="s">
        <v>400</v>
      </c>
      <c r="U47" s="84"/>
      <c r="V47" s="99"/>
      <c r="W47" s="100"/>
      <c r="X47" s="100"/>
      <c r="Y47" s="100"/>
      <c r="Z47" s="100"/>
      <c r="AA47" s="100"/>
      <c r="AB47" s="100"/>
      <c r="AC47" s="137"/>
      <c r="AD47" s="99"/>
      <c r="AE47" s="100"/>
      <c r="AF47" s="100"/>
      <c r="AG47" s="100"/>
      <c r="AH47" s="100"/>
      <c r="AI47" s="100"/>
      <c r="AJ47" s="100"/>
      <c r="AK47" s="100"/>
      <c r="AL47" s="137"/>
      <c r="AM47" s="136" t="s">
        <v>401</v>
      </c>
      <c r="AO47" s="151"/>
      <c r="AP47" s="151" t="str">
        <f t="shared" si="1"/>
        <v>Схема подключения теплопотребляющей установки к коллектору источника тепловой энергии</v>
      </c>
      <c r="AQ47" s="151"/>
      <c r="AR47" s="151"/>
      <c r="AS47" s="43">
        <v>47</v>
      </c>
    </row>
    <row r="48" ht="22.05" customHeight="1" spans="1:45">
      <c r="A48" s="502" t="s">
        <v>208</v>
      </c>
      <c r="B48" s="502" t="s">
        <v>209</v>
      </c>
      <c r="C48" s="502" t="s">
        <v>210</v>
      </c>
      <c r="D48" s="502" t="s">
        <v>211</v>
      </c>
      <c r="E48" s="1144"/>
      <c r="F48" s="1144"/>
      <c r="G48" s="1144"/>
      <c r="H48" s="1144"/>
      <c r="I48" s="126"/>
      <c r="J48" s="64" t="str">
        <f>I47&amp;".1"</f>
        <v>....1.1</v>
      </c>
      <c r="K48" s="502"/>
      <c r="L48" s="536" t="s">
        <v>402</v>
      </c>
      <c r="P48" s="93"/>
      <c r="Q48" s="93">
        <v>1</v>
      </c>
      <c r="R48" s="97"/>
      <c r="S48" s="65" t="str">
        <f>$J48</f>
        <v>....1.1</v>
      </c>
      <c r="T48" s="98" t="s">
        <v>403</v>
      </c>
      <c r="U48" s="84"/>
      <c r="V48" s="99"/>
      <c r="W48" s="100"/>
      <c r="X48" s="100"/>
      <c r="Y48" s="100"/>
      <c r="Z48" s="100"/>
      <c r="AA48" s="100"/>
      <c r="AB48" s="100"/>
      <c r="AC48" s="137"/>
      <c r="AD48" s="99"/>
      <c r="AE48" s="100"/>
      <c r="AF48" s="100"/>
      <c r="AG48" s="100"/>
      <c r="AH48" s="100"/>
      <c r="AI48" s="100"/>
      <c r="AJ48" s="100"/>
      <c r="AK48" s="100"/>
      <c r="AL48" s="137"/>
      <c r="AM48" s="136" t="s">
        <v>404</v>
      </c>
      <c r="AO48" s="151"/>
      <c r="AP48" s="151" t="str">
        <f t="shared" si="1"/>
        <v>Группа потребителей</v>
      </c>
      <c r="AQ48" s="151"/>
      <c r="AR48" s="151"/>
      <c r="AS48" s="43">
        <v>21</v>
      </c>
    </row>
    <row r="49" ht="22.05" customHeight="1" spans="1:45">
      <c r="A49" s="502" t="s">
        <v>208</v>
      </c>
      <c r="B49" s="502" t="s">
        <v>209</v>
      </c>
      <c r="C49" s="502" t="s">
        <v>210</v>
      </c>
      <c r="D49" s="502" t="s">
        <v>211</v>
      </c>
      <c r="E49" s="1144"/>
      <c r="F49" s="1144"/>
      <c r="G49" s="1144"/>
      <c r="H49" s="1144"/>
      <c r="I49" s="126"/>
      <c r="J49" s="126"/>
      <c r="K49" s="64" t="str">
        <f>J48&amp;".1"</f>
        <v>....1.1.1</v>
      </c>
      <c r="L49" s="536" t="s">
        <v>405</v>
      </c>
      <c r="P49" s="93"/>
      <c r="Q49" s="93"/>
      <c r="R49" s="97">
        <v>1</v>
      </c>
      <c r="S49" s="65" t="str">
        <f>$K49</f>
        <v>....1.1.1</v>
      </c>
      <c r="T49" s="101"/>
      <c r="U49" s="84"/>
      <c r="V49" s="102"/>
      <c r="W49" s="103"/>
      <c r="X49" s="102"/>
      <c r="Y49" s="138"/>
      <c r="Z49" s="139"/>
      <c r="AA49" s="140" t="s">
        <v>66</v>
      </c>
      <c r="AB49" s="139"/>
      <c r="AC49" s="140" t="s">
        <v>66</v>
      </c>
      <c r="AD49" s="102"/>
      <c r="AE49" s="103"/>
      <c r="AF49" s="102"/>
      <c r="AG49" s="138"/>
      <c r="AH49" s="139"/>
      <c r="AI49" s="140" t="s">
        <v>66</v>
      </c>
      <c r="AJ49" s="1137"/>
      <c r="AK49" s="140" t="s">
        <v>66</v>
      </c>
      <c r="AL49" s="1120"/>
      <c r="AM49" s="141" t="s">
        <v>406</v>
      </c>
      <c r="AN49" s="44" t="e">
        <f>STRCHECKDATE(V50:AL50)</f>
        <v>#NAME?</v>
      </c>
      <c r="AO49" s="151"/>
      <c r="AP49" s="151" t="str">
        <f t="shared" si="1"/>
        <v/>
      </c>
      <c r="AQ49" s="151"/>
      <c r="AR49" s="151"/>
      <c r="AS49" s="43">
        <v>21</v>
      </c>
    </row>
    <row r="50" ht="1.05" customHeight="1" spans="1:45">
      <c r="A50" s="502" t="s">
        <v>208</v>
      </c>
      <c r="B50" s="502" t="s">
        <v>209</v>
      </c>
      <c r="C50" s="502" t="s">
        <v>210</v>
      </c>
      <c r="D50" s="502" t="s">
        <v>211</v>
      </c>
      <c r="E50" s="1144"/>
      <c r="F50" s="1144"/>
      <c r="G50" s="1144"/>
      <c r="H50" s="1144"/>
      <c r="I50" s="126"/>
      <c r="J50" s="126"/>
      <c r="K50" s="64"/>
      <c r="L50" s="536"/>
      <c r="P50" s="93"/>
      <c r="Q50" s="93"/>
      <c r="R50" s="97"/>
      <c r="S50" s="104"/>
      <c r="T50" s="84"/>
      <c r="U50" s="84"/>
      <c r="V50" s="103"/>
      <c r="W50" s="103"/>
      <c r="X50" s="103"/>
      <c r="Y50" s="142" t="str">
        <f>Z49&amp;"-"&amp;AB49</f>
        <v>-</v>
      </c>
      <c r="Z50" s="143"/>
      <c r="AA50" s="140"/>
      <c r="AB50" s="143"/>
      <c r="AC50" s="140"/>
      <c r="AD50" s="103"/>
      <c r="AE50" s="103"/>
      <c r="AF50" s="103"/>
      <c r="AG50" s="142" t="str">
        <f>AH49&amp;"-"&amp;AJ49</f>
        <v>-</v>
      </c>
      <c r="AH50" s="143"/>
      <c r="AI50" s="140"/>
      <c r="AJ50" s="1140"/>
      <c r="AK50" s="140"/>
      <c r="AL50" s="1163"/>
      <c r="AM50" s="144"/>
      <c r="AO50" s="151"/>
      <c r="AP50" s="151" t="str">
        <f t="shared" si="1"/>
        <v/>
      </c>
      <c r="AQ50" s="151"/>
      <c r="AR50" s="151"/>
      <c r="AS50" s="43">
        <v>1</v>
      </c>
    </row>
    <row r="51" ht="11.55" customHeight="1" spans="1:45">
      <c r="A51" s="502" t="s">
        <v>208</v>
      </c>
      <c r="B51" s="502" t="s">
        <v>209</v>
      </c>
      <c r="C51" s="502" t="s">
        <v>210</v>
      </c>
      <c r="D51" s="502" t="s">
        <v>211</v>
      </c>
      <c r="E51" s="1144"/>
      <c r="F51" s="1144"/>
      <c r="G51" s="1144"/>
      <c r="H51" s="1144"/>
      <c r="I51" s="126"/>
      <c r="J51" s="64"/>
      <c r="K51" s="502"/>
      <c r="L51" s="536"/>
      <c r="P51" s="93"/>
      <c r="Q51" s="93"/>
      <c r="R51" s="94"/>
      <c r="S51" s="105"/>
      <c r="T51" s="106" t="s">
        <v>407</v>
      </c>
      <c r="U51" s="107"/>
      <c r="V51" s="107"/>
      <c r="W51" s="107"/>
      <c r="X51" s="107"/>
      <c r="Y51" s="107"/>
      <c r="Z51" s="107"/>
      <c r="AA51" s="107"/>
      <c r="AB51" s="107"/>
      <c r="AC51" s="107"/>
      <c r="AD51" s="107"/>
      <c r="AE51" s="107"/>
      <c r="AF51" s="107"/>
      <c r="AG51" s="107"/>
      <c r="AH51" s="107"/>
      <c r="AI51" s="107"/>
      <c r="AJ51" s="107"/>
      <c r="AK51" s="107"/>
      <c r="AL51" s="145"/>
      <c r="AM51" s="146"/>
      <c r="AO51" s="151"/>
      <c r="AP51" s="151" t="str">
        <f t="shared" si="1"/>
        <v>Добавить вид теплоносителя (параметры теплоносителя)</v>
      </c>
      <c r="AQ51" s="151"/>
      <c r="AR51" s="151"/>
      <c r="AS51" s="43">
        <v>11</v>
      </c>
    </row>
    <row r="52" ht="11.55" customHeight="1" spans="1:45">
      <c r="A52" s="502" t="s">
        <v>208</v>
      </c>
      <c r="B52" s="502" t="s">
        <v>209</v>
      </c>
      <c r="C52" s="502" t="s">
        <v>210</v>
      </c>
      <c r="D52" s="502" t="s">
        <v>211</v>
      </c>
      <c r="E52" s="1144"/>
      <c r="F52" s="1144"/>
      <c r="G52" s="1144"/>
      <c r="H52" s="1144"/>
      <c r="I52" s="64"/>
      <c r="J52" s="502"/>
      <c r="K52" s="502"/>
      <c r="L52" s="536"/>
      <c r="P52" s="93"/>
      <c r="Q52" s="93"/>
      <c r="R52" s="94"/>
      <c r="S52" s="105"/>
      <c r="T52" s="108" t="s">
        <v>408</v>
      </c>
      <c r="U52" s="107"/>
      <c r="V52" s="107"/>
      <c r="W52" s="107"/>
      <c r="X52" s="107"/>
      <c r="Y52" s="107"/>
      <c r="Z52" s="107"/>
      <c r="AA52" s="107"/>
      <c r="AB52" s="107"/>
      <c r="AC52" s="147"/>
      <c r="AD52" s="107"/>
      <c r="AE52" s="107"/>
      <c r="AF52" s="107"/>
      <c r="AG52" s="107"/>
      <c r="AH52" s="107"/>
      <c r="AI52" s="107"/>
      <c r="AJ52" s="107"/>
      <c r="AK52" s="147"/>
      <c r="AL52" s="107"/>
      <c r="AM52" s="148"/>
      <c r="AO52" s="151"/>
      <c r="AP52" s="151" t="str">
        <f t="shared" si="1"/>
        <v>Добавить группу потребителей</v>
      </c>
      <c r="AQ52" s="151"/>
      <c r="AR52" s="151"/>
      <c r="AS52" s="43">
        <v>11</v>
      </c>
    </row>
    <row r="53" ht="14.7" customHeight="1" spans="1:45">
      <c r="A53" s="502" t="s">
        <v>208</v>
      </c>
      <c r="B53" s="502" t="s">
        <v>209</v>
      </c>
      <c r="C53" s="502" t="s">
        <v>210</v>
      </c>
      <c r="D53" s="502" t="s">
        <v>211</v>
      </c>
      <c r="E53" s="1144"/>
      <c r="F53" s="1144"/>
      <c r="G53" s="1144"/>
      <c r="H53" s="1143"/>
      <c r="I53" s="502"/>
      <c r="J53" s="502"/>
      <c r="K53" s="502"/>
      <c r="L53" s="536"/>
      <c r="M53" s="42"/>
      <c r="N53" s="42"/>
      <c r="O53" s="43"/>
      <c r="P53" s="81"/>
      <c r="Q53" s="109"/>
      <c r="R53" s="82"/>
      <c r="S53" s="105"/>
      <c r="T53" s="110" t="s">
        <v>409</v>
      </c>
      <c r="U53" s="107"/>
      <c r="V53" s="107"/>
      <c r="W53" s="107"/>
      <c r="X53" s="107"/>
      <c r="Y53" s="107"/>
      <c r="Z53" s="107"/>
      <c r="AA53" s="107"/>
      <c r="AB53" s="107"/>
      <c r="AC53" s="147"/>
      <c r="AD53" s="107"/>
      <c r="AE53" s="107"/>
      <c r="AF53" s="107"/>
      <c r="AG53" s="107"/>
      <c r="AH53" s="107"/>
      <c r="AI53" s="107"/>
      <c r="AJ53" s="107"/>
      <c r="AK53" s="147"/>
      <c r="AL53" s="107"/>
      <c r="AM53" s="148"/>
      <c r="AO53" s="151"/>
      <c r="AP53" s="151" t="str">
        <f t="shared" si="1"/>
        <v>Добавить схему подключения</v>
      </c>
      <c r="AQ53" s="151"/>
      <c r="AR53" s="151"/>
      <c r="AS53" s="43">
        <v>14</v>
      </c>
    </row>
    <row r="54" s="44" customFormat="1" ht="4.2" customHeight="1" spans="1:45">
      <c r="A54" s="1145" t="s">
        <v>208</v>
      </c>
      <c r="B54" s="1145" t="s">
        <v>209</v>
      </c>
      <c r="C54" s="1145" t="s">
        <v>210</v>
      </c>
      <c r="D54" s="1145"/>
      <c r="E54" s="1144"/>
      <c r="F54" s="1144"/>
      <c r="G54" s="1143"/>
      <c r="H54" s="1145"/>
      <c r="I54" s="1145"/>
      <c r="J54" s="1145"/>
      <c r="K54" s="1145"/>
      <c r="L54" s="1147"/>
      <c r="M54" s="1148"/>
      <c r="N54" s="1148"/>
      <c r="O54" s="37"/>
      <c r="P54" s="152"/>
      <c r="Q54" s="1082"/>
      <c r="R54" s="152"/>
      <c r="S54" s="1084"/>
      <c r="T54" s="1085" t="s">
        <v>410</v>
      </c>
      <c r="U54" s="307"/>
      <c r="V54" s="307"/>
      <c r="W54" s="307"/>
      <c r="X54" s="307"/>
      <c r="Y54" s="307"/>
      <c r="Z54" s="307"/>
      <c r="AA54" s="307"/>
      <c r="AB54" s="307"/>
      <c r="AC54" s="307"/>
      <c r="AD54" s="307"/>
      <c r="AE54" s="307"/>
      <c r="AF54" s="307"/>
      <c r="AG54" s="307"/>
      <c r="AH54" s="307"/>
      <c r="AI54" s="307"/>
      <c r="AJ54" s="307"/>
      <c r="AK54" s="307"/>
      <c r="AL54" s="307"/>
      <c r="AM54" s="307"/>
      <c r="AO54" s="151"/>
      <c r="AP54" s="151" t="str">
        <f t="shared" si="1"/>
        <v>Добавить источник для дифференциации</v>
      </c>
      <c r="AQ54" s="151"/>
      <c r="AR54" s="151"/>
      <c r="AS54" s="44">
        <v>4</v>
      </c>
    </row>
    <row r="55" s="44" customFormat="1" ht="4.2" customHeight="1" spans="1:45">
      <c r="A55" s="1145" t="s">
        <v>208</v>
      </c>
      <c r="B55" s="1145" t="s">
        <v>209</v>
      </c>
      <c r="C55" s="1145"/>
      <c r="D55" s="1145"/>
      <c r="E55" s="1144"/>
      <c r="F55" s="1143"/>
      <c r="G55" s="1145"/>
      <c r="H55" s="1145"/>
      <c r="I55" s="1145"/>
      <c r="J55" s="1145"/>
      <c r="K55" s="1145"/>
      <c r="L55" s="1147"/>
      <c r="M55" s="1149"/>
      <c r="N55" s="1149"/>
      <c r="O55" s="37"/>
      <c r="P55" s="152"/>
      <c r="Q55" s="1082"/>
      <c r="R55" s="152"/>
      <c r="S55" s="1084"/>
      <c r="T55" s="1085" t="s">
        <v>411</v>
      </c>
      <c r="U55" s="307"/>
      <c r="V55" s="307"/>
      <c r="W55" s="307"/>
      <c r="X55" s="307"/>
      <c r="Y55" s="307"/>
      <c r="Z55" s="307"/>
      <c r="AA55" s="307"/>
      <c r="AB55" s="307"/>
      <c r="AC55" s="307"/>
      <c r="AD55" s="307"/>
      <c r="AE55" s="307"/>
      <c r="AF55" s="307"/>
      <c r="AG55" s="307"/>
      <c r="AH55" s="307"/>
      <c r="AI55" s="307"/>
      <c r="AJ55" s="307"/>
      <c r="AK55" s="307"/>
      <c r="AL55" s="307"/>
      <c r="AM55" s="307"/>
      <c r="AO55" s="151"/>
      <c r="AP55" s="151" t="str">
        <f t="shared" si="1"/>
        <v>Добавить централизованную систему для дифференциации</v>
      </c>
      <c r="AQ55" s="151"/>
      <c r="AR55" s="151"/>
      <c r="AS55" s="44">
        <v>4</v>
      </c>
    </row>
    <row r="56" s="44" customFormat="1" ht="4.2" customHeight="1" spans="1:45">
      <c r="A56" s="1145" t="s">
        <v>208</v>
      </c>
      <c r="B56" s="1145"/>
      <c r="C56" s="1145"/>
      <c r="D56" s="1145"/>
      <c r="E56" s="1143"/>
      <c r="F56" s="1145"/>
      <c r="G56" s="1145"/>
      <c r="H56" s="1145"/>
      <c r="I56" s="1145"/>
      <c r="J56" s="1145"/>
      <c r="K56" s="1145"/>
      <c r="L56" s="1147"/>
      <c r="M56" s="1149"/>
      <c r="N56" s="1149"/>
      <c r="O56" s="37"/>
      <c r="P56" s="152"/>
      <c r="Q56" s="1082"/>
      <c r="R56" s="152"/>
      <c r="S56" s="1084"/>
      <c r="T56" s="1085" t="s">
        <v>412</v>
      </c>
      <c r="U56" s="307"/>
      <c r="V56" s="307"/>
      <c r="W56" s="307"/>
      <c r="X56" s="307"/>
      <c r="Y56" s="307"/>
      <c r="Z56" s="307"/>
      <c r="AA56" s="307"/>
      <c r="AB56" s="307"/>
      <c r="AC56" s="307"/>
      <c r="AD56" s="307"/>
      <c r="AE56" s="307"/>
      <c r="AF56" s="307"/>
      <c r="AG56" s="307"/>
      <c r="AH56" s="307"/>
      <c r="AI56" s="307"/>
      <c r="AJ56" s="307"/>
      <c r="AK56" s="307"/>
      <c r="AL56" s="307"/>
      <c r="AM56" s="307"/>
      <c r="AO56" s="151"/>
      <c r="AP56" s="151" t="str">
        <f t="shared" si="1"/>
        <v>Добавить территорию для дифференциации</v>
      </c>
      <c r="AQ56" s="151"/>
      <c r="AR56" s="151"/>
      <c r="AS56" s="44">
        <v>4</v>
      </c>
    </row>
    <row r="57" s="44" customFormat="1" ht="4.2" customHeight="1" spans="1:45">
      <c r="A57" s="1145"/>
      <c r="B57" s="1145"/>
      <c r="C57" s="1145"/>
      <c r="D57" s="1145"/>
      <c r="E57" s="1145"/>
      <c r="F57" s="1145"/>
      <c r="G57" s="1145"/>
      <c r="H57" s="1145"/>
      <c r="I57" s="1145"/>
      <c r="J57" s="1145"/>
      <c r="K57" s="1145"/>
      <c r="L57" s="1147"/>
      <c r="M57" s="1149"/>
      <c r="N57" s="1149"/>
      <c r="O57" s="37"/>
      <c r="P57" s="152"/>
      <c r="Q57" s="1082"/>
      <c r="R57" s="152"/>
      <c r="S57" s="1084"/>
      <c r="T57" s="1085" t="s">
        <v>440</v>
      </c>
      <c r="U57" s="307"/>
      <c r="V57" s="307"/>
      <c r="W57" s="307"/>
      <c r="X57" s="307"/>
      <c r="Y57" s="307"/>
      <c r="Z57" s="307"/>
      <c r="AA57" s="307"/>
      <c r="AB57" s="307"/>
      <c r="AC57" s="307"/>
      <c r="AD57" s="307"/>
      <c r="AE57" s="307"/>
      <c r="AF57" s="307"/>
      <c r="AG57" s="307"/>
      <c r="AH57" s="307"/>
      <c r="AI57" s="307"/>
      <c r="AJ57" s="307"/>
      <c r="AK57" s="307"/>
      <c r="AL57" s="307"/>
      <c r="AM57" s="307"/>
      <c r="AO57" s="151"/>
      <c r="AP57" s="151" t="str">
        <f t="shared" si="1"/>
        <v>Добавить наименование тарифа</v>
      </c>
      <c r="AQ57" s="151"/>
      <c r="AR57" s="151"/>
      <c r="AS57" s="44">
        <v>4</v>
      </c>
    </row>
    <row r="58" ht="11.55" customHeight="1" spans="13:45">
      <c r="M58" s="43"/>
      <c r="N58" s="43"/>
      <c r="O58" s="43"/>
      <c r="P58" s="43"/>
      <c r="Q58" s="43"/>
      <c r="R58" s="43"/>
      <c r="S58" s="43"/>
      <c r="AN58" s="43"/>
      <c r="AO58" s="43"/>
      <c r="AP58" s="43"/>
      <c r="AQ58" s="43"/>
      <c r="AR58" s="43"/>
      <c r="AS58" s="43">
        <v>11</v>
      </c>
    </row>
    <row r="59" ht="28.5" customHeight="1" spans="15:45">
      <c r="O59" s="43"/>
      <c r="S59" s="786"/>
      <c r="T59" s="120"/>
      <c r="U59" s="120"/>
      <c r="V59" s="120"/>
      <c r="W59" s="120"/>
      <c r="X59" s="120"/>
      <c r="Y59" s="120"/>
      <c r="Z59" s="120"/>
      <c r="AA59" s="120"/>
      <c r="AB59" s="120"/>
      <c r="AC59" s="120"/>
      <c r="AD59" s="120"/>
      <c r="AE59" s="120"/>
      <c r="AF59" s="120"/>
      <c r="AG59" s="120"/>
      <c r="AH59" s="120"/>
      <c r="AI59" s="120"/>
      <c r="AJ59" s="120"/>
      <c r="AK59" s="120"/>
      <c r="AL59" s="120"/>
      <c r="AM59" s="120"/>
      <c r="AS59" s="43">
        <v>27</v>
      </c>
    </row>
    <row r="60" ht="65.25" customHeight="1" spans="15:45">
      <c r="O60" s="43"/>
      <c r="T60" s="120"/>
      <c r="U60" s="120"/>
      <c r="V60" s="120"/>
      <c r="W60" s="120"/>
      <c r="X60" s="120"/>
      <c r="Y60" s="120"/>
      <c r="Z60" s="120"/>
      <c r="AA60" s="120"/>
      <c r="AB60" s="120"/>
      <c r="AC60" s="120"/>
      <c r="AD60" s="120"/>
      <c r="AE60" s="120"/>
      <c r="AF60" s="120"/>
      <c r="AG60" s="120"/>
      <c r="AH60" s="120"/>
      <c r="AI60" s="120"/>
      <c r="AJ60" s="120"/>
      <c r="AK60" s="120"/>
      <c r="AL60" s="120"/>
      <c r="AM60" s="120"/>
      <c r="AS60" s="43">
        <v>62</v>
      </c>
    </row>
    <row r="61" ht="14.7" customHeight="1" spans="15:45">
      <c r="O61" s="43"/>
      <c r="AS61" s="43">
        <v>14</v>
      </c>
    </row>
    <row r="62" ht="18.75" customHeight="1" spans="15:45">
      <c r="O62" s="43"/>
      <c r="S62" s="786"/>
      <c r="T62" s="120"/>
      <c r="U62" s="120"/>
      <c r="V62" s="120"/>
      <c r="W62" s="120"/>
      <c r="X62" s="120"/>
      <c r="Y62" s="120"/>
      <c r="Z62" s="120"/>
      <c r="AA62" s="120"/>
      <c r="AB62" s="120"/>
      <c r="AC62" s="120"/>
      <c r="AD62" s="120"/>
      <c r="AE62" s="120"/>
      <c r="AF62" s="120"/>
      <c r="AG62" s="120"/>
      <c r="AH62" s="120"/>
      <c r="AI62" s="120"/>
      <c r="AJ62" s="120"/>
      <c r="AK62" s="120"/>
      <c r="AL62" s="120"/>
      <c r="AM62" s="120"/>
      <c r="AS62" s="43">
        <v>18</v>
      </c>
    </row>
    <row r="63" ht="18.75" customHeight="1" spans="15:45">
      <c r="O63" s="43"/>
      <c r="T63" s="120"/>
      <c r="U63" s="120"/>
      <c r="V63" s="120"/>
      <c r="W63" s="120"/>
      <c r="X63" s="120"/>
      <c r="Y63" s="120"/>
      <c r="Z63" s="120"/>
      <c r="AA63" s="120"/>
      <c r="AB63" s="120"/>
      <c r="AC63" s="120"/>
      <c r="AD63" s="120"/>
      <c r="AE63" s="120"/>
      <c r="AF63" s="120"/>
      <c r="AG63" s="120"/>
      <c r="AH63" s="120"/>
      <c r="AI63" s="120"/>
      <c r="AJ63" s="120"/>
      <c r="AK63" s="120"/>
      <c r="AL63" s="120"/>
      <c r="AM63" s="120"/>
      <c r="AS63" s="43">
        <v>18</v>
      </c>
    </row>
    <row r="64" ht="29.25" customHeight="1" spans="15:45">
      <c r="O64" s="43"/>
      <c r="S64" s="786"/>
      <c r="T64" s="120"/>
      <c r="U64" s="120"/>
      <c r="V64" s="120"/>
      <c r="W64" s="120"/>
      <c r="X64" s="120"/>
      <c r="Y64" s="120"/>
      <c r="Z64" s="120"/>
      <c r="AA64" s="120"/>
      <c r="AB64" s="120"/>
      <c r="AC64" s="120"/>
      <c r="AD64" s="120"/>
      <c r="AE64" s="120"/>
      <c r="AF64" s="120"/>
      <c r="AG64" s="120"/>
      <c r="AH64" s="120"/>
      <c r="AI64" s="120"/>
      <c r="AJ64" s="120"/>
      <c r="AK64" s="120"/>
      <c r="AL64" s="120"/>
      <c r="AM64" s="120"/>
      <c r="AS64" s="43">
        <v>28</v>
      </c>
    </row>
    <row r="65" ht="22.5" hidden="1" customHeight="1" spans="1:45">
      <c r="A65" s="43" t="s">
        <v>83</v>
      </c>
      <c r="B65" s="43">
        <v>0</v>
      </c>
      <c r="C65" s="43">
        <v>0</v>
      </c>
      <c r="D65" s="43">
        <v>0</v>
      </c>
      <c r="E65" s="43">
        <v>0</v>
      </c>
      <c r="F65" s="43">
        <v>0</v>
      </c>
      <c r="G65" s="43">
        <v>0</v>
      </c>
      <c r="H65" s="43">
        <v>0</v>
      </c>
      <c r="I65" s="43">
        <v>0</v>
      </c>
      <c r="J65" s="43">
        <v>0</v>
      </c>
      <c r="K65" s="43">
        <v>0</v>
      </c>
      <c r="L65" s="86">
        <v>0</v>
      </c>
      <c r="M65" s="40">
        <v>0</v>
      </c>
      <c r="N65" s="40">
        <v>0</v>
      </c>
      <c r="O65" s="40">
        <v>0</v>
      </c>
      <c r="P65" s="40">
        <v>3</v>
      </c>
      <c r="Q65" s="41">
        <v>3</v>
      </c>
      <c r="R65" s="41">
        <v>3</v>
      </c>
      <c r="S65" s="42">
        <v>12</v>
      </c>
      <c r="T65" s="43">
        <v>31</v>
      </c>
      <c r="U65" s="43">
        <v>0</v>
      </c>
      <c r="V65" s="43">
        <v>0</v>
      </c>
      <c r="W65" s="43">
        <v>0</v>
      </c>
      <c r="X65" s="43">
        <v>0</v>
      </c>
      <c r="Y65" s="43">
        <v>0</v>
      </c>
      <c r="Z65" s="43">
        <v>0</v>
      </c>
      <c r="AA65" s="43">
        <v>0</v>
      </c>
      <c r="AB65" s="43">
        <v>0</v>
      </c>
      <c r="AC65" s="43">
        <v>0</v>
      </c>
      <c r="AD65" s="43">
        <v>24</v>
      </c>
      <c r="AE65" s="43">
        <v>0</v>
      </c>
      <c r="AF65" s="43">
        <v>24</v>
      </c>
      <c r="AG65" s="43">
        <v>24</v>
      </c>
      <c r="AH65" s="43">
        <v>11</v>
      </c>
      <c r="AI65" s="43">
        <v>3</v>
      </c>
      <c r="AJ65" s="43">
        <v>11</v>
      </c>
      <c r="AK65" s="43">
        <v>0</v>
      </c>
      <c r="AL65" s="43">
        <v>4</v>
      </c>
      <c r="AM65" s="43">
        <v>115</v>
      </c>
      <c r="AN65" s="44">
        <v>10</v>
      </c>
      <c r="AO65" s="44">
        <v>10</v>
      </c>
      <c r="AP65" s="44">
        <v>10</v>
      </c>
      <c r="AQ65" s="44">
        <v>10</v>
      </c>
      <c r="AR65" s="44">
        <v>10</v>
      </c>
      <c r="AS65" s="43">
        <v>23</v>
      </c>
    </row>
  </sheetData>
  <sheetProtection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43" hidden="1"/>
    <col min="2" max="2" width="11" style="43" hidden="1" customWidth="1"/>
    <col min="3" max="3" width="10.5714285714286" style="43" hidden="1"/>
    <col min="4" max="4" width="11.847619047619" style="43" hidden="1" customWidth="1"/>
    <col min="5" max="5" width="10" style="43" hidden="1" customWidth="1"/>
    <col min="6" max="6" width="8.71428571428571" style="43" hidden="1" customWidth="1"/>
    <col min="7" max="7" width="7.57142857142857" style="43" hidden="1" customWidth="1"/>
    <col min="8" max="8" width="11.4190476190476" style="43" hidden="1" customWidth="1"/>
    <col min="9" max="9" width="12" style="43" hidden="1" customWidth="1"/>
    <col min="10" max="10" width="9.84761904761905" style="43" hidden="1" customWidth="1"/>
    <col min="11" max="11" width="11.4190476190476" style="43" hidden="1" customWidth="1"/>
    <col min="12" max="12" width="19.1428571428571" style="86" hidden="1" customWidth="1"/>
    <col min="13" max="14" width="12.2857142857143" style="40" hidden="1" customWidth="1"/>
    <col min="15" max="15" width="23.4190476190476" style="40" hidden="1" customWidth="1"/>
    <col min="16" max="16" width="3" style="40" customWidth="1"/>
    <col min="17" max="18" width="3" style="41" customWidth="1"/>
    <col min="19" max="19" width="12" style="42" customWidth="1"/>
    <col min="20" max="20" width="31" style="43" customWidth="1"/>
    <col min="21" max="21" width="0.142857142857143" style="43" customWidth="1"/>
    <col min="22" max="22" width="24.7142857142857" style="43" hidden="1" customWidth="1"/>
    <col min="23" max="23" width="0.142857142857143" style="43" hidden="1" customWidth="1"/>
    <col min="24" max="25" width="24.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24.7142857142857" style="43" customWidth="1"/>
    <col min="31" max="31" width="0.142857142857143" style="43" customWidth="1"/>
    <col min="32" max="33" width="24" style="43" customWidth="1"/>
    <col min="34" max="34" width="11" style="43" customWidth="1"/>
    <col min="35" max="35" width="3.71428571428571" style="43" customWidth="1"/>
    <col min="36" max="36" width="11" style="43" customWidth="1"/>
    <col min="37" max="37" width="8.57142857142857" style="43" hidden="1" customWidth="1"/>
    <col min="38" max="38" width="4" style="43" customWidth="1"/>
    <col min="39" max="39" width="115" style="43" customWidth="1"/>
    <col min="40" max="44" width="10" style="44" customWidth="1"/>
    <col min="45" max="45" width="10.5714285714286" style="43" hidden="1"/>
  </cols>
  <sheetData>
    <row r="1" ht="22.5" hidden="1" customHeight="1" spans="45:45">
      <c r="AS1" s="43" t="s">
        <v>14</v>
      </c>
    </row>
    <row r="2" ht="21" hidden="1" customHeight="1" spans="1:45">
      <c r="A2" s="502"/>
      <c r="B2" s="502"/>
      <c r="C2" s="502"/>
      <c r="D2" s="502"/>
      <c r="E2" s="1143">
        <v>1</v>
      </c>
      <c r="F2" s="502"/>
      <c r="G2" s="502"/>
      <c r="H2" s="502"/>
      <c r="I2" s="502"/>
      <c r="J2" s="502"/>
      <c r="K2" s="502"/>
      <c r="L2" s="536"/>
      <c r="M2" s="42"/>
      <c r="N2" s="42"/>
      <c r="O2" s="42"/>
      <c r="Q2" s="81"/>
      <c r="R2" s="82"/>
      <c r="S2" s="65" t="e">
        <f>INDEX(PT_DIFFERENTIATION_NUM_NTAR,MATCH(A2,PT_DIFFERENTIATION_NTAR_ID,0))</f>
        <v>#N/A</v>
      </c>
      <c r="T2" s="83" t="s">
        <v>121</v>
      </c>
      <c r="U2" s="84"/>
      <c r="V2" s="1090"/>
      <c r="W2" s="1061"/>
      <c r="X2" s="1061"/>
      <c r="Y2" s="1061"/>
      <c r="Z2" s="1061"/>
      <c r="AA2" s="1061"/>
      <c r="AB2" s="1061"/>
      <c r="AC2" s="1089"/>
      <c r="AD2" s="1090" t="e">
        <f>INDEX(PT_DIFFERENTIATION_NTAR,MATCH(A2,PT_DIFFERENTIATION_NTAR_ID,0))</f>
        <v>#N/A</v>
      </c>
      <c r="AE2" s="1061"/>
      <c r="AF2" s="1061"/>
      <c r="AG2" s="1061"/>
      <c r="AH2" s="1061"/>
      <c r="AI2" s="1061"/>
      <c r="AJ2" s="1061"/>
      <c r="AK2" s="1061"/>
      <c r="AL2" s="1089"/>
      <c r="AM2" s="136" t="s">
        <v>392</v>
      </c>
      <c r="AO2" s="151"/>
      <c r="AP2" s="151" t="str">
        <f t="shared" ref="AP2:AP15" si="0">IF(T2="","",T2)</f>
        <v>Наименование тарифа</v>
      </c>
      <c r="AQ2" s="151"/>
      <c r="AR2" s="151"/>
      <c r="AS2" s="43">
        <v>0</v>
      </c>
    </row>
    <row r="3" ht="21" hidden="1" customHeight="1" spans="1:45">
      <c r="A3" s="502"/>
      <c r="B3" s="502"/>
      <c r="C3" s="502"/>
      <c r="D3" s="502"/>
      <c r="E3" s="1144"/>
      <c r="F3" s="1143">
        <v>1</v>
      </c>
      <c r="G3" s="502"/>
      <c r="H3" s="502"/>
      <c r="I3" s="502"/>
      <c r="J3" s="502"/>
      <c r="K3" s="502"/>
      <c r="L3" s="536"/>
      <c r="M3" s="42"/>
      <c r="N3" s="42"/>
      <c r="O3" s="42"/>
      <c r="P3" s="86"/>
      <c r="Q3" s="87"/>
      <c r="R3" s="88"/>
      <c r="S3" s="65" t="e">
        <f>INDEX(PT_DIFFERENTIATION_NUM_TER,MATCH(B3,PT_DIFFERENTIATION_TER_ID,0))</f>
        <v>#N/A</v>
      </c>
      <c r="T3" s="89" t="s">
        <v>393</v>
      </c>
      <c r="U3" s="84"/>
      <c r="V3" s="1090"/>
      <c r="W3" s="1061"/>
      <c r="X3" s="1061"/>
      <c r="Y3" s="1061"/>
      <c r="Z3" s="1061"/>
      <c r="AA3" s="1061"/>
      <c r="AB3" s="1061"/>
      <c r="AC3" s="1089"/>
      <c r="AD3" s="1090" t="e">
        <f>INDEX(PT_DIFFERENTIATION_TER,MATCH(B3,PT_DIFFERENTIATION_TER_ID,0))</f>
        <v>#N/A</v>
      </c>
      <c r="AE3" s="1061"/>
      <c r="AF3" s="1061"/>
      <c r="AG3" s="1061"/>
      <c r="AH3" s="1061"/>
      <c r="AI3" s="1061"/>
      <c r="AJ3" s="1061"/>
      <c r="AK3" s="1061"/>
      <c r="AL3" s="1089"/>
      <c r="AM3" s="136" t="s">
        <v>394</v>
      </c>
      <c r="AO3" s="151"/>
      <c r="AP3" s="151" t="str">
        <f t="shared" si="0"/>
        <v>Территория действия тарифа</v>
      </c>
      <c r="AQ3" s="151"/>
      <c r="AR3" s="151"/>
      <c r="AS3" s="43">
        <v>0</v>
      </c>
    </row>
    <row r="4" ht="23.25" hidden="1" customHeight="1" spans="1:45">
      <c r="A4" s="502"/>
      <c r="B4" s="502"/>
      <c r="C4" s="502"/>
      <c r="D4" s="502"/>
      <c r="E4" s="1144"/>
      <c r="F4" s="1144"/>
      <c r="G4" s="1143">
        <v>1</v>
      </c>
      <c r="H4" s="502"/>
      <c r="I4" s="502"/>
      <c r="J4" s="502"/>
      <c r="K4" s="502"/>
      <c r="L4" s="536"/>
      <c r="M4" s="42"/>
      <c r="N4" s="42"/>
      <c r="O4" s="42"/>
      <c r="P4" s="90"/>
      <c r="Q4" s="87"/>
      <c r="R4" s="88"/>
      <c r="S4" s="65" t="e">
        <f>INDEX(PT_DIFFERENTIATION_NUM_CS,MATCH(C4,PT_DIFFERENTIATION_CS_ID,0))</f>
        <v>#N/A</v>
      </c>
      <c r="T4" s="91" t="s">
        <v>395</v>
      </c>
      <c r="U4" s="84"/>
      <c r="V4" s="1090"/>
      <c r="W4" s="1061"/>
      <c r="X4" s="1061"/>
      <c r="Y4" s="1061"/>
      <c r="Z4" s="1061"/>
      <c r="AA4" s="1061"/>
      <c r="AB4" s="1061"/>
      <c r="AC4" s="1089"/>
      <c r="AD4" s="1090" t="e">
        <f>INDEX(PT_DIFFERENTIATION_CS,MATCH(C4,PT_DIFFERENTIATION_CS_ID,0))</f>
        <v>#N/A</v>
      </c>
      <c r="AE4" s="1061"/>
      <c r="AF4" s="1061"/>
      <c r="AG4" s="1061"/>
      <c r="AH4" s="1061"/>
      <c r="AI4" s="1061"/>
      <c r="AJ4" s="1061"/>
      <c r="AK4" s="1061"/>
      <c r="AL4" s="1089"/>
      <c r="AM4" s="136" t="s">
        <v>396</v>
      </c>
      <c r="AO4" s="151"/>
      <c r="AP4" s="151" t="str">
        <f t="shared" si="0"/>
        <v>Наименование системы теплоснабжения </v>
      </c>
      <c r="AQ4" s="151"/>
      <c r="AR4" s="151"/>
      <c r="AS4" s="43">
        <v>0</v>
      </c>
    </row>
    <row r="5" ht="21" hidden="1" customHeight="1" spans="1:45">
      <c r="A5" s="502"/>
      <c r="B5" s="502"/>
      <c r="C5" s="502"/>
      <c r="D5" s="502"/>
      <c r="E5" s="1144"/>
      <c r="F5" s="1144"/>
      <c r="G5" s="1144"/>
      <c r="H5" s="1143">
        <v>1</v>
      </c>
      <c r="I5" s="502"/>
      <c r="J5" s="502"/>
      <c r="K5" s="502"/>
      <c r="L5" s="536"/>
      <c r="M5" s="42"/>
      <c r="N5" s="42"/>
      <c r="O5" s="42"/>
      <c r="P5" s="90"/>
      <c r="Q5" s="87"/>
      <c r="R5" s="88"/>
      <c r="S5" s="65" t="e">
        <f>INDEX(PT_DIFFERENTIATION_NUM_IST_TE,MATCH(D5,PT_DIFFERENTIATION_IST_TE_ID,0))</f>
        <v>#N/A</v>
      </c>
      <c r="T5" s="92" t="s">
        <v>397</v>
      </c>
      <c r="U5" s="84"/>
      <c r="V5" s="1090"/>
      <c r="W5" s="1061"/>
      <c r="X5" s="1061"/>
      <c r="Y5" s="1061"/>
      <c r="Z5" s="1061"/>
      <c r="AA5" s="1061"/>
      <c r="AB5" s="1061"/>
      <c r="AC5" s="1089"/>
      <c r="AD5" s="1090" t="e">
        <f>INDEX(PT_DIFFERENTIATION_IST_TE,MATCH(D5,PT_DIFFERENTIATION_IST_TE_ID,0))</f>
        <v>#N/A</v>
      </c>
      <c r="AE5" s="1061"/>
      <c r="AF5" s="1061"/>
      <c r="AG5" s="1061"/>
      <c r="AH5" s="1061"/>
      <c r="AI5" s="1061"/>
      <c r="AJ5" s="1061"/>
      <c r="AK5" s="1061"/>
      <c r="AL5" s="1089"/>
      <c r="AM5" s="136" t="s">
        <v>398</v>
      </c>
      <c r="AO5" s="151"/>
      <c r="AP5" s="151" t="str">
        <f t="shared" si="0"/>
        <v>Источник тепловой энергии  </v>
      </c>
      <c r="AQ5" s="151"/>
      <c r="AR5" s="151"/>
      <c r="AS5" s="43">
        <v>0</v>
      </c>
    </row>
    <row r="6" ht="47.25" hidden="1" customHeight="1" spans="1:45">
      <c r="A6" s="502"/>
      <c r="B6" s="502"/>
      <c r="C6" s="502"/>
      <c r="D6" s="502"/>
      <c r="E6" s="1144"/>
      <c r="F6" s="1144"/>
      <c r="G6" s="1144"/>
      <c r="H6" s="1144"/>
      <c r="I6" s="64" t="e">
        <f>S5&amp;".1"</f>
        <v>#N/A</v>
      </c>
      <c r="J6" s="502"/>
      <c r="K6" s="502"/>
      <c r="L6" s="536" t="s">
        <v>399</v>
      </c>
      <c r="M6" s="43"/>
      <c r="P6" s="93">
        <v>1</v>
      </c>
      <c r="Q6" s="93"/>
      <c r="R6" s="94"/>
      <c r="S6" s="65" t="e">
        <f>$I6</f>
        <v>#N/A</v>
      </c>
      <c r="T6" s="95" t="s">
        <v>400</v>
      </c>
      <c r="U6" s="84"/>
      <c r="V6" s="99"/>
      <c r="W6" s="100"/>
      <c r="X6" s="100"/>
      <c r="Y6" s="100"/>
      <c r="Z6" s="100"/>
      <c r="AA6" s="100"/>
      <c r="AB6" s="100"/>
      <c r="AC6" s="137"/>
      <c r="AD6" s="99"/>
      <c r="AE6" s="100"/>
      <c r="AF6" s="100"/>
      <c r="AG6" s="100"/>
      <c r="AH6" s="100"/>
      <c r="AI6" s="100"/>
      <c r="AJ6" s="100"/>
      <c r="AK6" s="100"/>
      <c r="AL6" s="137"/>
      <c r="AM6" s="136" t="s">
        <v>401</v>
      </c>
      <c r="AO6" s="151"/>
      <c r="AP6" s="151" t="str">
        <f t="shared" si="0"/>
        <v>Схема подключения теплопотребляющей установки к коллектору источника тепловой энергии</v>
      </c>
      <c r="AQ6" s="151"/>
      <c r="AR6" s="151"/>
      <c r="AS6" s="43">
        <v>0</v>
      </c>
    </row>
    <row r="7" ht="21" hidden="1" customHeight="1" spans="1:45">
      <c r="A7" s="502"/>
      <c r="B7" s="502"/>
      <c r="C7" s="502"/>
      <c r="D7" s="502"/>
      <c r="E7" s="1144"/>
      <c r="F7" s="1144"/>
      <c r="G7" s="1144"/>
      <c r="H7" s="1144"/>
      <c r="I7" s="126"/>
      <c r="J7" s="64" t="e">
        <f>I6&amp;".1"</f>
        <v>#N/A</v>
      </c>
      <c r="K7" s="502"/>
      <c r="L7" s="536" t="s">
        <v>402</v>
      </c>
      <c r="M7" s="43"/>
      <c r="N7" s="43"/>
      <c r="P7" s="93"/>
      <c r="Q7" s="93">
        <v>1</v>
      </c>
      <c r="R7" s="97"/>
      <c r="S7" s="65" t="e">
        <f>$J7</f>
        <v>#N/A</v>
      </c>
      <c r="T7" s="98" t="s">
        <v>403</v>
      </c>
      <c r="U7" s="84"/>
      <c r="V7" s="99"/>
      <c r="W7" s="100"/>
      <c r="X7" s="100"/>
      <c r="Y7" s="100"/>
      <c r="Z7" s="100"/>
      <c r="AA7" s="100"/>
      <c r="AB7" s="100"/>
      <c r="AC7" s="137"/>
      <c r="AD7" s="99"/>
      <c r="AE7" s="100"/>
      <c r="AF7" s="100"/>
      <c r="AG7" s="100"/>
      <c r="AH7" s="100"/>
      <c r="AI7" s="100"/>
      <c r="AJ7" s="100"/>
      <c r="AK7" s="100"/>
      <c r="AL7" s="137"/>
      <c r="AM7" s="136" t="s">
        <v>404</v>
      </c>
      <c r="AO7" s="151"/>
      <c r="AP7" s="151" t="str">
        <f t="shared" si="0"/>
        <v>Группа потребителей</v>
      </c>
      <c r="AQ7" s="151"/>
      <c r="AR7" s="151"/>
      <c r="AS7" s="43">
        <v>0</v>
      </c>
    </row>
    <row r="8" ht="21" hidden="1" customHeight="1" spans="1:45">
      <c r="A8" s="502"/>
      <c r="B8" s="502"/>
      <c r="C8" s="502"/>
      <c r="D8" s="502"/>
      <c r="E8" s="1144"/>
      <c r="F8" s="1144"/>
      <c r="G8" s="1144"/>
      <c r="H8" s="1144"/>
      <c r="I8" s="126"/>
      <c r="J8" s="126"/>
      <c r="K8" s="64" t="e">
        <f>J7&amp;".1"</f>
        <v>#N/A</v>
      </c>
      <c r="L8" s="536" t="s">
        <v>405</v>
      </c>
      <c r="M8" s="43"/>
      <c r="N8" s="43"/>
      <c r="O8" s="43"/>
      <c r="P8" s="93"/>
      <c r="Q8" s="93"/>
      <c r="R8" s="97">
        <v>1</v>
      </c>
      <c r="S8" s="65" t="e">
        <f>$K8</f>
        <v>#N/A</v>
      </c>
      <c r="T8" s="101"/>
      <c r="U8" s="84"/>
      <c r="V8" s="102"/>
      <c r="W8" s="103"/>
      <c r="X8" s="102"/>
      <c r="Y8" s="138"/>
      <c r="Z8" s="139"/>
      <c r="AA8" s="140" t="s">
        <v>66</v>
      </c>
      <c r="AB8" s="139"/>
      <c r="AC8" s="140" t="s">
        <v>66</v>
      </c>
      <c r="AD8" s="102"/>
      <c r="AE8" s="103"/>
      <c r="AF8" s="102"/>
      <c r="AG8" s="138"/>
      <c r="AH8" s="139"/>
      <c r="AI8" s="140" t="s">
        <v>66</v>
      </c>
      <c r="AJ8" s="139"/>
      <c r="AK8" s="140" t="s">
        <v>66</v>
      </c>
      <c r="AL8" s="103"/>
      <c r="AM8" s="141" t="s">
        <v>406</v>
      </c>
      <c r="AN8" s="44" t="e">
        <f>STRCHECKDATE(V9:AL9)</f>
        <v>#NAME?</v>
      </c>
      <c r="AO8" s="151"/>
      <c r="AP8" s="151" t="str">
        <f t="shared" si="0"/>
        <v/>
      </c>
      <c r="AQ8" s="151"/>
      <c r="AR8" s="151"/>
      <c r="AS8" s="43">
        <v>0</v>
      </c>
    </row>
    <row r="9" ht="0.75" hidden="1" customHeight="1" spans="1:45">
      <c r="A9" s="502"/>
      <c r="B9" s="502"/>
      <c r="C9" s="502"/>
      <c r="D9" s="502"/>
      <c r="E9" s="1144"/>
      <c r="F9" s="1144"/>
      <c r="G9" s="1144"/>
      <c r="H9" s="1144"/>
      <c r="I9" s="126"/>
      <c r="J9" s="126"/>
      <c r="K9" s="64"/>
      <c r="L9" s="536"/>
      <c r="M9" s="43"/>
      <c r="N9" s="43"/>
      <c r="O9" s="43"/>
      <c r="P9" s="93"/>
      <c r="Q9" s="93"/>
      <c r="R9" s="97"/>
      <c r="S9" s="104"/>
      <c r="T9" s="84"/>
      <c r="U9" s="84"/>
      <c r="V9" s="103"/>
      <c r="W9" s="103"/>
      <c r="X9" s="103"/>
      <c r="Y9" s="142" t="str">
        <f>Z8&amp;"-"&amp;AB8</f>
        <v>-</v>
      </c>
      <c r="Z9" s="143"/>
      <c r="AA9" s="140"/>
      <c r="AB9" s="143"/>
      <c r="AC9" s="140"/>
      <c r="AD9" s="103"/>
      <c r="AE9" s="103"/>
      <c r="AF9" s="103"/>
      <c r="AG9" s="142" t="str">
        <f>AH8&amp;"-"&amp;AJ8</f>
        <v>-</v>
      </c>
      <c r="AH9" s="143"/>
      <c r="AI9" s="140"/>
      <c r="AJ9" s="143"/>
      <c r="AK9" s="140"/>
      <c r="AL9" s="103"/>
      <c r="AM9" s="144"/>
      <c r="AO9" s="151"/>
      <c r="AP9" s="151" t="str">
        <f t="shared" si="0"/>
        <v/>
      </c>
      <c r="AQ9" s="151"/>
      <c r="AR9" s="151"/>
      <c r="AS9" s="43">
        <v>0</v>
      </c>
    </row>
    <row r="10" ht="15" hidden="1" customHeight="1" spans="1:45">
      <c r="A10" s="502"/>
      <c r="B10" s="502"/>
      <c r="C10" s="502"/>
      <c r="D10" s="502"/>
      <c r="E10" s="1144"/>
      <c r="F10" s="1144"/>
      <c r="G10" s="1144"/>
      <c r="H10" s="1144"/>
      <c r="I10" s="126"/>
      <c r="J10" s="64"/>
      <c r="K10" s="502"/>
      <c r="L10" s="536"/>
      <c r="M10" s="43"/>
      <c r="N10" s="43"/>
      <c r="P10" s="93"/>
      <c r="Q10" s="93"/>
      <c r="R10" s="94"/>
      <c r="S10" s="105"/>
      <c r="T10" s="106" t="s">
        <v>407</v>
      </c>
      <c r="U10" s="107"/>
      <c r="V10" s="107"/>
      <c r="W10" s="107"/>
      <c r="X10" s="107"/>
      <c r="Y10" s="107"/>
      <c r="Z10" s="107"/>
      <c r="AA10" s="107"/>
      <c r="AB10" s="107"/>
      <c r="AC10" s="107"/>
      <c r="AD10" s="107"/>
      <c r="AE10" s="107"/>
      <c r="AF10" s="107"/>
      <c r="AG10" s="107"/>
      <c r="AH10" s="107"/>
      <c r="AI10" s="107"/>
      <c r="AJ10" s="107"/>
      <c r="AK10" s="107"/>
      <c r="AL10" s="145"/>
      <c r="AM10" s="146"/>
      <c r="AO10" s="151"/>
      <c r="AP10" s="151" t="str">
        <f t="shared" si="0"/>
        <v>Добавить вид теплоносителя (параметры теплоносителя)</v>
      </c>
      <c r="AQ10" s="151"/>
      <c r="AR10" s="151"/>
      <c r="AS10" s="43">
        <v>0</v>
      </c>
    </row>
    <row r="11" ht="15" hidden="1" customHeight="1" spans="1:45">
      <c r="A11" s="502"/>
      <c r="B11" s="502"/>
      <c r="C11" s="502"/>
      <c r="D11" s="502"/>
      <c r="E11" s="1144"/>
      <c r="F11" s="1144"/>
      <c r="G11" s="1144"/>
      <c r="H11" s="1144"/>
      <c r="I11" s="64"/>
      <c r="J11" s="502"/>
      <c r="K11" s="502"/>
      <c r="L11" s="536"/>
      <c r="M11" s="43"/>
      <c r="P11" s="93"/>
      <c r="Q11" s="93"/>
      <c r="R11" s="94"/>
      <c r="S11" s="105"/>
      <c r="T11" s="108" t="s">
        <v>408</v>
      </c>
      <c r="U11" s="107"/>
      <c r="V11" s="107"/>
      <c r="W11" s="107"/>
      <c r="X11" s="107"/>
      <c r="Y11" s="107"/>
      <c r="Z11" s="107"/>
      <c r="AA11" s="107"/>
      <c r="AB11" s="107"/>
      <c r="AC11" s="147"/>
      <c r="AD11" s="107"/>
      <c r="AE11" s="107"/>
      <c r="AF11" s="107"/>
      <c r="AG11" s="107"/>
      <c r="AH11" s="107"/>
      <c r="AI11" s="107"/>
      <c r="AJ11" s="107"/>
      <c r="AK11" s="147"/>
      <c r="AL11" s="107"/>
      <c r="AM11" s="148"/>
      <c r="AO11" s="151"/>
      <c r="AP11" s="151" t="str">
        <f t="shared" si="0"/>
        <v>Добавить группу потребителей</v>
      </c>
      <c r="AQ11" s="151"/>
      <c r="AR11" s="151"/>
      <c r="AS11" s="43">
        <v>0</v>
      </c>
    </row>
    <row r="12" hidden="1" customHeight="1" spans="1:45">
      <c r="A12" s="502"/>
      <c r="B12" s="502"/>
      <c r="C12" s="502"/>
      <c r="D12" s="502"/>
      <c r="E12" s="1144"/>
      <c r="F12" s="1144"/>
      <c r="G12" s="1144"/>
      <c r="H12" s="1143"/>
      <c r="I12" s="502"/>
      <c r="J12" s="502"/>
      <c r="K12" s="502"/>
      <c r="L12" s="536"/>
      <c r="M12" s="42"/>
      <c r="N12" s="42"/>
      <c r="O12" s="43"/>
      <c r="P12" s="81"/>
      <c r="Q12" s="109"/>
      <c r="R12" s="82"/>
      <c r="S12" s="105"/>
      <c r="T12" s="110" t="s">
        <v>409</v>
      </c>
      <c r="U12" s="107"/>
      <c r="V12" s="107"/>
      <c r="W12" s="107"/>
      <c r="X12" s="107"/>
      <c r="Y12" s="107"/>
      <c r="Z12" s="107"/>
      <c r="AA12" s="107"/>
      <c r="AB12" s="107"/>
      <c r="AC12" s="147"/>
      <c r="AD12" s="107"/>
      <c r="AE12" s="107"/>
      <c r="AF12" s="107"/>
      <c r="AG12" s="107"/>
      <c r="AH12" s="107"/>
      <c r="AI12" s="107"/>
      <c r="AJ12" s="107"/>
      <c r="AK12" s="147"/>
      <c r="AL12" s="107"/>
      <c r="AM12" s="148"/>
      <c r="AO12" s="151"/>
      <c r="AP12" s="151" t="str">
        <f t="shared" si="0"/>
        <v>Добавить схему подключения</v>
      </c>
      <c r="AQ12" s="151"/>
      <c r="AR12" s="151"/>
      <c r="AS12" s="43">
        <v>0</v>
      </c>
    </row>
    <row r="13" s="44" customFormat="1" ht="0.75" hidden="1" customHeight="1" spans="1:45">
      <c r="A13" s="502"/>
      <c r="B13" s="502"/>
      <c r="C13" s="502"/>
      <c r="D13" s="502"/>
      <c r="E13" s="1144"/>
      <c r="F13" s="1144"/>
      <c r="G13" s="1143"/>
      <c r="H13" s="502"/>
      <c r="I13" s="502"/>
      <c r="J13" s="502"/>
      <c r="K13" s="502"/>
      <c r="L13" s="536"/>
      <c r="M13" s="42"/>
      <c r="N13" s="42"/>
      <c r="O13" s="43"/>
      <c r="P13" s="152"/>
      <c r="Q13" s="1082"/>
      <c r="R13" s="152"/>
      <c r="S13" s="1166"/>
      <c r="T13" s="1167" t="s">
        <v>410</v>
      </c>
      <c r="U13" s="1168"/>
      <c r="V13" s="1168"/>
      <c r="W13" s="1168"/>
      <c r="X13" s="1168"/>
      <c r="Y13" s="1168"/>
      <c r="Z13" s="1168"/>
      <c r="AA13" s="1168"/>
      <c r="AB13" s="1168"/>
      <c r="AC13" s="1168"/>
      <c r="AD13" s="1168"/>
      <c r="AE13" s="1168"/>
      <c r="AF13" s="1168"/>
      <c r="AG13" s="1168"/>
      <c r="AH13" s="1168"/>
      <c r="AI13" s="1168"/>
      <c r="AJ13" s="1168"/>
      <c r="AK13" s="1168"/>
      <c r="AL13" s="1168"/>
      <c r="AM13" s="1168"/>
      <c r="AO13" s="151"/>
      <c r="AP13" s="151" t="str">
        <f t="shared" si="0"/>
        <v>Добавить источник для дифференциации</v>
      </c>
      <c r="AQ13" s="151"/>
      <c r="AR13" s="151"/>
      <c r="AS13" s="44">
        <v>0</v>
      </c>
    </row>
    <row r="14" s="44" customFormat="1" ht="0.75" hidden="1" customHeight="1" spans="1:45">
      <c r="A14" s="502"/>
      <c r="B14" s="502"/>
      <c r="C14" s="502"/>
      <c r="D14" s="502"/>
      <c r="E14" s="1144"/>
      <c r="F14" s="1143"/>
      <c r="G14" s="502"/>
      <c r="H14" s="502"/>
      <c r="I14" s="502"/>
      <c r="J14" s="502"/>
      <c r="K14" s="502"/>
      <c r="L14" s="536"/>
      <c r="M14" s="1150"/>
      <c r="N14" s="1150"/>
      <c r="O14" s="43"/>
      <c r="P14" s="152"/>
      <c r="Q14" s="1082"/>
      <c r="R14" s="152"/>
      <c r="S14" s="1084"/>
      <c r="T14" s="1169" t="s">
        <v>411</v>
      </c>
      <c r="U14" s="307"/>
      <c r="V14" s="307"/>
      <c r="W14" s="307"/>
      <c r="X14" s="307"/>
      <c r="Y14" s="307"/>
      <c r="Z14" s="307"/>
      <c r="AA14" s="307"/>
      <c r="AB14" s="307"/>
      <c r="AC14" s="307"/>
      <c r="AD14" s="307"/>
      <c r="AE14" s="307"/>
      <c r="AF14" s="307"/>
      <c r="AG14" s="307"/>
      <c r="AH14" s="307"/>
      <c r="AI14" s="307"/>
      <c r="AJ14" s="307"/>
      <c r="AK14" s="307"/>
      <c r="AL14" s="307"/>
      <c r="AM14" s="307"/>
      <c r="AO14" s="151"/>
      <c r="AP14" s="151" t="str">
        <f t="shared" si="0"/>
        <v>Добавить централизованную систему для дифференциации</v>
      </c>
      <c r="AQ14" s="151"/>
      <c r="AR14" s="151"/>
      <c r="AS14" s="44">
        <v>0</v>
      </c>
    </row>
    <row r="15" s="44" customFormat="1" ht="0.75" hidden="1" customHeight="1" spans="1:45">
      <c r="A15" s="502"/>
      <c r="B15" s="502"/>
      <c r="C15" s="502"/>
      <c r="D15" s="502"/>
      <c r="E15" s="1143"/>
      <c r="F15" s="502"/>
      <c r="G15" s="502"/>
      <c r="H15" s="502"/>
      <c r="I15" s="502"/>
      <c r="J15" s="502"/>
      <c r="K15" s="502"/>
      <c r="L15" s="536"/>
      <c r="M15" s="1150"/>
      <c r="N15" s="1150"/>
      <c r="O15" s="43"/>
      <c r="P15" s="152"/>
      <c r="Q15" s="1082"/>
      <c r="R15" s="152"/>
      <c r="S15" s="1084"/>
      <c r="T15" s="1085" t="s">
        <v>412</v>
      </c>
      <c r="U15" s="307"/>
      <c r="V15" s="307"/>
      <c r="W15" s="307"/>
      <c r="X15" s="307"/>
      <c r="Y15" s="307"/>
      <c r="Z15" s="307"/>
      <c r="AA15" s="307"/>
      <c r="AB15" s="307"/>
      <c r="AC15" s="307"/>
      <c r="AD15" s="307"/>
      <c r="AE15" s="307"/>
      <c r="AF15" s="307"/>
      <c r="AG15" s="307"/>
      <c r="AH15" s="307"/>
      <c r="AI15" s="307"/>
      <c r="AJ15" s="307"/>
      <c r="AK15" s="307"/>
      <c r="AL15" s="307"/>
      <c r="AM15" s="307"/>
      <c r="AO15" s="151"/>
      <c r="AP15" s="151" t="str">
        <f t="shared" si="0"/>
        <v>Добавить территорию для дифференциации</v>
      </c>
      <c r="AQ15" s="151"/>
      <c r="AR15" s="151"/>
      <c r="AS15" s="44">
        <v>0</v>
      </c>
    </row>
    <row r="16" hidden="1" customHeight="1" spans="45:45">
      <c r="AS16" s="43">
        <v>0</v>
      </c>
    </row>
    <row r="17" hidden="1" customHeight="1" spans="30:45">
      <c r="AD17" s="492"/>
      <c r="AE17" s="492"/>
      <c r="AF17" s="492"/>
      <c r="AG17" s="1132"/>
      <c r="AH17" s="1133"/>
      <c r="AI17" s="353" t="s">
        <v>66</v>
      </c>
      <c r="AJ17" s="1133"/>
      <c r="AK17" s="353" t="s">
        <v>66</v>
      </c>
      <c r="AS17" s="43">
        <v>0</v>
      </c>
    </row>
    <row r="18" hidden="1" customHeight="1" spans="30:45">
      <c r="AD18" s="492"/>
      <c r="AE18" s="492"/>
      <c r="AF18" s="492"/>
      <c r="AG18" s="142" t="str">
        <f>AH17&amp;"-"&amp;AJ17</f>
        <v>-</v>
      </c>
      <c r="AH18" s="353"/>
      <c r="AI18" s="353"/>
      <c r="AJ18" s="353"/>
      <c r="AK18" s="353"/>
      <c r="AS18" s="43">
        <v>0</v>
      </c>
    </row>
    <row r="19" hidden="1" customHeight="1" spans="45:45">
      <c r="AS19" s="43">
        <v>0</v>
      </c>
    </row>
    <row r="20" s="38" customFormat="1" ht="22.5" hidden="1" customHeight="1" spans="1:45">
      <c r="A20" s="43"/>
      <c r="B20" s="43"/>
      <c r="C20" s="43"/>
      <c r="D20" s="43"/>
      <c r="E20" s="43"/>
      <c r="F20" s="43"/>
      <c r="G20" s="43"/>
      <c r="H20" s="43"/>
      <c r="I20" s="43"/>
      <c r="J20" s="43"/>
      <c r="K20" s="43"/>
      <c r="L20" s="86"/>
      <c r="M20" s="40"/>
      <c r="N20" s="40"/>
      <c r="O20" s="1098" t="s">
        <v>413</v>
      </c>
      <c r="P20" s="39"/>
      <c r="Q20" s="1051"/>
      <c r="R20" s="1051"/>
      <c r="S20" s="47"/>
      <c r="Z20" s="1060"/>
      <c r="AB20" s="1060"/>
      <c r="AH20" s="1060"/>
      <c r="AJ20" s="1060"/>
      <c r="AN20" s="44"/>
      <c r="AO20" s="44"/>
      <c r="AP20" s="44"/>
      <c r="AQ20" s="44"/>
      <c r="AR20" s="44"/>
      <c r="AS20" s="38">
        <v>0</v>
      </c>
    </row>
    <row r="21" s="38" customFormat="1" hidden="1" customHeight="1" spans="1:45">
      <c r="A21" s="43"/>
      <c r="B21" s="43"/>
      <c r="C21" s="43"/>
      <c r="D21" s="43"/>
      <c r="E21" s="43"/>
      <c r="F21" s="43"/>
      <c r="G21" s="43"/>
      <c r="H21" s="43"/>
      <c r="I21" s="43"/>
      <c r="J21" s="43"/>
      <c r="K21" s="43"/>
      <c r="L21" s="86"/>
      <c r="M21" s="40"/>
      <c r="N21" s="40"/>
      <c r="O21" s="40"/>
      <c r="P21" s="39"/>
      <c r="Q21" s="1051"/>
      <c r="R21" s="1051"/>
      <c r="S21" s="47"/>
      <c r="AN21" s="44"/>
      <c r="AO21" s="44"/>
      <c r="AP21" s="44"/>
      <c r="AQ21" s="44"/>
      <c r="AR21" s="44"/>
      <c r="AS21" s="38">
        <v>0</v>
      </c>
    </row>
    <row r="22" s="38" customFormat="1" hidden="1" customHeight="1" spans="1:45">
      <c r="A22" s="43"/>
      <c r="B22" s="43"/>
      <c r="C22" s="43"/>
      <c r="D22" s="43"/>
      <c r="E22" s="43"/>
      <c r="F22" s="43"/>
      <c r="G22" s="43"/>
      <c r="H22" s="43"/>
      <c r="I22" s="43"/>
      <c r="J22" s="43"/>
      <c r="K22" s="43"/>
      <c r="L22" s="86"/>
      <c r="M22" s="40"/>
      <c r="N22" s="40"/>
      <c r="O22" s="536" t="s">
        <v>414</v>
      </c>
      <c r="P22" s="39"/>
      <c r="Q22" s="1051"/>
      <c r="R22" s="1051"/>
      <c r="S22" s="47"/>
      <c r="T22" s="38" t="s">
        <v>415</v>
      </c>
      <c r="AA22" s="45" t="s">
        <v>416</v>
      </c>
      <c r="AC22" s="45" t="s">
        <v>417</v>
      </c>
      <c r="AD22" s="38" t="s">
        <v>415</v>
      </c>
      <c r="AI22" s="45" t="s">
        <v>418</v>
      </c>
      <c r="AK22" s="45" t="s">
        <v>417</v>
      </c>
      <c r="AN22" s="44"/>
      <c r="AO22" s="44"/>
      <c r="AP22" s="44"/>
      <c r="AQ22" s="44"/>
      <c r="AR22" s="44"/>
      <c r="AS22" s="38">
        <v>0</v>
      </c>
    </row>
    <row r="23" hidden="1" customHeight="1" spans="15:45">
      <c r="O23" s="536"/>
      <c r="AS23" s="43">
        <v>0</v>
      </c>
    </row>
    <row r="24" hidden="1" customHeight="1" spans="15:45">
      <c r="O24" s="536"/>
      <c r="AS24" s="43">
        <v>0</v>
      </c>
    </row>
    <row r="25" ht="14.7" customHeight="1" spans="17:45">
      <c r="Q25" s="51"/>
      <c r="R25" s="51"/>
      <c r="S25" s="52"/>
      <c r="T25" s="53"/>
      <c r="U25" s="53"/>
      <c r="AS25" s="43">
        <v>14</v>
      </c>
    </row>
    <row r="26" ht="14.7" customHeight="1" spans="17:45">
      <c r="Q26" s="51"/>
      <c r="R26" s="51"/>
      <c r="S26" s="7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755"/>
      <c r="U26" s="755"/>
      <c r="V26" s="755"/>
      <c r="W26" s="755"/>
      <c r="X26" s="755"/>
      <c r="Y26" s="755"/>
      <c r="Z26" s="755"/>
      <c r="AA26" s="755"/>
      <c r="AB26" s="755"/>
      <c r="AC26" s="755"/>
      <c r="AD26" s="755"/>
      <c r="AE26" s="755"/>
      <c r="AF26" s="755"/>
      <c r="AG26" s="755"/>
      <c r="AH26" s="755"/>
      <c r="AI26" s="755"/>
      <c r="AJ26" s="755"/>
      <c r="AK26" s="121"/>
      <c r="AS26" s="43">
        <v>14</v>
      </c>
    </row>
    <row r="27" ht="14.7" customHeight="1" spans="17:45">
      <c r="Q27" s="51"/>
      <c r="R27" s="51"/>
      <c r="S27" s="660" t="str">
        <f>IF(org=0,"Не определено",org)</f>
        <v>АО "Теплокоммунэнерго"</v>
      </c>
      <c r="T27" s="660"/>
      <c r="U27" s="660"/>
      <c r="V27" s="660"/>
      <c r="W27" s="660"/>
      <c r="X27" s="660"/>
      <c r="Y27" s="660"/>
      <c r="Z27" s="660"/>
      <c r="AA27" s="660"/>
      <c r="AB27" s="660"/>
      <c r="AC27" s="660"/>
      <c r="AD27" s="660"/>
      <c r="AE27" s="660"/>
      <c r="AF27" s="660"/>
      <c r="AG27" s="660"/>
      <c r="AH27" s="660"/>
      <c r="AI27" s="660"/>
      <c r="AJ27" s="660"/>
      <c r="AK27" s="121"/>
      <c r="AS27" s="43">
        <v>14</v>
      </c>
    </row>
    <row r="28" hidden="1" customHeight="1" spans="17:45">
      <c r="Q28" s="51"/>
      <c r="R28" s="51"/>
      <c r="S28" s="52"/>
      <c r="T28" s="53"/>
      <c r="U28" s="53"/>
      <c r="V28" s="56"/>
      <c r="W28" s="56"/>
      <c r="X28" s="56"/>
      <c r="Y28" s="56"/>
      <c r="Z28" s="56"/>
      <c r="AA28" s="56"/>
      <c r="AB28" s="56"/>
      <c r="AC28" s="56"/>
      <c r="AD28" s="56"/>
      <c r="AE28" s="56"/>
      <c r="AF28" s="56"/>
      <c r="AG28" s="56"/>
      <c r="AH28" s="56"/>
      <c r="AI28" s="56"/>
      <c r="AJ28" s="56"/>
      <c r="AK28" s="56"/>
      <c r="AS28" s="43">
        <v>0</v>
      </c>
    </row>
    <row r="29" s="36" customFormat="1" ht="25.5" hidden="1" customHeight="1" spans="1:45">
      <c r="A29" s="503"/>
      <c r="B29" s="503"/>
      <c r="C29" s="503"/>
      <c r="D29" s="503"/>
      <c r="E29" s="503"/>
      <c r="F29" s="503"/>
      <c r="G29" s="503"/>
      <c r="H29" s="503"/>
      <c r="I29" s="503"/>
      <c r="J29" s="503"/>
      <c r="K29" s="503"/>
      <c r="L29" s="536"/>
      <c r="M29" s="503"/>
      <c r="N29" s="503"/>
      <c r="O29" s="503"/>
      <c r="S29"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58"/>
      <c r="U29" s="1088"/>
      <c r="V29" s="60" t="str">
        <f>IF(TITLE_NAME_OR_PR_CHANGE="",IF(TITLE_NAME_OR_PR="","",TITLE_NAME_OR_PR),TITLE_NAME_OR_PR_CHANGE)</f>
        <v/>
      </c>
      <c r="W29" s="60"/>
      <c r="X29" s="60"/>
      <c r="Y29" s="60"/>
      <c r="Z29" s="60"/>
      <c r="AA29" s="60"/>
      <c r="AB29" s="60"/>
      <c r="AC29" s="43"/>
      <c r="AD29" s="60" t="str">
        <f>IF(TITLE_NAME_OR_PR_CHANGE="",IF(TITLE_NAME_OR_PR="","",TITLE_NAME_OR_PR),TITLE_NAME_OR_PR_CHANGE)</f>
        <v/>
      </c>
      <c r="AE29" s="60"/>
      <c r="AF29" s="60"/>
      <c r="AG29" s="60"/>
      <c r="AH29" s="60"/>
      <c r="AI29" s="60"/>
      <c r="AJ29" s="60"/>
      <c r="AK29" s="43"/>
      <c r="AL29" s="43"/>
      <c r="AM29" s="122"/>
      <c r="AN29" s="151"/>
      <c r="AO29" s="151"/>
      <c r="AP29" s="151"/>
      <c r="AQ29" s="151"/>
      <c r="AR29" s="151"/>
      <c r="AS29" s="36">
        <v>0</v>
      </c>
    </row>
    <row r="30" s="36" customFormat="1" ht="18.75" hidden="1" customHeight="1" spans="1:45">
      <c r="A30" s="503"/>
      <c r="B30" s="503"/>
      <c r="C30" s="503"/>
      <c r="D30" s="503"/>
      <c r="E30" s="503"/>
      <c r="F30" s="503"/>
      <c r="G30" s="503"/>
      <c r="H30" s="503"/>
      <c r="I30" s="503"/>
      <c r="J30" s="503"/>
      <c r="K30" s="503"/>
      <c r="L30" s="536"/>
      <c r="M30" s="503"/>
      <c r="N30" s="503"/>
      <c r="O30" s="503"/>
      <c r="S30" s="58" t="str">
        <f>"Дата документа об "&amp;IF(TITLE_DATE_PR_CHANGE="","утверждении","изменении")&amp;" тарифов"</f>
        <v>Дата документа об утверждении тарифов</v>
      </c>
      <c r="T30" s="58"/>
      <c r="U30" s="1088"/>
      <c r="V30" s="793" t="str">
        <f>IF(TITLE_DATE_PR_CHANGE="",IF(TITLE_DATE_PR="","",TITLE_DATE_PR),TITLE_DATE_PR_CHANGE)</f>
        <v/>
      </c>
      <c r="W30" s="793"/>
      <c r="X30" s="793"/>
      <c r="Y30" s="793"/>
      <c r="Z30" s="793"/>
      <c r="AA30" s="793"/>
      <c r="AB30" s="793"/>
      <c r="AC30" s="43"/>
      <c r="AD30" s="793" t="str">
        <f>IF(TITLE_DATE_PR_CHANGE="",IF(TITLE_DATE_PR="","",TITLE_DATE_PR),TITLE_DATE_PR_CHANGE)</f>
        <v/>
      </c>
      <c r="AE30" s="793"/>
      <c r="AF30" s="793"/>
      <c r="AG30" s="793"/>
      <c r="AH30" s="793"/>
      <c r="AI30" s="793"/>
      <c r="AJ30" s="793"/>
      <c r="AK30" s="43"/>
      <c r="AL30" s="43"/>
      <c r="AM30" s="122"/>
      <c r="AN30" s="151"/>
      <c r="AO30" s="151"/>
      <c r="AP30" s="151"/>
      <c r="AQ30" s="151"/>
      <c r="AR30" s="151"/>
      <c r="AS30" s="36">
        <v>0</v>
      </c>
    </row>
    <row r="31" s="36" customFormat="1" ht="18.75" hidden="1" customHeight="1" spans="1:45">
      <c r="A31" s="503"/>
      <c r="B31" s="503"/>
      <c r="C31" s="503"/>
      <c r="D31" s="503"/>
      <c r="E31" s="503"/>
      <c r="F31" s="503"/>
      <c r="G31" s="503"/>
      <c r="H31" s="503"/>
      <c r="I31" s="503"/>
      <c r="J31" s="503"/>
      <c r="K31" s="503"/>
      <c r="L31" s="536"/>
      <c r="M31" s="503"/>
      <c r="N31" s="503"/>
      <c r="O31" s="503"/>
      <c r="S31" s="58" t="str">
        <f>"Номер документа об "&amp;IF(TITLE_DATE_PR_CHANGE="","утверждении","изменении")&amp;" тарифов"</f>
        <v>Номер документа об утверждении тарифов</v>
      </c>
      <c r="T31" s="58"/>
      <c r="U31" s="1088"/>
      <c r="V31" s="60" t="str">
        <f>IF(TITLE_NUMBER_PR_CHANGE="",IF(TITLE_NUMBER_PR="","",TITLE_NUMBER_PR),TITLE_NUMBER_PR_CHANGE)</f>
        <v/>
      </c>
      <c r="W31" s="60"/>
      <c r="X31" s="60"/>
      <c r="Y31" s="60"/>
      <c r="Z31" s="60"/>
      <c r="AA31" s="60"/>
      <c r="AB31" s="60"/>
      <c r="AC31" s="43"/>
      <c r="AD31" s="60" t="str">
        <f>IF(TITLE_NUMBER_PR_CHANGE="",IF(TITLE_NUMBER_PR="","",TITLE_NUMBER_PR),TITLE_NUMBER_PR_CHANGE)</f>
        <v/>
      </c>
      <c r="AE31" s="60"/>
      <c r="AF31" s="60"/>
      <c r="AG31" s="60"/>
      <c r="AH31" s="60"/>
      <c r="AI31" s="60"/>
      <c r="AJ31" s="60"/>
      <c r="AK31" s="43"/>
      <c r="AL31" s="43"/>
      <c r="AM31" s="122"/>
      <c r="AN31" s="151"/>
      <c r="AO31" s="151"/>
      <c r="AP31" s="151"/>
      <c r="AQ31" s="151"/>
      <c r="AR31" s="151"/>
      <c r="AS31" s="36">
        <v>0</v>
      </c>
    </row>
    <row r="32" s="36" customFormat="1" ht="18.75" hidden="1" customHeight="1" spans="1:45">
      <c r="A32" s="503"/>
      <c r="B32" s="503"/>
      <c r="C32" s="503"/>
      <c r="D32" s="503"/>
      <c r="E32" s="503"/>
      <c r="F32" s="503"/>
      <c r="G32" s="503"/>
      <c r="H32" s="503"/>
      <c r="I32" s="503"/>
      <c r="J32" s="503"/>
      <c r="K32" s="503"/>
      <c r="L32" s="536"/>
      <c r="M32" s="503"/>
      <c r="N32" s="503"/>
      <c r="O32" s="503"/>
      <c r="S32" s="58" t="s">
        <v>43</v>
      </c>
      <c r="T32" s="58"/>
      <c r="U32" s="1088"/>
      <c r="V32" s="60" t="str">
        <f>IF(TITLE_IST_PUB_CHANGE="",IF(TITLE_IST_PUB="","",TITLE_IST_PUB),TITLE_IST_PUB_CHANGE)</f>
        <v/>
      </c>
      <c r="W32" s="60"/>
      <c r="X32" s="60"/>
      <c r="Y32" s="60"/>
      <c r="Z32" s="60"/>
      <c r="AA32" s="60"/>
      <c r="AB32" s="60"/>
      <c r="AC32" s="43"/>
      <c r="AD32" s="60" t="str">
        <f>IF(TITLE_IST_PUB_CHANGE="",IF(TITLE_IST_PUB="","",TITLE_IST_PUB),TITLE_IST_PUB_CHANGE)</f>
        <v/>
      </c>
      <c r="AE32" s="60"/>
      <c r="AF32" s="60"/>
      <c r="AG32" s="60"/>
      <c r="AH32" s="60"/>
      <c r="AI32" s="60"/>
      <c r="AJ32" s="60"/>
      <c r="AK32" s="43"/>
      <c r="AL32" s="43"/>
      <c r="AM32" s="122"/>
      <c r="AN32" s="151"/>
      <c r="AO32" s="151"/>
      <c r="AP32" s="151"/>
      <c r="AQ32" s="151"/>
      <c r="AR32" s="151"/>
      <c r="AS32" s="36">
        <v>0</v>
      </c>
    </row>
    <row r="33" hidden="1" customHeight="1" spans="17:45">
      <c r="Q33" s="51"/>
      <c r="R33" s="51"/>
      <c r="S33" s="52"/>
      <c r="T33" s="53"/>
      <c r="U33" s="53"/>
      <c r="V33" s="56"/>
      <c r="W33" s="56"/>
      <c r="X33" s="56"/>
      <c r="Y33" s="56"/>
      <c r="Z33" s="56"/>
      <c r="AA33" s="56"/>
      <c r="AB33" s="56"/>
      <c r="AC33" s="56"/>
      <c r="AD33" s="56"/>
      <c r="AE33" s="56"/>
      <c r="AF33" s="56"/>
      <c r="AG33" s="56"/>
      <c r="AH33" s="56"/>
      <c r="AI33" s="56"/>
      <c r="AJ33" s="56"/>
      <c r="AK33" s="56"/>
      <c r="AS33" s="43">
        <v>0</v>
      </c>
    </row>
    <row r="34" s="36" customFormat="1" ht="18.75" hidden="1" customHeight="1" spans="1:45">
      <c r="A34" s="503"/>
      <c r="B34" s="503"/>
      <c r="C34" s="503"/>
      <c r="D34" s="503"/>
      <c r="E34" s="503"/>
      <c r="F34" s="503"/>
      <c r="G34" s="503"/>
      <c r="H34" s="503"/>
      <c r="I34" s="503"/>
      <c r="J34" s="503"/>
      <c r="K34" s="503"/>
      <c r="L34" s="536"/>
      <c r="M34" s="503"/>
      <c r="N34" s="503"/>
      <c r="O34" s="503"/>
      <c r="S34" s="58" t="str">
        <f>"Дата подачи заявления об "&amp;IF(TITLE_DATE_PR_CHANGE="","утверждении","изменении")&amp;" тарифов"</f>
        <v>Дата подачи заявления об утверждении тарифов</v>
      </c>
      <c r="T34" s="58"/>
      <c r="U34" s="1088"/>
      <c r="V34" s="793" t="str">
        <f>IF(TITLE_DATE_PR_CHANGE="",IF(TITLE_DATE_PR="","",TITLE_DATE_PR),TITLE_DATE_PR_CHANGE)</f>
        <v/>
      </c>
      <c r="W34" s="793"/>
      <c r="X34" s="793"/>
      <c r="Y34" s="793"/>
      <c r="Z34" s="793"/>
      <c r="AA34" s="793"/>
      <c r="AB34" s="793"/>
      <c r="AC34" s="43"/>
      <c r="AD34" s="793" t="str">
        <f>IF(TITLE_DATE_PR_CHANGE="",IF(TITLE_DATE_PR="","",TITLE_DATE_PR),TITLE_DATE_PR_CHANGE)</f>
        <v/>
      </c>
      <c r="AE34" s="793"/>
      <c r="AF34" s="793"/>
      <c r="AG34" s="793"/>
      <c r="AH34" s="793"/>
      <c r="AI34" s="793"/>
      <c r="AJ34" s="793"/>
      <c r="AK34" s="43"/>
      <c r="AL34" s="43"/>
      <c r="AM34" s="122"/>
      <c r="AN34" s="151"/>
      <c r="AO34" s="151"/>
      <c r="AP34" s="151"/>
      <c r="AQ34" s="151"/>
      <c r="AR34" s="151"/>
      <c r="AS34" s="36">
        <v>0</v>
      </c>
    </row>
    <row r="35" s="36" customFormat="1" ht="18.75" hidden="1" customHeight="1" spans="1:45">
      <c r="A35" s="503"/>
      <c r="B35" s="503"/>
      <c r="C35" s="503"/>
      <c r="D35" s="503"/>
      <c r="E35" s="503"/>
      <c r="F35" s="503"/>
      <c r="G35" s="503"/>
      <c r="H35" s="503"/>
      <c r="I35" s="503"/>
      <c r="J35" s="503"/>
      <c r="K35" s="503"/>
      <c r="L35" s="536"/>
      <c r="M35" s="503"/>
      <c r="N35" s="503"/>
      <c r="O35" s="503"/>
      <c r="S35" s="58" t="str">
        <f>"Номер подачи заявления об "&amp;IF(TITLE_DATE_PR_CHANGE="","утверждении","изменении")&amp;" тарифов"</f>
        <v>Номер подачи заявления об утверждении тарифов</v>
      </c>
      <c r="T35" s="58"/>
      <c r="U35" s="1088"/>
      <c r="V35" s="60" t="str">
        <f>IF(TITLE_NUMBER_PR_CHANGE="",IF(TITLE_NUMBER_PR="","",TITLE_NUMBER_PR),TITLE_NUMBER_PR_CHANGE)</f>
        <v/>
      </c>
      <c r="W35" s="60"/>
      <c r="X35" s="60"/>
      <c r="Y35" s="60"/>
      <c r="Z35" s="60"/>
      <c r="AA35" s="60"/>
      <c r="AB35" s="60"/>
      <c r="AC35" s="43"/>
      <c r="AD35" s="60" t="str">
        <f>IF(TITLE_NUMBER_PR_CHANGE="",IF(TITLE_NUMBER_PR="","",TITLE_NUMBER_PR),TITLE_NUMBER_PR_CHANGE)</f>
        <v/>
      </c>
      <c r="AE35" s="60"/>
      <c r="AF35" s="60"/>
      <c r="AG35" s="60"/>
      <c r="AH35" s="60"/>
      <c r="AI35" s="60"/>
      <c r="AJ35" s="60"/>
      <c r="AK35" s="43"/>
      <c r="AL35" s="43"/>
      <c r="AM35" s="122"/>
      <c r="AN35" s="151"/>
      <c r="AO35" s="151"/>
      <c r="AP35" s="151"/>
      <c r="AQ35" s="151"/>
      <c r="AR35" s="151"/>
      <c r="AS35" s="36">
        <v>0</v>
      </c>
    </row>
    <row r="36" s="36" customFormat="1" hidden="1" customHeight="1" spans="1:45">
      <c r="A36" s="503"/>
      <c r="B36" s="503"/>
      <c r="C36" s="503"/>
      <c r="D36" s="503"/>
      <c r="E36" s="503"/>
      <c r="F36" s="503"/>
      <c r="G36" s="503"/>
      <c r="H36" s="503"/>
      <c r="I36" s="503"/>
      <c r="J36" s="503"/>
      <c r="K36" s="503"/>
      <c r="L36" s="536"/>
      <c r="M36" s="503"/>
      <c r="N36" s="503"/>
      <c r="O36" s="503"/>
      <c r="S36" s="43"/>
      <c r="T36" s="43"/>
      <c r="U36" s="61"/>
      <c r="V36" s="43"/>
      <c r="W36" s="43"/>
      <c r="X36" s="43"/>
      <c r="Y36" s="43"/>
      <c r="Z36" s="43"/>
      <c r="AA36" s="43"/>
      <c r="AB36" s="43"/>
      <c r="AC36" s="44" t="s">
        <v>419</v>
      </c>
      <c r="AD36" s="43"/>
      <c r="AE36" s="43"/>
      <c r="AF36" s="43"/>
      <c r="AG36" s="43"/>
      <c r="AH36" s="43"/>
      <c r="AI36" s="43"/>
      <c r="AJ36" s="43"/>
      <c r="AK36" s="44" t="s">
        <v>419</v>
      </c>
      <c r="AN36" s="151"/>
      <c r="AO36" s="151"/>
      <c r="AP36" s="151"/>
      <c r="AQ36" s="151"/>
      <c r="AR36" s="151"/>
      <c r="AS36" s="36">
        <v>0</v>
      </c>
    </row>
    <row r="37" ht="14.7" customHeight="1" spans="17:45">
      <c r="Q37" s="51"/>
      <c r="R37" s="51"/>
      <c r="S37" s="52"/>
      <c r="T37" s="53"/>
      <c r="U37" s="62"/>
      <c r="V37" s="63"/>
      <c r="W37" s="63"/>
      <c r="X37" s="63"/>
      <c r="Y37" s="63"/>
      <c r="Z37" s="63"/>
      <c r="AA37" s="63"/>
      <c r="AB37" s="63"/>
      <c r="AC37" s="63"/>
      <c r="AD37" s="63"/>
      <c r="AE37" s="63"/>
      <c r="AF37" s="63"/>
      <c r="AG37" s="63"/>
      <c r="AH37" s="63"/>
      <c r="AI37" s="63"/>
      <c r="AJ37" s="63"/>
      <c r="AK37" s="63"/>
      <c r="AS37" s="43">
        <v>14</v>
      </c>
    </row>
    <row r="38" ht="14.7" customHeight="1" spans="17:45">
      <c r="Q38" s="51"/>
      <c r="R38" s="51"/>
      <c r="S38" s="64" t="s">
        <v>296</v>
      </c>
      <c r="T38" s="64"/>
      <c r="U38" s="64"/>
      <c r="V38" s="64"/>
      <c r="W38" s="64"/>
      <c r="X38" s="64"/>
      <c r="Y38" s="64"/>
      <c r="Z38" s="64"/>
      <c r="AA38" s="64"/>
      <c r="AB38" s="64"/>
      <c r="AC38" s="64"/>
      <c r="AD38" s="64"/>
      <c r="AE38" s="64"/>
      <c r="AF38" s="64"/>
      <c r="AG38" s="64"/>
      <c r="AH38" s="64"/>
      <c r="AI38" s="64"/>
      <c r="AJ38" s="64"/>
      <c r="AK38" s="64"/>
      <c r="AL38" s="64"/>
      <c r="AM38" s="64" t="s">
        <v>297</v>
      </c>
      <c r="AS38" s="43">
        <v>14</v>
      </c>
    </row>
    <row r="39" ht="14.7" customHeight="1" spans="17:45">
      <c r="Q39" s="51"/>
      <c r="R39" s="51"/>
      <c r="S39" s="65" t="s">
        <v>89</v>
      </c>
      <c r="T39" s="66" t="s">
        <v>420</v>
      </c>
      <c r="U39" s="67"/>
      <c r="V39" s="68" t="s">
        <v>421</v>
      </c>
      <c r="W39" s="69"/>
      <c r="X39" s="69"/>
      <c r="Y39" s="69"/>
      <c r="Z39" s="69"/>
      <c r="AA39" s="69"/>
      <c r="AB39" s="123"/>
      <c r="AC39" s="124" t="s">
        <v>422</v>
      </c>
      <c r="AD39" s="68" t="s">
        <v>421</v>
      </c>
      <c r="AE39" s="69"/>
      <c r="AF39" s="69"/>
      <c r="AG39" s="69"/>
      <c r="AH39" s="69"/>
      <c r="AI39" s="69"/>
      <c r="AJ39" s="123"/>
      <c r="AK39" s="124" t="s">
        <v>423</v>
      </c>
      <c r="AL39" s="125" t="s">
        <v>424</v>
      </c>
      <c r="AM39" s="64"/>
      <c r="AS39" s="43">
        <v>14</v>
      </c>
    </row>
    <row r="40" ht="35.7" customHeight="1" spans="17:45">
      <c r="Q40" s="51"/>
      <c r="R40" s="51"/>
      <c r="S40" s="65"/>
      <c r="T40" s="66"/>
      <c r="U40" s="70"/>
      <c r="V40" s="71" t="s">
        <v>425</v>
      </c>
      <c r="W40" s="1181" t="s">
        <v>426</v>
      </c>
      <c r="X40" s="126" t="s">
        <v>427</v>
      </c>
      <c r="Y40" s="127"/>
      <c r="Z40" s="126" t="s">
        <v>441</v>
      </c>
      <c r="AA40" s="128"/>
      <c r="AB40" s="127"/>
      <c r="AC40" s="129"/>
      <c r="AD40" s="71" t="s">
        <v>425</v>
      </c>
      <c r="AE40" s="1181" t="s">
        <v>426</v>
      </c>
      <c r="AF40" s="126" t="s">
        <v>427</v>
      </c>
      <c r="AG40" s="127"/>
      <c r="AH40" s="126" t="s">
        <v>428</v>
      </c>
      <c r="AI40" s="128"/>
      <c r="AJ40" s="127"/>
      <c r="AK40" s="129"/>
      <c r="AL40" s="130"/>
      <c r="AM40" s="64"/>
      <c r="AS40" s="43">
        <v>34</v>
      </c>
    </row>
    <row r="41" ht="35.7" customHeight="1" spans="1:45">
      <c r="A41" s="503"/>
      <c r="B41" s="503" t="s">
        <v>133</v>
      </c>
      <c r="C41" s="503" t="s">
        <v>134</v>
      </c>
      <c r="D41" s="503" t="s">
        <v>135</v>
      </c>
      <c r="E41" s="536" t="s">
        <v>429</v>
      </c>
      <c r="F41" s="536" t="s">
        <v>430</v>
      </c>
      <c r="G41" s="536" t="s">
        <v>431</v>
      </c>
      <c r="H41" s="536" t="s">
        <v>432</v>
      </c>
      <c r="I41" s="536" t="s">
        <v>433</v>
      </c>
      <c r="J41" s="536" t="s">
        <v>434</v>
      </c>
      <c r="K41" s="536" t="s">
        <v>435</v>
      </c>
      <c r="L41" s="536" t="s">
        <v>414</v>
      </c>
      <c r="Q41" s="51"/>
      <c r="R41" s="51"/>
      <c r="S41" s="65"/>
      <c r="T41" s="66"/>
      <c r="U41" s="72"/>
      <c r="V41" s="73"/>
      <c r="W41" s="222"/>
      <c r="X41" s="131" t="s">
        <v>436</v>
      </c>
      <c r="Y41" s="131" t="s">
        <v>437</v>
      </c>
      <c r="Z41" s="131" t="s">
        <v>438</v>
      </c>
      <c r="AA41" s="132" t="s">
        <v>439</v>
      </c>
      <c r="AB41" s="133"/>
      <c r="AC41" s="134"/>
      <c r="AD41" s="73"/>
      <c r="AE41" s="222"/>
      <c r="AF41" s="131" t="s">
        <v>436</v>
      </c>
      <c r="AG41" s="131" t="s">
        <v>437</v>
      </c>
      <c r="AH41" s="131" t="s">
        <v>438</v>
      </c>
      <c r="AI41" s="132" t="s">
        <v>439</v>
      </c>
      <c r="AJ41" s="133"/>
      <c r="AK41" s="134"/>
      <c r="AL41" s="135"/>
      <c r="AM41" s="64"/>
      <c r="AS41" s="43">
        <v>34</v>
      </c>
    </row>
    <row r="42" s="37" customFormat="1" ht="11.25" hidden="1" customHeight="1" spans="1:45">
      <c r="A42" s="503"/>
      <c r="B42" s="503"/>
      <c r="C42" s="503"/>
      <c r="D42" s="503"/>
      <c r="E42" s="503"/>
      <c r="F42" s="503"/>
      <c r="G42" s="503"/>
      <c r="H42" s="503"/>
      <c r="I42" s="503"/>
      <c r="J42" s="503"/>
      <c r="K42" s="503"/>
      <c r="L42" s="536"/>
      <c r="M42" s="40"/>
      <c r="N42" s="40"/>
      <c r="O42" s="40"/>
      <c r="P42" s="74"/>
      <c r="Q42" s="75"/>
      <c r="R42" s="76">
        <v>1</v>
      </c>
      <c r="S42" s="77" t="s">
        <v>107</v>
      </c>
      <c r="T42" s="78" t="s">
        <v>108</v>
      </c>
      <c r="U42" s="79" t="str">
        <f ca="1">OFFSET(U42,0,-1)</f>
        <v>2</v>
      </c>
      <c r="V42" s="80">
        <f ca="1">OFFSET(V42,0,-1)+1</f>
        <v>3</v>
      </c>
      <c r="W42" s="80"/>
      <c r="X42" s="80">
        <f ca="1">OFFSET(X42,0,-1)+1</f>
        <v>1</v>
      </c>
      <c r="Y42" s="80">
        <f ca="1">OFFSET(Y42,0,-1)+1</f>
        <v>2</v>
      </c>
      <c r="Z42" s="80">
        <f ca="1">OFFSET(Z42,0,-1)+1</f>
        <v>3</v>
      </c>
      <c r="AA42" s="80">
        <f ca="1">OFFSET(AA42,0,-1)+1</f>
        <v>4</v>
      </c>
      <c r="AB42" s="80"/>
      <c r="AC42" s="80">
        <f ca="1">OFFSET(AC42,0,-2)+1</f>
        <v>5</v>
      </c>
      <c r="AD42" s="80">
        <f ca="1">OFFSET(AD42,0,-1)+1</f>
        <v>6</v>
      </c>
      <c r="AE42" s="80"/>
      <c r="AF42" s="80">
        <f ca="1">OFFSET(AF42,0,-1)+1</f>
        <v>1</v>
      </c>
      <c r="AG42" s="80">
        <f ca="1">OFFSET(AG42,0,-1)+1</f>
        <v>2</v>
      </c>
      <c r="AH42" s="80">
        <f ca="1">OFFSET(AH42,0,-1)+1</f>
        <v>3</v>
      </c>
      <c r="AI42" s="80">
        <f ca="1">OFFSET(AI42,0,-1)+1</f>
        <v>4</v>
      </c>
      <c r="AJ42" s="80"/>
      <c r="AK42" s="80">
        <f ca="1">OFFSET(AK42,0,-2)+1</f>
        <v>5</v>
      </c>
      <c r="AL42" s="79">
        <f ca="1">OFFSET(AL42,0,-1)</f>
        <v>5</v>
      </c>
      <c r="AM42" s="80">
        <f ca="1">OFFSET(AM42,0,-1)+1</f>
        <v>6</v>
      </c>
      <c r="AN42" s="44"/>
      <c r="AO42" s="44"/>
      <c r="AP42" s="44"/>
      <c r="AQ42" s="44"/>
      <c r="AR42" s="44"/>
      <c r="AS42" s="37">
        <v>0</v>
      </c>
    </row>
    <row r="43" ht="22.05" customHeight="1" spans="1:45">
      <c r="A43" s="502" t="s">
        <v>208</v>
      </c>
      <c r="B43" s="502"/>
      <c r="C43" s="502"/>
      <c r="D43" s="502"/>
      <c r="E43" s="1143">
        <v>1</v>
      </c>
      <c r="F43" s="502"/>
      <c r="G43" s="502"/>
      <c r="H43" s="502"/>
      <c r="I43" s="502"/>
      <c r="J43" s="502"/>
      <c r="K43" s="502"/>
      <c r="L43" s="536"/>
      <c r="M43" s="42"/>
      <c r="N43" s="42"/>
      <c r="O43" s="42"/>
      <c r="Q43" s="81"/>
      <c r="R43" s="82"/>
      <c r="S43" s="65">
        <f>INDEX(PT_DIFFERENTIATION_NUM_NTAR,MATCH(A43,PT_DIFFERENTIATION_NTAR_ID,0))</f>
        <v>0</v>
      </c>
      <c r="T43" s="83" t="s">
        <v>121</v>
      </c>
      <c r="U43" s="84"/>
      <c r="V43" s="1090"/>
      <c r="W43" s="1061"/>
      <c r="X43" s="1061"/>
      <c r="Y43" s="1061"/>
      <c r="Z43" s="1061"/>
      <c r="AA43" s="1061"/>
      <c r="AB43" s="1061"/>
      <c r="AC43" s="1089"/>
      <c r="AD43" s="1090" t="str">
        <f>INDEX(PT_DIFFERENTIATION_NTAR,MATCH(A43,PT_DIFFERENTIATION_NTAR_ID,0))</f>
        <v/>
      </c>
      <c r="AE43" s="1061"/>
      <c r="AF43" s="1061"/>
      <c r="AG43" s="1061"/>
      <c r="AH43" s="1061"/>
      <c r="AI43" s="1061"/>
      <c r="AJ43" s="1061"/>
      <c r="AK43" s="1061"/>
      <c r="AL43" s="1089"/>
      <c r="AM43" s="1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
      <c r="AP43" s="151" t="str">
        <f t="shared" ref="AP43:AP57" si="1">IF(T43="","",T43)</f>
        <v>Наименование тарифа</v>
      </c>
      <c r="AQ43" s="151"/>
      <c r="AR43" s="151"/>
      <c r="AS43" s="43">
        <v>21</v>
      </c>
    </row>
    <row r="44" ht="22.05" customHeight="1" spans="1:45">
      <c r="A44" s="502" t="s">
        <v>208</v>
      </c>
      <c r="B44" s="502" t="s">
        <v>209</v>
      </c>
      <c r="C44" s="502"/>
      <c r="D44" s="502"/>
      <c r="E44" s="1144"/>
      <c r="F44" s="1143">
        <v>1</v>
      </c>
      <c r="G44" s="502"/>
      <c r="H44" s="502"/>
      <c r="I44" s="502"/>
      <c r="J44" s="502"/>
      <c r="K44" s="502"/>
      <c r="L44" s="536"/>
      <c r="M44" s="42"/>
      <c r="N44" s="42"/>
      <c r="O44" s="42"/>
      <c r="P44" s="86"/>
      <c r="Q44" s="87"/>
      <c r="R44" s="88"/>
      <c r="S44" s="65" t="str">
        <f>INDEX(PT_DIFFERENTIATION_NUM_TER,MATCH(B44,PT_DIFFERENTIATION_TER_ID,0))</f>
        <v>.</v>
      </c>
      <c r="T44" s="89" t="s">
        <v>393</v>
      </c>
      <c r="U44" s="84"/>
      <c r="V44" s="1090"/>
      <c r="W44" s="1061"/>
      <c r="X44" s="1061"/>
      <c r="Y44" s="1061"/>
      <c r="Z44" s="1061"/>
      <c r="AA44" s="1061"/>
      <c r="AB44" s="1061"/>
      <c r="AC44" s="1089"/>
      <c r="AD44" s="1090" t="str">
        <f>INDEX(PT_DIFFERENTIATION_TER,MATCH(B44,PT_DIFFERENTIATION_TER_ID,0))</f>
        <v/>
      </c>
      <c r="AE44" s="1061"/>
      <c r="AF44" s="1061"/>
      <c r="AG44" s="1061"/>
      <c r="AH44" s="1061"/>
      <c r="AI44" s="1061"/>
      <c r="AJ44" s="1061"/>
      <c r="AK44" s="1061"/>
      <c r="AL44" s="1089"/>
      <c r="AM44" s="136" t="s">
        <v>394</v>
      </c>
      <c r="AO44" s="151"/>
      <c r="AP44" s="151" t="str">
        <f t="shared" si="1"/>
        <v>Территория действия тарифа</v>
      </c>
      <c r="AQ44" s="151"/>
      <c r="AR44" s="151"/>
      <c r="AS44" s="43">
        <v>21</v>
      </c>
    </row>
    <row r="45" ht="24" customHeight="1" spans="1:45">
      <c r="A45" s="502" t="s">
        <v>208</v>
      </c>
      <c r="B45" s="502" t="s">
        <v>209</v>
      </c>
      <c r="C45" s="502" t="s">
        <v>210</v>
      </c>
      <c r="D45" s="502"/>
      <c r="E45" s="1144"/>
      <c r="F45" s="1144"/>
      <c r="G45" s="1143">
        <v>1</v>
      </c>
      <c r="H45" s="502"/>
      <c r="I45" s="502"/>
      <c r="J45" s="502"/>
      <c r="K45" s="502"/>
      <c r="L45" s="536"/>
      <c r="M45" s="42"/>
      <c r="N45" s="42"/>
      <c r="O45" s="42"/>
      <c r="P45" s="90"/>
      <c r="Q45" s="87"/>
      <c r="R45" s="88"/>
      <c r="S45" s="65" t="str">
        <f>INDEX(PT_DIFFERENTIATION_NUM_CS,MATCH(C45,PT_DIFFERENTIATION_CS_ID,0))</f>
        <v>..</v>
      </c>
      <c r="T45" s="91" t="s">
        <v>395</v>
      </c>
      <c r="U45" s="84"/>
      <c r="V45" s="1090"/>
      <c r="W45" s="1061"/>
      <c r="X45" s="1061"/>
      <c r="Y45" s="1061"/>
      <c r="Z45" s="1061"/>
      <c r="AA45" s="1061"/>
      <c r="AB45" s="1061"/>
      <c r="AC45" s="1089"/>
      <c r="AD45" s="1090" t="str">
        <f>INDEX(PT_DIFFERENTIATION_CS,MATCH(C45,PT_DIFFERENTIATION_CS_ID,0))</f>
        <v/>
      </c>
      <c r="AE45" s="1061"/>
      <c r="AF45" s="1061"/>
      <c r="AG45" s="1061"/>
      <c r="AH45" s="1061"/>
      <c r="AI45" s="1061"/>
      <c r="AJ45" s="1061"/>
      <c r="AK45" s="1061"/>
      <c r="AL45" s="1089"/>
      <c r="AM45" s="136" t="s">
        <v>396</v>
      </c>
      <c r="AO45" s="151"/>
      <c r="AP45" s="151" t="str">
        <f t="shared" si="1"/>
        <v>Наименование системы теплоснабжения </v>
      </c>
      <c r="AQ45" s="151"/>
      <c r="AR45" s="151"/>
      <c r="AS45" s="43">
        <v>23</v>
      </c>
    </row>
    <row r="46" ht="22.05" customHeight="1" spans="1:45">
      <c r="A46" s="502" t="s">
        <v>208</v>
      </c>
      <c r="B46" s="502" t="s">
        <v>209</v>
      </c>
      <c r="C46" s="502" t="s">
        <v>210</v>
      </c>
      <c r="D46" s="502" t="s">
        <v>211</v>
      </c>
      <c r="E46" s="1144"/>
      <c r="F46" s="1144"/>
      <c r="G46" s="1144"/>
      <c r="H46" s="1143">
        <v>1</v>
      </c>
      <c r="I46" s="502"/>
      <c r="J46" s="502"/>
      <c r="K46" s="502"/>
      <c r="L46" s="536"/>
      <c r="M46" s="42"/>
      <c r="N46" s="42"/>
      <c r="O46" s="42"/>
      <c r="P46" s="90"/>
      <c r="Q46" s="87"/>
      <c r="R46" s="88"/>
      <c r="S46" s="65" t="str">
        <f>INDEX(PT_DIFFERENTIATION_NUM_IST_TE,MATCH(D46,PT_DIFFERENTIATION_IST_TE_ID,0))</f>
        <v>...</v>
      </c>
      <c r="T46" s="92" t="s">
        <v>397</v>
      </c>
      <c r="U46" s="84"/>
      <c r="V46" s="1090"/>
      <c r="W46" s="1061"/>
      <c r="X46" s="1061"/>
      <c r="Y46" s="1061"/>
      <c r="Z46" s="1061"/>
      <c r="AA46" s="1061"/>
      <c r="AB46" s="1061"/>
      <c r="AC46" s="1089"/>
      <c r="AD46" s="1090" t="str">
        <f>INDEX(PT_DIFFERENTIATION_IST_TE,MATCH(D46,PT_DIFFERENTIATION_IST_TE_ID,0))</f>
        <v/>
      </c>
      <c r="AE46" s="1061"/>
      <c r="AF46" s="1061"/>
      <c r="AG46" s="1061"/>
      <c r="AH46" s="1061"/>
      <c r="AI46" s="1061"/>
      <c r="AJ46" s="1061"/>
      <c r="AK46" s="1061"/>
      <c r="AL46" s="1089"/>
      <c r="AM46" s="136" t="s">
        <v>398</v>
      </c>
      <c r="AO46" s="151"/>
      <c r="AP46" s="151" t="str">
        <f t="shared" si="1"/>
        <v>Источник тепловой энергии  </v>
      </c>
      <c r="AQ46" s="151"/>
      <c r="AR46" s="151"/>
      <c r="AS46" s="43">
        <v>21</v>
      </c>
    </row>
    <row r="47" ht="49.5" customHeight="1" spans="1:45">
      <c r="A47" s="502" t="s">
        <v>208</v>
      </c>
      <c r="B47" s="502" t="s">
        <v>209</v>
      </c>
      <c r="C47" s="502" t="s">
        <v>210</v>
      </c>
      <c r="D47" s="502" t="s">
        <v>211</v>
      </c>
      <c r="E47" s="1144"/>
      <c r="F47" s="1144"/>
      <c r="G47" s="1144"/>
      <c r="H47" s="1144"/>
      <c r="I47" s="64" t="str">
        <f>S46&amp;".1"</f>
        <v>....1</v>
      </c>
      <c r="J47" s="502"/>
      <c r="K47" s="502"/>
      <c r="L47" s="536" t="s">
        <v>399</v>
      </c>
      <c r="P47" s="93">
        <v>1</v>
      </c>
      <c r="Q47" s="93"/>
      <c r="R47" s="94"/>
      <c r="S47" s="65" t="str">
        <f>$I47</f>
        <v>....1</v>
      </c>
      <c r="T47" s="95" t="s">
        <v>400</v>
      </c>
      <c r="U47" s="84"/>
      <c r="V47" s="99"/>
      <c r="W47" s="100"/>
      <c r="X47" s="100"/>
      <c r="Y47" s="100"/>
      <c r="Z47" s="100"/>
      <c r="AA47" s="100"/>
      <c r="AB47" s="100"/>
      <c r="AC47" s="137"/>
      <c r="AD47" s="99"/>
      <c r="AE47" s="100"/>
      <c r="AF47" s="100"/>
      <c r="AG47" s="100"/>
      <c r="AH47" s="100"/>
      <c r="AI47" s="100"/>
      <c r="AJ47" s="100"/>
      <c r="AK47" s="100"/>
      <c r="AL47" s="137"/>
      <c r="AM47" s="136" t="s">
        <v>401</v>
      </c>
      <c r="AO47" s="151"/>
      <c r="AP47" s="151" t="str">
        <f t="shared" si="1"/>
        <v>Схема подключения теплопотребляющей установки к коллектору источника тепловой энергии</v>
      </c>
      <c r="AQ47" s="151"/>
      <c r="AR47" s="151"/>
      <c r="AS47" s="43">
        <v>47</v>
      </c>
    </row>
    <row r="48" ht="22.05" customHeight="1" spans="1:45">
      <c r="A48" s="502" t="s">
        <v>208</v>
      </c>
      <c r="B48" s="502" t="s">
        <v>209</v>
      </c>
      <c r="C48" s="502" t="s">
        <v>210</v>
      </c>
      <c r="D48" s="502" t="s">
        <v>211</v>
      </c>
      <c r="E48" s="1144"/>
      <c r="F48" s="1144"/>
      <c r="G48" s="1144"/>
      <c r="H48" s="1144"/>
      <c r="I48" s="126"/>
      <c r="J48" s="64" t="str">
        <f>I47&amp;".1"</f>
        <v>....1.1</v>
      </c>
      <c r="K48" s="502"/>
      <c r="L48" s="536" t="s">
        <v>402</v>
      </c>
      <c r="P48" s="93"/>
      <c r="Q48" s="93">
        <v>1</v>
      </c>
      <c r="R48" s="97"/>
      <c r="S48" s="65" t="str">
        <f>$J48</f>
        <v>....1.1</v>
      </c>
      <c r="T48" s="98" t="s">
        <v>403</v>
      </c>
      <c r="U48" s="84"/>
      <c r="V48" s="99"/>
      <c r="W48" s="100"/>
      <c r="X48" s="100"/>
      <c r="Y48" s="100"/>
      <c r="Z48" s="100"/>
      <c r="AA48" s="100"/>
      <c r="AB48" s="100"/>
      <c r="AC48" s="137"/>
      <c r="AD48" s="99"/>
      <c r="AE48" s="100"/>
      <c r="AF48" s="100"/>
      <c r="AG48" s="100"/>
      <c r="AH48" s="100"/>
      <c r="AI48" s="100"/>
      <c r="AJ48" s="100"/>
      <c r="AK48" s="100"/>
      <c r="AL48" s="137"/>
      <c r="AM48" s="136" t="s">
        <v>404</v>
      </c>
      <c r="AO48" s="151"/>
      <c r="AP48" s="151" t="str">
        <f t="shared" si="1"/>
        <v>Группа потребителей</v>
      </c>
      <c r="AQ48" s="151"/>
      <c r="AR48" s="151"/>
      <c r="AS48" s="43">
        <v>21</v>
      </c>
    </row>
    <row r="49" ht="22.05" customHeight="1" spans="1:45">
      <c r="A49" s="502" t="s">
        <v>208</v>
      </c>
      <c r="B49" s="502" t="s">
        <v>209</v>
      </c>
      <c r="C49" s="502" t="s">
        <v>210</v>
      </c>
      <c r="D49" s="502" t="s">
        <v>211</v>
      </c>
      <c r="E49" s="1144"/>
      <c r="F49" s="1144"/>
      <c r="G49" s="1144"/>
      <c r="H49" s="1144"/>
      <c r="I49" s="126"/>
      <c r="J49" s="126"/>
      <c r="K49" s="64" t="str">
        <f>J48&amp;".1"</f>
        <v>....1.1.1</v>
      </c>
      <c r="L49" s="536" t="s">
        <v>405</v>
      </c>
      <c r="P49" s="93"/>
      <c r="Q49" s="93"/>
      <c r="R49" s="97">
        <v>1</v>
      </c>
      <c r="S49" s="65" t="str">
        <f>$K49</f>
        <v>....1.1.1</v>
      </c>
      <c r="T49" s="101"/>
      <c r="U49" s="84"/>
      <c r="V49" s="102"/>
      <c r="W49" s="103"/>
      <c r="X49" s="102"/>
      <c r="Y49" s="138"/>
      <c r="Z49" s="139"/>
      <c r="AA49" s="140" t="s">
        <v>66</v>
      </c>
      <c r="AB49" s="139"/>
      <c r="AC49" s="140" t="s">
        <v>66</v>
      </c>
      <c r="AD49" s="102"/>
      <c r="AE49" s="103"/>
      <c r="AF49" s="102"/>
      <c r="AG49" s="138"/>
      <c r="AH49" s="139"/>
      <c r="AI49" s="140" t="s">
        <v>66</v>
      </c>
      <c r="AJ49" s="1137"/>
      <c r="AK49" s="140" t="s">
        <v>66</v>
      </c>
      <c r="AL49" s="1120"/>
      <c r="AM49" s="141" t="s">
        <v>406</v>
      </c>
      <c r="AN49" s="44" t="e">
        <f>STRCHECKDATE(V50:AL50)</f>
        <v>#NAME?</v>
      </c>
      <c r="AO49" s="151"/>
      <c r="AP49" s="151" t="str">
        <f t="shared" si="1"/>
        <v/>
      </c>
      <c r="AQ49" s="151"/>
      <c r="AR49" s="151"/>
      <c r="AS49" s="43">
        <v>21</v>
      </c>
    </row>
    <row r="50" ht="1.05" customHeight="1" spans="1:45">
      <c r="A50" s="502" t="s">
        <v>208</v>
      </c>
      <c r="B50" s="502" t="s">
        <v>209</v>
      </c>
      <c r="C50" s="502" t="s">
        <v>210</v>
      </c>
      <c r="D50" s="502" t="s">
        <v>211</v>
      </c>
      <c r="E50" s="1144"/>
      <c r="F50" s="1144"/>
      <c r="G50" s="1144"/>
      <c r="H50" s="1144"/>
      <c r="I50" s="126"/>
      <c r="J50" s="126"/>
      <c r="K50" s="64"/>
      <c r="L50" s="536"/>
      <c r="P50" s="93"/>
      <c r="Q50" s="93"/>
      <c r="R50" s="97"/>
      <c r="S50" s="104"/>
      <c r="T50" s="84"/>
      <c r="U50" s="84"/>
      <c r="V50" s="103"/>
      <c r="W50" s="103"/>
      <c r="X50" s="103"/>
      <c r="Y50" s="142" t="str">
        <f>Z49&amp;"-"&amp;AB49</f>
        <v>-</v>
      </c>
      <c r="Z50" s="143"/>
      <c r="AA50" s="140"/>
      <c r="AB50" s="143"/>
      <c r="AC50" s="140"/>
      <c r="AD50" s="103"/>
      <c r="AE50" s="103"/>
      <c r="AF50" s="103"/>
      <c r="AG50" s="142" t="str">
        <f>AH49&amp;"-"&amp;AJ49</f>
        <v>-</v>
      </c>
      <c r="AH50" s="143"/>
      <c r="AI50" s="140"/>
      <c r="AJ50" s="1140"/>
      <c r="AK50" s="140"/>
      <c r="AL50" s="1163"/>
      <c r="AM50" s="144"/>
      <c r="AO50" s="151"/>
      <c r="AP50" s="151" t="str">
        <f t="shared" si="1"/>
        <v/>
      </c>
      <c r="AQ50" s="151"/>
      <c r="AR50" s="151"/>
      <c r="AS50" s="43">
        <v>1</v>
      </c>
    </row>
    <row r="51" ht="11.55" customHeight="1" spans="1:45">
      <c r="A51" s="502" t="s">
        <v>208</v>
      </c>
      <c r="B51" s="502" t="s">
        <v>209</v>
      </c>
      <c r="C51" s="502" t="s">
        <v>210</v>
      </c>
      <c r="D51" s="502" t="s">
        <v>211</v>
      </c>
      <c r="E51" s="1144"/>
      <c r="F51" s="1144"/>
      <c r="G51" s="1144"/>
      <c r="H51" s="1144"/>
      <c r="I51" s="126"/>
      <c r="J51" s="64"/>
      <c r="K51" s="502"/>
      <c r="L51" s="536"/>
      <c r="P51" s="93"/>
      <c r="Q51" s="93"/>
      <c r="R51" s="94"/>
      <c r="S51" s="105"/>
      <c r="T51" s="106" t="s">
        <v>407</v>
      </c>
      <c r="U51" s="107"/>
      <c r="V51" s="107"/>
      <c r="W51" s="107"/>
      <c r="X51" s="107"/>
      <c r="Y51" s="107"/>
      <c r="Z51" s="107"/>
      <c r="AA51" s="107"/>
      <c r="AB51" s="107"/>
      <c r="AC51" s="107"/>
      <c r="AD51" s="107"/>
      <c r="AE51" s="107"/>
      <c r="AF51" s="107"/>
      <c r="AG51" s="107"/>
      <c r="AH51" s="107"/>
      <c r="AI51" s="107"/>
      <c r="AJ51" s="107"/>
      <c r="AK51" s="107"/>
      <c r="AL51" s="145"/>
      <c r="AM51" s="146"/>
      <c r="AO51" s="151"/>
      <c r="AP51" s="151" t="str">
        <f t="shared" si="1"/>
        <v>Добавить вид теплоносителя (параметры теплоносителя)</v>
      </c>
      <c r="AQ51" s="151"/>
      <c r="AR51" s="151"/>
      <c r="AS51" s="43">
        <v>11</v>
      </c>
    </row>
    <row r="52" ht="11.55" customHeight="1" spans="1:45">
      <c r="A52" s="502" t="s">
        <v>208</v>
      </c>
      <c r="B52" s="502" t="s">
        <v>209</v>
      </c>
      <c r="C52" s="502" t="s">
        <v>210</v>
      </c>
      <c r="D52" s="502" t="s">
        <v>211</v>
      </c>
      <c r="E52" s="1144"/>
      <c r="F52" s="1144"/>
      <c r="G52" s="1144"/>
      <c r="H52" s="1144"/>
      <c r="I52" s="64"/>
      <c r="J52" s="502"/>
      <c r="K52" s="502"/>
      <c r="L52" s="536"/>
      <c r="P52" s="93"/>
      <c r="Q52" s="93"/>
      <c r="R52" s="94"/>
      <c r="S52" s="105"/>
      <c r="T52" s="108" t="s">
        <v>408</v>
      </c>
      <c r="U52" s="107"/>
      <c r="V52" s="107"/>
      <c r="W52" s="107"/>
      <c r="X52" s="107"/>
      <c r="Y52" s="107"/>
      <c r="Z52" s="107"/>
      <c r="AA52" s="107"/>
      <c r="AB52" s="107"/>
      <c r="AC52" s="147"/>
      <c r="AD52" s="107"/>
      <c r="AE52" s="107"/>
      <c r="AF52" s="107"/>
      <c r="AG52" s="107"/>
      <c r="AH52" s="107"/>
      <c r="AI52" s="107"/>
      <c r="AJ52" s="107"/>
      <c r="AK52" s="147"/>
      <c r="AL52" s="107"/>
      <c r="AM52" s="148"/>
      <c r="AO52" s="151"/>
      <c r="AP52" s="151" t="str">
        <f t="shared" si="1"/>
        <v>Добавить группу потребителей</v>
      </c>
      <c r="AQ52" s="151"/>
      <c r="AR52" s="151"/>
      <c r="AS52" s="43">
        <v>11</v>
      </c>
    </row>
    <row r="53" ht="14.7" customHeight="1" spans="1:45">
      <c r="A53" s="502" t="s">
        <v>208</v>
      </c>
      <c r="B53" s="502" t="s">
        <v>209</v>
      </c>
      <c r="C53" s="502" t="s">
        <v>210</v>
      </c>
      <c r="D53" s="502" t="s">
        <v>211</v>
      </c>
      <c r="E53" s="1144"/>
      <c r="F53" s="1144"/>
      <c r="G53" s="1144"/>
      <c r="H53" s="1143"/>
      <c r="I53" s="502"/>
      <c r="J53" s="502"/>
      <c r="K53" s="502"/>
      <c r="L53" s="536"/>
      <c r="M53" s="42"/>
      <c r="N53" s="42"/>
      <c r="O53" s="43"/>
      <c r="P53" s="81"/>
      <c r="Q53" s="109"/>
      <c r="R53" s="82"/>
      <c r="S53" s="105"/>
      <c r="T53" s="110" t="s">
        <v>409</v>
      </c>
      <c r="U53" s="107"/>
      <c r="V53" s="107"/>
      <c r="W53" s="107"/>
      <c r="X53" s="107"/>
      <c r="Y53" s="107"/>
      <c r="Z53" s="107"/>
      <c r="AA53" s="107"/>
      <c r="AB53" s="107"/>
      <c r="AC53" s="147"/>
      <c r="AD53" s="107"/>
      <c r="AE53" s="107"/>
      <c r="AF53" s="107"/>
      <c r="AG53" s="107"/>
      <c r="AH53" s="107"/>
      <c r="AI53" s="107"/>
      <c r="AJ53" s="107"/>
      <c r="AK53" s="147"/>
      <c r="AL53" s="107"/>
      <c r="AM53" s="148"/>
      <c r="AO53" s="151"/>
      <c r="AP53" s="151" t="str">
        <f t="shared" si="1"/>
        <v>Добавить схему подключения</v>
      </c>
      <c r="AQ53" s="151"/>
      <c r="AR53" s="151"/>
      <c r="AS53" s="43">
        <v>14</v>
      </c>
    </row>
    <row r="54" s="44" customFormat="1" ht="1.05" customHeight="1" spans="1:45">
      <c r="A54" s="502" t="s">
        <v>208</v>
      </c>
      <c r="B54" s="502" t="s">
        <v>209</v>
      </c>
      <c r="C54" s="502" t="s">
        <v>210</v>
      </c>
      <c r="D54" s="502"/>
      <c r="E54" s="1144"/>
      <c r="F54" s="1144"/>
      <c r="G54" s="1143"/>
      <c r="H54" s="502"/>
      <c r="I54" s="502"/>
      <c r="J54" s="502"/>
      <c r="K54" s="502"/>
      <c r="L54" s="536"/>
      <c r="M54" s="42"/>
      <c r="N54" s="42"/>
      <c r="O54" s="43"/>
      <c r="P54" s="152"/>
      <c r="Q54" s="1082"/>
      <c r="R54" s="152"/>
      <c r="S54" s="1084"/>
      <c r="T54" s="1085" t="s">
        <v>410</v>
      </c>
      <c r="U54" s="307"/>
      <c r="V54" s="307"/>
      <c r="W54" s="307"/>
      <c r="X54" s="307"/>
      <c r="Y54" s="307"/>
      <c r="Z54" s="307"/>
      <c r="AA54" s="307"/>
      <c r="AB54" s="307"/>
      <c r="AC54" s="307"/>
      <c r="AD54" s="307"/>
      <c r="AE54" s="307"/>
      <c r="AF54" s="307"/>
      <c r="AG54" s="307"/>
      <c r="AH54" s="307"/>
      <c r="AI54" s="307"/>
      <c r="AJ54" s="307"/>
      <c r="AK54" s="307"/>
      <c r="AL54" s="307"/>
      <c r="AM54" s="307"/>
      <c r="AO54" s="151"/>
      <c r="AP54" s="151" t="str">
        <f t="shared" si="1"/>
        <v>Добавить источник для дифференциации</v>
      </c>
      <c r="AQ54" s="151"/>
      <c r="AR54" s="151"/>
      <c r="AS54" s="44">
        <v>1</v>
      </c>
    </row>
    <row r="55" s="44" customFormat="1" ht="1.05" customHeight="1" spans="1:45">
      <c r="A55" s="502" t="s">
        <v>208</v>
      </c>
      <c r="B55" s="502" t="s">
        <v>209</v>
      </c>
      <c r="C55" s="502"/>
      <c r="D55" s="502"/>
      <c r="E55" s="1144"/>
      <c r="F55" s="1143"/>
      <c r="G55" s="502"/>
      <c r="H55" s="502"/>
      <c r="I55" s="502"/>
      <c r="J55" s="502"/>
      <c r="K55" s="502"/>
      <c r="L55" s="536"/>
      <c r="M55" s="1150"/>
      <c r="N55" s="1150"/>
      <c r="O55" s="43"/>
      <c r="P55" s="152"/>
      <c r="Q55" s="1082"/>
      <c r="R55" s="152"/>
      <c r="S55" s="1084"/>
      <c r="T55" s="1085" t="s">
        <v>411</v>
      </c>
      <c r="U55" s="307"/>
      <c r="V55" s="307"/>
      <c r="W55" s="307"/>
      <c r="X55" s="307"/>
      <c r="Y55" s="307"/>
      <c r="Z55" s="307"/>
      <c r="AA55" s="307"/>
      <c r="AB55" s="307"/>
      <c r="AC55" s="307"/>
      <c r="AD55" s="307"/>
      <c r="AE55" s="307"/>
      <c r="AF55" s="307"/>
      <c r="AG55" s="307"/>
      <c r="AH55" s="307"/>
      <c r="AI55" s="307"/>
      <c r="AJ55" s="307"/>
      <c r="AK55" s="307"/>
      <c r="AL55" s="307"/>
      <c r="AM55" s="307"/>
      <c r="AO55" s="151"/>
      <c r="AP55" s="151" t="str">
        <f t="shared" si="1"/>
        <v>Добавить централизованную систему для дифференциации</v>
      </c>
      <c r="AQ55" s="151"/>
      <c r="AR55" s="151"/>
      <c r="AS55" s="44">
        <v>1</v>
      </c>
    </row>
    <row r="56" s="44" customFormat="1" ht="1.05" customHeight="1" spans="1:45">
      <c r="A56" s="502" t="s">
        <v>208</v>
      </c>
      <c r="B56" s="502"/>
      <c r="C56" s="502"/>
      <c r="D56" s="502"/>
      <c r="E56" s="1143"/>
      <c r="F56" s="502"/>
      <c r="G56" s="502"/>
      <c r="H56" s="502"/>
      <c r="I56" s="502"/>
      <c r="J56" s="502"/>
      <c r="K56" s="502"/>
      <c r="L56" s="536"/>
      <c r="M56" s="1150"/>
      <c r="N56" s="1150"/>
      <c r="O56" s="43"/>
      <c r="P56" s="152"/>
      <c r="Q56" s="1082"/>
      <c r="R56" s="152"/>
      <c r="S56" s="1084"/>
      <c r="T56" s="1085" t="s">
        <v>412</v>
      </c>
      <c r="U56" s="307"/>
      <c r="V56" s="307"/>
      <c r="W56" s="307"/>
      <c r="X56" s="307"/>
      <c r="Y56" s="307"/>
      <c r="Z56" s="307"/>
      <c r="AA56" s="307"/>
      <c r="AB56" s="307"/>
      <c r="AC56" s="307"/>
      <c r="AD56" s="307"/>
      <c r="AE56" s="307"/>
      <c r="AF56" s="307"/>
      <c r="AG56" s="307"/>
      <c r="AH56" s="307"/>
      <c r="AI56" s="307"/>
      <c r="AJ56" s="307"/>
      <c r="AK56" s="307"/>
      <c r="AL56" s="307"/>
      <c r="AM56" s="307"/>
      <c r="AO56" s="151"/>
      <c r="AP56" s="151" t="str">
        <f t="shared" si="1"/>
        <v>Добавить территорию для дифференциации</v>
      </c>
      <c r="AQ56" s="151"/>
      <c r="AR56" s="151"/>
      <c r="AS56" s="44">
        <v>1</v>
      </c>
    </row>
    <row r="57" s="44" customFormat="1" ht="1.05" customHeight="1" spans="1:45">
      <c r="A57" s="502"/>
      <c r="B57" s="502"/>
      <c r="C57" s="502"/>
      <c r="D57" s="502"/>
      <c r="E57" s="502"/>
      <c r="F57" s="502"/>
      <c r="G57" s="502"/>
      <c r="H57" s="502"/>
      <c r="I57" s="502"/>
      <c r="J57" s="502"/>
      <c r="K57" s="502"/>
      <c r="L57" s="536"/>
      <c r="M57" s="1150"/>
      <c r="N57" s="1150"/>
      <c r="O57" s="43"/>
      <c r="P57" s="152"/>
      <c r="Q57" s="1082"/>
      <c r="R57" s="152"/>
      <c r="S57" s="1084"/>
      <c r="T57" s="1085" t="s">
        <v>440</v>
      </c>
      <c r="U57" s="307"/>
      <c r="V57" s="307"/>
      <c r="W57" s="307"/>
      <c r="X57" s="307"/>
      <c r="Y57" s="307"/>
      <c r="Z57" s="307"/>
      <c r="AA57" s="307"/>
      <c r="AB57" s="307"/>
      <c r="AC57" s="307"/>
      <c r="AD57" s="307"/>
      <c r="AE57" s="307"/>
      <c r="AF57" s="307"/>
      <c r="AG57" s="307"/>
      <c r="AH57" s="307"/>
      <c r="AI57" s="307"/>
      <c r="AJ57" s="307"/>
      <c r="AK57" s="307"/>
      <c r="AL57" s="307"/>
      <c r="AM57" s="307"/>
      <c r="AO57" s="151"/>
      <c r="AP57" s="151" t="str">
        <f t="shared" si="1"/>
        <v>Добавить наименование тарифа</v>
      </c>
      <c r="AQ57" s="151"/>
      <c r="AR57" s="151"/>
      <c r="AS57" s="44">
        <v>1</v>
      </c>
    </row>
    <row r="58" ht="11.55" customHeight="1" spans="13:45">
      <c r="M58" s="43"/>
      <c r="N58" s="43"/>
      <c r="O58" s="43"/>
      <c r="P58" s="43"/>
      <c r="Q58" s="43"/>
      <c r="R58" s="43"/>
      <c r="S58" s="43"/>
      <c r="AN58" s="43"/>
      <c r="AO58" s="43"/>
      <c r="AP58" s="43"/>
      <c r="AQ58" s="43"/>
      <c r="AR58" s="43"/>
      <c r="AS58" s="43">
        <v>11</v>
      </c>
    </row>
    <row r="59" ht="28.5" customHeight="1" spans="15:45">
      <c r="O59" s="43"/>
      <c r="S59" s="786"/>
      <c r="T59" s="120"/>
      <c r="U59" s="120"/>
      <c r="V59" s="120"/>
      <c r="W59" s="120"/>
      <c r="X59" s="120"/>
      <c r="Y59" s="120"/>
      <c r="Z59" s="120"/>
      <c r="AA59" s="120"/>
      <c r="AB59" s="120"/>
      <c r="AC59" s="120"/>
      <c r="AD59" s="120"/>
      <c r="AE59" s="120"/>
      <c r="AF59" s="120"/>
      <c r="AG59" s="120"/>
      <c r="AH59" s="120"/>
      <c r="AI59" s="120"/>
      <c r="AJ59" s="120"/>
      <c r="AK59" s="120"/>
      <c r="AL59" s="120"/>
      <c r="AM59" s="120"/>
      <c r="AS59" s="43">
        <v>27</v>
      </c>
    </row>
    <row r="60" ht="65.25" customHeight="1" spans="15:45">
      <c r="O60" s="43"/>
      <c r="T60" s="120"/>
      <c r="U60" s="120"/>
      <c r="V60" s="120"/>
      <c r="W60" s="120"/>
      <c r="X60" s="120"/>
      <c r="Y60" s="120"/>
      <c r="Z60" s="120"/>
      <c r="AA60" s="120"/>
      <c r="AB60" s="120"/>
      <c r="AC60" s="120"/>
      <c r="AD60" s="120"/>
      <c r="AE60" s="120"/>
      <c r="AF60" s="120"/>
      <c r="AG60" s="120"/>
      <c r="AH60" s="120"/>
      <c r="AI60" s="120"/>
      <c r="AJ60" s="120"/>
      <c r="AK60" s="120"/>
      <c r="AL60" s="120"/>
      <c r="AM60" s="120"/>
      <c r="AS60" s="43">
        <v>62</v>
      </c>
    </row>
    <row r="61" ht="14.7" customHeight="1" spans="15:45">
      <c r="O61" s="43"/>
      <c r="AS61" s="43">
        <v>14</v>
      </c>
    </row>
    <row r="62" ht="18.75" customHeight="1" spans="15:45">
      <c r="O62" s="43"/>
      <c r="S62" s="786"/>
      <c r="T62" s="120"/>
      <c r="U62" s="120"/>
      <c r="V62" s="120"/>
      <c r="W62" s="120"/>
      <c r="X62" s="120"/>
      <c r="Y62" s="120"/>
      <c r="Z62" s="120"/>
      <c r="AA62" s="120"/>
      <c r="AB62" s="120"/>
      <c r="AC62" s="120"/>
      <c r="AD62" s="120"/>
      <c r="AE62" s="120"/>
      <c r="AF62" s="120"/>
      <c r="AG62" s="120"/>
      <c r="AH62" s="120"/>
      <c r="AI62" s="120"/>
      <c r="AJ62" s="120"/>
      <c r="AK62" s="120"/>
      <c r="AL62" s="120"/>
      <c r="AM62" s="120"/>
      <c r="AS62" s="43">
        <v>18</v>
      </c>
    </row>
    <row r="63" ht="18.75" customHeight="1" spans="15:45">
      <c r="O63" s="43"/>
      <c r="T63" s="120"/>
      <c r="U63" s="120"/>
      <c r="V63" s="120"/>
      <c r="W63" s="120"/>
      <c r="X63" s="120"/>
      <c r="Y63" s="120"/>
      <c r="Z63" s="120"/>
      <c r="AA63" s="120"/>
      <c r="AB63" s="120"/>
      <c r="AC63" s="120"/>
      <c r="AD63" s="120"/>
      <c r="AE63" s="120"/>
      <c r="AF63" s="120"/>
      <c r="AG63" s="120"/>
      <c r="AH63" s="120"/>
      <c r="AI63" s="120"/>
      <c r="AJ63" s="120"/>
      <c r="AK63" s="120"/>
      <c r="AL63" s="120"/>
      <c r="AM63" s="120"/>
      <c r="AS63" s="43">
        <v>18</v>
      </c>
    </row>
    <row r="64" ht="29.25" customHeight="1" spans="15:45">
      <c r="O64" s="43"/>
      <c r="S64" s="786"/>
      <c r="T64" s="120"/>
      <c r="U64" s="120"/>
      <c r="V64" s="120"/>
      <c r="W64" s="120"/>
      <c r="X64" s="120"/>
      <c r="Y64" s="120"/>
      <c r="Z64" s="120"/>
      <c r="AA64" s="120"/>
      <c r="AB64" s="120"/>
      <c r="AC64" s="120"/>
      <c r="AD64" s="120"/>
      <c r="AE64" s="120"/>
      <c r="AF64" s="120"/>
      <c r="AG64" s="120"/>
      <c r="AH64" s="120"/>
      <c r="AI64" s="120"/>
      <c r="AJ64" s="120"/>
      <c r="AK64" s="120"/>
      <c r="AL64" s="120"/>
      <c r="AM64" s="120"/>
      <c r="AS64" s="43">
        <v>28</v>
      </c>
    </row>
    <row r="65" ht="22.5" hidden="1" customHeight="1" spans="1:45">
      <c r="A65" s="43" t="s">
        <v>83</v>
      </c>
      <c r="B65" s="43">
        <v>0</v>
      </c>
      <c r="C65" s="43">
        <v>0</v>
      </c>
      <c r="D65" s="43">
        <v>0</v>
      </c>
      <c r="E65" s="43">
        <v>0</v>
      </c>
      <c r="F65" s="43">
        <v>0</v>
      </c>
      <c r="G65" s="43">
        <v>0</v>
      </c>
      <c r="H65" s="43">
        <v>0</v>
      </c>
      <c r="I65" s="43">
        <v>0</v>
      </c>
      <c r="J65" s="43">
        <v>0</v>
      </c>
      <c r="K65" s="43">
        <v>0</v>
      </c>
      <c r="L65" s="86">
        <v>0</v>
      </c>
      <c r="M65" s="40">
        <v>0</v>
      </c>
      <c r="N65" s="40">
        <v>0</v>
      </c>
      <c r="O65" s="40">
        <v>0</v>
      </c>
      <c r="P65" s="40">
        <v>3</v>
      </c>
      <c r="Q65" s="41">
        <v>3</v>
      </c>
      <c r="R65" s="41">
        <v>3</v>
      </c>
      <c r="S65" s="42">
        <v>12</v>
      </c>
      <c r="T65" s="43">
        <v>31</v>
      </c>
      <c r="U65" s="43">
        <v>0</v>
      </c>
      <c r="V65" s="43">
        <v>0</v>
      </c>
      <c r="W65" s="43">
        <v>0</v>
      </c>
      <c r="X65" s="43">
        <v>0</v>
      </c>
      <c r="Y65" s="43">
        <v>0</v>
      </c>
      <c r="Z65" s="43">
        <v>0</v>
      </c>
      <c r="AA65" s="43">
        <v>0</v>
      </c>
      <c r="AB65" s="43">
        <v>0</v>
      </c>
      <c r="AC65" s="43">
        <v>0</v>
      </c>
      <c r="AD65" s="43">
        <v>24</v>
      </c>
      <c r="AE65" s="43">
        <v>0</v>
      </c>
      <c r="AF65" s="43">
        <v>24</v>
      </c>
      <c r="AG65" s="43">
        <v>24</v>
      </c>
      <c r="AH65" s="43">
        <v>11</v>
      </c>
      <c r="AI65" s="43">
        <v>3</v>
      </c>
      <c r="AJ65" s="43">
        <v>11</v>
      </c>
      <c r="AK65" s="43">
        <v>0</v>
      </c>
      <c r="AL65" s="43">
        <v>4</v>
      </c>
      <c r="AM65" s="43">
        <v>115</v>
      </c>
      <c r="AN65" s="44">
        <v>10</v>
      </c>
      <c r="AO65" s="44">
        <v>10</v>
      </c>
      <c r="AP65" s="44">
        <v>10</v>
      </c>
      <c r="AQ65" s="44">
        <v>10</v>
      </c>
      <c r="AR65" s="44">
        <v>10</v>
      </c>
      <c r="AS65" s="43">
        <v>23</v>
      </c>
    </row>
  </sheetData>
  <sheetProtection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1" style="43" customWidth="1"/>
    <col min="21" max="21" width="0.714285714285714" style="43" hidden="1" customWidth="1"/>
    <col min="22" max="22" width="1.71428571428571" style="43" hidden="1" customWidth="1"/>
    <col min="23" max="23" width="24.7142857142857" style="43" hidden="1" customWidth="1"/>
    <col min="24" max="25" width="0.142857142857143"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0.142857142857143" style="43" customWidth="1"/>
    <col min="31" max="31" width="24" style="43" customWidth="1"/>
    <col min="32" max="33" width="0.142857142857143" style="43" customWidth="1"/>
    <col min="34" max="34" width="11" style="43" customWidth="1"/>
    <col min="35" max="35" width="3.71428571428571" style="43" customWidth="1"/>
    <col min="36" max="36" width="11" style="43" customWidth="1"/>
    <col min="37" max="37" width="8.57142857142857" style="43" hidden="1" customWidth="1"/>
    <col min="38" max="38" width="4" style="43" customWidth="1"/>
    <col min="39" max="39" width="115" style="43" customWidth="1"/>
    <col min="40" max="44" width="10" style="44" customWidth="1"/>
    <col min="45" max="45" width="10.5714285714286" style="43" hidden="1"/>
  </cols>
  <sheetData>
    <row r="1" ht="22.5" hidden="1" customHeight="1" spans="45:45">
      <c r="AS1" s="43" t="s">
        <v>14</v>
      </c>
    </row>
    <row r="2" ht="21" hidden="1" customHeight="1" spans="1:45">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61"/>
      <c r="AC2" s="1089"/>
      <c r="AD2" s="1090" t="e">
        <f>INDEX(PT_DIFFERENTIATION_NTAR,MATCH(A2,PT_DIFFERENTIATION_NTAR_ID,0))</f>
        <v>#N/A</v>
      </c>
      <c r="AE2" s="1061"/>
      <c r="AF2" s="1061"/>
      <c r="AG2" s="1061"/>
      <c r="AH2" s="1061"/>
      <c r="AI2" s="1061"/>
      <c r="AJ2" s="1061"/>
      <c r="AK2" s="1061"/>
      <c r="AL2" s="1089"/>
      <c r="AM2" s="136" t="s">
        <v>392</v>
      </c>
      <c r="AO2" s="151"/>
      <c r="AP2" s="151" t="str">
        <f t="shared" ref="AP2:AP15" si="0">IF(T2="","",T2)</f>
        <v>Наименование тарифа</v>
      </c>
      <c r="AQ2" s="151"/>
      <c r="AR2" s="151"/>
      <c r="AS2" s="43">
        <v>0</v>
      </c>
    </row>
    <row r="3" ht="21" hidden="1" customHeight="1" spans="1:45">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61"/>
      <c r="AC3" s="1089"/>
      <c r="AD3" s="1090" t="e">
        <f>INDEX(PT_DIFFERENTIATION_TER,MATCH(B3,PT_DIFFERENTIATION_TER_ID,0))</f>
        <v>#N/A</v>
      </c>
      <c r="AE3" s="1061"/>
      <c r="AF3" s="1061"/>
      <c r="AG3" s="1061"/>
      <c r="AH3" s="1061"/>
      <c r="AI3" s="1061"/>
      <c r="AJ3" s="1061"/>
      <c r="AK3" s="1061"/>
      <c r="AL3" s="1089"/>
      <c r="AM3" s="136" t="s">
        <v>394</v>
      </c>
      <c r="AO3" s="151"/>
      <c r="AP3" s="151" t="str">
        <f t="shared" si="0"/>
        <v>Территория действия тарифа</v>
      </c>
      <c r="AQ3" s="151"/>
      <c r="AR3" s="151"/>
      <c r="AS3" s="43">
        <v>0</v>
      </c>
    </row>
    <row r="4" ht="23.25" hidden="1" customHeight="1" spans="1:45">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395</v>
      </c>
      <c r="U4" s="84"/>
      <c r="V4" s="1090"/>
      <c r="W4" s="1061"/>
      <c r="X4" s="1061"/>
      <c r="Y4" s="1061"/>
      <c r="Z4" s="1061"/>
      <c r="AA4" s="1061"/>
      <c r="AB4" s="1061"/>
      <c r="AC4" s="1089"/>
      <c r="AD4" s="1090" t="e">
        <f>INDEX(PT_DIFFERENTIATION_CS,MATCH(C4,PT_DIFFERENTIATION_CS_ID,0))</f>
        <v>#N/A</v>
      </c>
      <c r="AE4" s="1061"/>
      <c r="AF4" s="1061"/>
      <c r="AG4" s="1061"/>
      <c r="AH4" s="1061"/>
      <c r="AI4" s="1061"/>
      <c r="AJ4" s="1061"/>
      <c r="AK4" s="1061"/>
      <c r="AL4" s="1089"/>
      <c r="AM4" s="136" t="s">
        <v>396</v>
      </c>
      <c r="AO4" s="151"/>
      <c r="AP4" s="151" t="str">
        <f t="shared" si="0"/>
        <v>Наименование системы теплоснабжения </v>
      </c>
      <c r="AQ4" s="151"/>
      <c r="AR4" s="151"/>
      <c r="AS4" s="43">
        <v>0</v>
      </c>
    </row>
    <row r="5" ht="21" hidden="1" customHeight="1" spans="1:45">
      <c r="A5" s="46"/>
      <c r="B5" s="46"/>
      <c r="C5" s="46"/>
      <c r="D5" s="46"/>
      <c r="E5" s="1053"/>
      <c r="F5" s="1053"/>
      <c r="G5" s="1053"/>
      <c r="H5" s="1052">
        <v>1</v>
      </c>
      <c r="I5" s="46"/>
      <c r="J5" s="46"/>
      <c r="K5" s="46"/>
      <c r="L5" s="1054"/>
      <c r="M5" s="47"/>
      <c r="N5" s="47"/>
      <c r="O5" s="47"/>
      <c r="P5" s="90"/>
      <c r="Q5" s="87"/>
      <c r="R5" s="88"/>
      <c r="S5" s="65" t="e">
        <f>INDEX(PT_DIFFERENTIATION_NUM_IST_TE,MATCH(D5,PT_DIFFERENTIATION_IST_TE_ID,0))</f>
        <v>#N/A</v>
      </c>
      <c r="T5" s="92" t="s">
        <v>397</v>
      </c>
      <c r="U5" s="84"/>
      <c r="V5" s="1090"/>
      <c r="W5" s="1061"/>
      <c r="X5" s="1061"/>
      <c r="Y5" s="1061"/>
      <c r="Z5" s="1061"/>
      <c r="AA5" s="1061"/>
      <c r="AB5" s="1061"/>
      <c r="AC5" s="1089"/>
      <c r="AD5" s="1090" t="e">
        <f>INDEX(PT_DIFFERENTIATION_IST_TE,MATCH(D5,PT_DIFFERENTIATION_IST_TE_ID,0))</f>
        <v>#N/A</v>
      </c>
      <c r="AE5" s="1061"/>
      <c r="AF5" s="1061"/>
      <c r="AG5" s="1061"/>
      <c r="AH5" s="1061"/>
      <c r="AI5" s="1061"/>
      <c r="AJ5" s="1061"/>
      <c r="AK5" s="1061"/>
      <c r="AL5" s="1089"/>
      <c r="AM5" s="136" t="s">
        <v>398</v>
      </c>
      <c r="AO5" s="151"/>
      <c r="AP5" s="151" t="str">
        <f t="shared" si="0"/>
        <v>Источник тепловой энергии  </v>
      </c>
      <c r="AQ5" s="151"/>
      <c r="AR5" s="151"/>
      <c r="AS5" s="43">
        <v>0</v>
      </c>
    </row>
    <row r="6" ht="47.25" hidden="1" customHeight="1" spans="1:45">
      <c r="A6" s="46"/>
      <c r="B6" s="46"/>
      <c r="C6" s="46"/>
      <c r="D6" s="46"/>
      <c r="E6" s="1053"/>
      <c r="F6" s="1053"/>
      <c r="G6" s="1053"/>
      <c r="H6" s="1053"/>
      <c r="I6" s="229" t="e">
        <f>S5&amp;".1"</f>
        <v>#N/A</v>
      </c>
      <c r="J6" s="46"/>
      <c r="K6" s="46"/>
      <c r="L6" s="1054" t="s">
        <v>399</v>
      </c>
      <c r="M6" s="38"/>
      <c r="P6" s="93">
        <v>1</v>
      </c>
      <c r="Q6" s="93"/>
      <c r="R6" s="94"/>
      <c r="S6" s="65" t="e">
        <f>$I6</f>
        <v>#N/A</v>
      </c>
      <c r="T6" s="95" t="s">
        <v>400</v>
      </c>
      <c r="U6" s="84"/>
      <c r="V6" s="99"/>
      <c r="W6" s="100"/>
      <c r="X6" s="100"/>
      <c r="Y6" s="100"/>
      <c r="Z6" s="100"/>
      <c r="AA6" s="100"/>
      <c r="AB6" s="100"/>
      <c r="AC6" s="137"/>
      <c r="AD6" s="99"/>
      <c r="AE6" s="100"/>
      <c r="AF6" s="100"/>
      <c r="AG6" s="100"/>
      <c r="AH6" s="100"/>
      <c r="AI6" s="100"/>
      <c r="AJ6" s="100"/>
      <c r="AK6" s="100"/>
      <c r="AL6" s="137"/>
      <c r="AM6" s="136" t="s">
        <v>401</v>
      </c>
      <c r="AO6" s="151"/>
      <c r="AP6" s="151" t="str">
        <f t="shared" si="0"/>
        <v>Схема подключения теплопотребляющей установки к коллектору источника тепловой энергии</v>
      </c>
      <c r="AQ6" s="151"/>
      <c r="AR6" s="151"/>
      <c r="AS6" s="43">
        <v>0</v>
      </c>
    </row>
    <row r="7" ht="21" hidden="1" customHeight="1" spans="1:45">
      <c r="A7" s="46"/>
      <c r="B7" s="46"/>
      <c r="C7" s="46"/>
      <c r="D7" s="46"/>
      <c r="E7" s="1053"/>
      <c r="F7" s="1053"/>
      <c r="G7" s="1053"/>
      <c r="H7" s="1053"/>
      <c r="I7" s="1058"/>
      <c r="J7" s="229" t="e">
        <f>I6&amp;".1"</f>
        <v>#N/A</v>
      </c>
      <c r="K7" s="46"/>
      <c r="L7" s="1054" t="s">
        <v>402</v>
      </c>
      <c r="M7" s="38"/>
      <c r="N7" s="38"/>
      <c r="P7" s="93"/>
      <c r="Q7" s="93">
        <v>1</v>
      </c>
      <c r="R7" s="97"/>
      <c r="S7" s="65" t="e">
        <f>$J7</f>
        <v>#N/A</v>
      </c>
      <c r="T7" s="98" t="s">
        <v>403</v>
      </c>
      <c r="U7" s="84"/>
      <c r="V7" s="99"/>
      <c r="W7" s="100"/>
      <c r="X7" s="100"/>
      <c r="Y7" s="100"/>
      <c r="Z7" s="100"/>
      <c r="AA7" s="100"/>
      <c r="AB7" s="100"/>
      <c r="AC7" s="137"/>
      <c r="AD7" s="99"/>
      <c r="AE7" s="100"/>
      <c r="AF7" s="100"/>
      <c r="AG7" s="100"/>
      <c r="AH7" s="100"/>
      <c r="AI7" s="100"/>
      <c r="AJ7" s="100"/>
      <c r="AK7" s="100"/>
      <c r="AL7" s="137"/>
      <c r="AM7" s="136" t="s">
        <v>404</v>
      </c>
      <c r="AO7" s="151"/>
      <c r="AP7" s="151" t="str">
        <f t="shared" si="0"/>
        <v>Группа потребителей</v>
      </c>
      <c r="AQ7" s="151"/>
      <c r="AR7" s="151"/>
      <c r="AS7" s="43">
        <v>0</v>
      </c>
    </row>
    <row r="8" ht="21" hidden="1" customHeight="1" spans="1:45">
      <c r="A8" s="46"/>
      <c r="B8" s="46"/>
      <c r="C8" s="46"/>
      <c r="D8" s="46"/>
      <c r="E8" s="1053"/>
      <c r="F8" s="1053"/>
      <c r="G8" s="1053"/>
      <c r="H8" s="1053"/>
      <c r="I8" s="1058"/>
      <c r="J8" s="1058"/>
      <c r="K8" s="229" t="e">
        <f>J7&amp;".1"</f>
        <v>#N/A</v>
      </c>
      <c r="L8" s="1054" t="s">
        <v>405</v>
      </c>
      <c r="M8" s="38"/>
      <c r="N8" s="38"/>
      <c r="O8" s="38"/>
      <c r="P8" s="93"/>
      <c r="Q8" s="93"/>
      <c r="R8" s="97">
        <v>1</v>
      </c>
      <c r="S8" s="65" t="e">
        <f>$K8</f>
        <v>#N/A</v>
      </c>
      <c r="T8" s="101"/>
      <c r="U8" s="84"/>
      <c r="V8" s="103"/>
      <c r="W8" s="102"/>
      <c r="X8" s="103"/>
      <c r="Y8" s="1119"/>
      <c r="Z8" s="139"/>
      <c r="AA8" s="140" t="s">
        <v>66</v>
      </c>
      <c r="AB8" s="139"/>
      <c r="AC8" s="140" t="s">
        <v>66</v>
      </c>
      <c r="AD8" s="103"/>
      <c r="AE8" s="102"/>
      <c r="AF8" s="103"/>
      <c r="AG8" s="1119"/>
      <c r="AH8" s="139"/>
      <c r="AI8" s="140" t="s">
        <v>66</v>
      </c>
      <c r="AJ8" s="139"/>
      <c r="AK8" s="140" t="s">
        <v>66</v>
      </c>
      <c r="AL8" s="103"/>
      <c r="AM8" s="141" t="s">
        <v>406</v>
      </c>
      <c r="AN8" s="44" t="e">
        <f>STRCHECKDATE(V9:AL9)</f>
        <v>#NAME?</v>
      </c>
      <c r="AO8" s="151"/>
      <c r="AP8" s="151" t="str">
        <f t="shared" si="0"/>
        <v/>
      </c>
      <c r="AQ8" s="151"/>
      <c r="AR8" s="151"/>
      <c r="AS8" s="43">
        <v>0</v>
      </c>
    </row>
    <row r="9" ht="0.75" hidden="1" customHeight="1" spans="1:45">
      <c r="A9" s="46"/>
      <c r="B9" s="46"/>
      <c r="C9" s="46"/>
      <c r="D9" s="46"/>
      <c r="E9" s="1053"/>
      <c r="F9" s="1053"/>
      <c r="G9" s="1053"/>
      <c r="H9" s="1053"/>
      <c r="I9" s="1058"/>
      <c r="J9" s="1058"/>
      <c r="K9" s="229"/>
      <c r="L9" s="1054"/>
      <c r="M9" s="38"/>
      <c r="N9" s="38"/>
      <c r="O9" s="38"/>
      <c r="P9" s="93"/>
      <c r="Q9" s="93"/>
      <c r="R9" s="97"/>
      <c r="S9" s="104"/>
      <c r="T9" s="84"/>
      <c r="U9" s="84"/>
      <c r="V9" s="103"/>
      <c r="W9" s="103"/>
      <c r="X9" s="103"/>
      <c r="Y9" s="142" t="str">
        <f>Z8&amp;"-"&amp;AB8</f>
        <v>-</v>
      </c>
      <c r="Z9" s="143"/>
      <c r="AA9" s="140"/>
      <c r="AB9" s="143"/>
      <c r="AC9" s="140"/>
      <c r="AD9" s="103"/>
      <c r="AE9" s="103"/>
      <c r="AF9" s="103"/>
      <c r="AG9" s="142" t="str">
        <f>AH8&amp;"-"&amp;AJ8</f>
        <v>-</v>
      </c>
      <c r="AH9" s="143"/>
      <c r="AI9" s="140"/>
      <c r="AJ9" s="143"/>
      <c r="AK9" s="140"/>
      <c r="AL9" s="103"/>
      <c r="AM9" s="144"/>
      <c r="AO9" s="151"/>
      <c r="AP9" s="151" t="str">
        <f t="shared" si="0"/>
        <v/>
      </c>
      <c r="AQ9" s="151"/>
      <c r="AR9" s="151"/>
      <c r="AS9" s="43">
        <v>0</v>
      </c>
    </row>
    <row r="10" ht="15" hidden="1" customHeight="1" spans="1:45">
      <c r="A10" s="46"/>
      <c r="B10" s="46"/>
      <c r="C10" s="46"/>
      <c r="D10" s="46"/>
      <c r="E10" s="1053"/>
      <c r="F10" s="1053"/>
      <c r="G10" s="1053"/>
      <c r="H10" s="1053"/>
      <c r="I10" s="1058"/>
      <c r="J10" s="229"/>
      <c r="K10" s="46"/>
      <c r="L10" s="1054"/>
      <c r="M10" s="38"/>
      <c r="N10" s="38"/>
      <c r="P10" s="93"/>
      <c r="Q10" s="93"/>
      <c r="R10" s="94"/>
      <c r="S10" s="105"/>
      <c r="T10" s="106" t="s">
        <v>407</v>
      </c>
      <c r="U10" s="107"/>
      <c r="V10" s="107"/>
      <c r="W10" s="107"/>
      <c r="X10" s="107"/>
      <c r="Y10" s="107"/>
      <c r="Z10" s="107"/>
      <c r="AA10" s="107"/>
      <c r="AB10" s="107"/>
      <c r="AC10" s="107"/>
      <c r="AD10" s="107"/>
      <c r="AE10" s="107"/>
      <c r="AF10" s="107"/>
      <c r="AG10" s="107"/>
      <c r="AH10" s="107"/>
      <c r="AI10" s="107"/>
      <c r="AJ10" s="107"/>
      <c r="AK10" s="107"/>
      <c r="AL10" s="145"/>
      <c r="AM10" s="146"/>
      <c r="AO10" s="151"/>
      <c r="AP10" s="151" t="str">
        <f t="shared" si="0"/>
        <v>Добавить вид теплоносителя (параметры теплоносителя)</v>
      </c>
      <c r="AQ10" s="151"/>
      <c r="AR10" s="151"/>
      <c r="AS10" s="43">
        <v>0</v>
      </c>
    </row>
    <row r="11" ht="15" hidden="1" customHeight="1" spans="1:45">
      <c r="A11" s="46"/>
      <c r="B11" s="46"/>
      <c r="C11" s="46"/>
      <c r="D11" s="46"/>
      <c r="E11" s="1053"/>
      <c r="F11" s="1053"/>
      <c r="G11" s="1053"/>
      <c r="H11" s="1053"/>
      <c r="I11" s="229"/>
      <c r="J11" s="46"/>
      <c r="K11" s="46"/>
      <c r="L11" s="1054"/>
      <c r="M11" s="38"/>
      <c r="P11" s="93"/>
      <c r="Q11" s="93"/>
      <c r="R11" s="94"/>
      <c r="S11" s="105"/>
      <c r="T11" s="108" t="s">
        <v>408</v>
      </c>
      <c r="U11" s="107"/>
      <c r="V11" s="107"/>
      <c r="W11" s="107"/>
      <c r="X11" s="107"/>
      <c r="Y11" s="107"/>
      <c r="Z11" s="107"/>
      <c r="AA11" s="107"/>
      <c r="AB11" s="107"/>
      <c r="AC11" s="147"/>
      <c r="AD11" s="107"/>
      <c r="AE11" s="107"/>
      <c r="AF11" s="107"/>
      <c r="AG11" s="107"/>
      <c r="AH11" s="107"/>
      <c r="AI11" s="107"/>
      <c r="AJ11" s="107"/>
      <c r="AK11" s="147"/>
      <c r="AL11" s="107"/>
      <c r="AM11" s="148"/>
      <c r="AO11" s="151"/>
      <c r="AP11" s="151" t="str">
        <f t="shared" si="0"/>
        <v>Добавить группу потребителей</v>
      </c>
      <c r="AQ11" s="151"/>
      <c r="AR11" s="151"/>
      <c r="AS11" s="43">
        <v>0</v>
      </c>
    </row>
    <row r="12" hidden="1" customHeight="1" spans="1:45">
      <c r="A12" s="46"/>
      <c r="B12" s="46"/>
      <c r="C12" s="46"/>
      <c r="D12" s="46"/>
      <c r="E12" s="1053"/>
      <c r="F12" s="1053"/>
      <c r="G12" s="1053"/>
      <c r="H12" s="1052"/>
      <c r="I12" s="46"/>
      <c r="J12" s="46"/>
      <c r="K12" s="46"/>
      <c r="L12" s="1054"/>
      <c r="M12" s="47"/>
      <c r="N12" s="47"/>
      <c r="O12" s="38"/>
      <c r="P12" s="81"/>
      <c r="Q12" s="109"/>
      <c r="R12" s="82"/>
      <c r="S12" s="105"/>
      <c r="T12" s="110" t="s">
        <v>409</v>
      </c>
      <c r="U12" s="107"/>
      <c r="V12" s="107"/>
      <c r="W12" s="107"/>
      <c r="X12" s="107"/>
      <c r="Y12" s="107"/>
      <c r="Z12" s="107"/>
      <c r="AA12" s="107"/>
      <c r="AB12" s="107"/>
      <c r="AC12" s="147"/>
      <c r="AD12" s="107"/>
      <c r="AE12" s="107"/>
      <c r="AF12" s="107"/>
      <c r="AG12" s="107"/>
      <c r="AH12" s="107"/>
      <c r="AI12" s="107"/>
      <c r="AJ12" s="107"/>
      <c r="AK12" s="147"/>
      <c r="AL12" s="107"/>
      <c r="AM12" s="148"/>
      <c r="AO12" s="151"/>
      <c r="AP12" s="151" t="str">
        <f t="shared" si="0"/>
        <v>Добавить схему подключения</v>
      </c>
      <c r="AQ12" s="151"/>
      <c r="AR12" s="151"/>
      <c r="AS12" s="43">
        <v>0</v>
      </c>
    </row>
    <row r="13" s="44" customFormat="1" ht="0.75" hidden="1" customHeight="1" spans="1:45">
      <c r="A13" s="590"/>
      <c r="B13" s="590"/>
      <c r="C13" s="590"/>
      <c r="D13" s="590"/>
      <c r="E13" s="1053"/>
      <c r="F13" s="1053"/>
      <c r="G13" s="1052"/>
      <c r="H13" s="590"/>
      <c r="I13" s="590"/>
      <c r="J13" s="590"/>
      <c r="K13" s="590"/>
      <c r="L13" s="611"/>
      <c r="M13" s="283"/>
      <c r="N13" s="283"/>
      <c r="P13" s="152"/>
      <c r="Q13" s="1082"/>
      <c r="R13" s="152"/>
      <c r="S13" s="1166"/>
      <c r="T13" s="1167" t="s">
        <v>410</v>
      </c>
      <c r="U13" s="1168"/>
      <c r="V13" s="1168"/>
      <c r="W13" s="1168"/>
      <c r="X13" s="1168"/>
      <c r="Y13" s="1168"/>
      <c r="Z13" s="1168"/>
      <c r="AA13" s="1168"/>
      <c r="AB13" s="1168"/>
      <c r="AC13" s="1168"/>
      <c r="AD13" s="1168"/>
      <c r="AE13" s="1168"/>
      <c r="AF13" s="1168"/>
      <c r="AG13" s="1168"/>
      <c r="AH13" s="1168"/>
      <c r="AI13" s="1168"/>
      <c r="AJ13" s="1168"/>
      <c r="AK13" s="1168"/>
      <c r="AL13" s="1168"/>
      <c r="AM13" s="1168"/>
      <c r="AO13" s="151"/>
      <c r="AP13" s="151" t="str">
        <f t="shared" si="0"/>
        <v>Добавить источник для дифференциации</v>
      </c>
      <c r="AQ13" s="151"/>
      <c r="AR13" s="151"/>
      <c r="AS13" s="44">
        <v>0</v>
      </c>
    </row>
    <row r="14" s="44" customFormat="1" ht="0.75" hidden="1" customHeight="1" spans="1:45">
      <c r="A14" s="590"/>
      <c r="B14" s="590"/>
      <c r="C14" s="590"/>
      <c r="D14" s="590"/>
      <c r="E14" s="1053"/>
      <c r="F14" s="1052"/>
      <c r="G14" s="590"/>
      <c r="H14" s="590"/>
      <c r="I14" s="590"/>
      <c r="J14" s="590"/>
      <c r="K14" s="590"/>
      <c r="L14" s="611"/>
      <c r="M14" s="1059"/>
      <c r="N14" s="1059"/>
      <c r="P14" s="152"/>
      <c r="Q14" s="1082"/>
      <c r="R14" s="152"/>
      <c r="S14" s="1084"/>
      <c r="T14" s="1169" t="s">
        <v>411</v>
      </c>
      <c r="U14" s="307"/>
      <c r="V14" s="307"/>
      <c r="W14" s="307"/>
      <c r="X14" s="307"/>
      <c r="Y14" s="307"/>
      <c r="Z14" s="307"/>
      <c r="AA14" s="307"/>
      <c r="AB14" s="307"/>
      <c r="AC14" s="307"/>
      <c r="AD14" s="307"/>
      <c r="AE14" s="307"/>
      <c r="AF14" s="307"/>
      <c r="AG14" s="307"/>
      <c r="AH14" s="307"/>
      <c r="AI14" s="307"/>
      <c r="AJ14" s="307"/>
      <c r="AK14" s="307"/>
      <c r="AL14" s="307"/>
      <c r="AM14" s="307"/>
      <c r="AO14" s="151"/>
      <c r="AP14" s="151" t="str">
        <f t="shared" si="0"/>
        <v>Добавить централизованную систему для дифференциации</v>
      </c>
      <c r="AQ14" s="151"/>
      <c r="AR14" s="151"/>
      <c r="AS14" s="44">
        <v>0</v>
      </c>
    </row>
    <row r="15" s="44" customFormat="1" ht="0.75" hidden="1" customHeight="1" spans="1:45">
      <c r="A15" s="590"/>
      <c r="B15" s="590"/>
      <c r="C15" s="590"/>
      <c r="D15" s="590"/>
      <c r="E15" s="1052"/>
      <c r="F15" s="590"/>
      <c r="G15" s="590"/>
      <c r="H15" s="590"/>
      <c r="I15" s="590"/>
      <c r="J15" s="590"/>
      <c r="K15" s="590"/>
      <c r="L15" s="611"/>
      <c r="M15" s="1059"/>
      <c r="N15" s="1059"/>
      <c r="P15" s="152"/>
      <c r="Q15" s="1082"/>
      <c r="R15" s="152"/>
      <c r="S15" s="1084"/>
      <c r="T15" s="1085" t="s">
        <v>412</v>
      </c>
      <c r="U15" s="307"/>
      <c r="V15" s="307"/>
      <c r="W15" s="307"/>
      <c r="X15" s="307"/>
      <c r="Y15" s="307"/>
      <c r="Z15" s="307"/>
      <c r="AA15" s="307"/>
      <c r="AB15" s="307"/>
      <c r="AC15" s="307"/>
      <c r="AD15" s="307"/>
      <c r="AE15" s="307"/>
      <c r="AF15" s="307"/>
      <c r="AG15" s="307"/>
      <c r="AH15" s="307"/>
      <c r="AI15" s="307"/>
      <c r="AJ15" s="307"/>
      <c r="AK15" s="307"/>
      <c r="AL15" s="307"/>
      <c r="AM15" s="307"/>
      <c r="AO15" s="151"/>
      <c r="AP15" s="151" t="str">
        <f t="shared" si="0"/>
        <v>Добавить территорию для дифференциации</v>
      </c>
      <c r="AQ15" s="151"/>
      <c r="AR15" s="151"/>
      <c r="AS15" s="44">
        <v>0</v>
      </c>
    </row>
    <row r="16" hidden="1" customHeight="1" spans="45:45">
      <c r="AS16" s="43">
        <v>0</v>
      </c>
    </row>
    <row r="17" hidden="1" customHeight="1" spans="30:45">
      <c r="AD17" s="492"/>
      <c r="AE17" s="492"/>
      <c r="AF17" s="492"/>
      <c r="AG17" s="1132"/>
      <c r="AH17" s="1133"/>
      <c r="AI17" s="353" t="s">
        <v>66</v>
      </c>
      <c r="AJ17" s="1133"/>
      <c r="AK17" s="353" t="s">
        <v>66</v>
      </c>
      <c r="AS17" s="43">
        <v>0</v>
      </c>
    </row>
    <row r="18" hidden="1" customHeight="1" spans="30:45">
      <c r="AD18" s="492"/>
      <c r="AE18" s="492"/>
      <c r="AF18" s="492"/>
      <c r="AG18" s="142" t="str">
        <f>AH17&amp;"-"&amp;AJ17</f>
        <v>-</v>
      </c>
      <c r="AH18" s="353"/>
      <c r="AI18" s="353"/>
      <c r="AJ18" s="353"/>
      <c r="AK18" s="353"/>
      <c r="AS18" s="43">
        <v>0</v>
      </c>
    </row>
    <row r="19" hidden="1" customHeight="1" spans="45:45">
      <c r="AS19" s="43">
        <v>0</v>
      </c>
    </row>
    <row r="20" s="38" customFormat="1" ht="22.5" hidden="1" customHeight="1" spans="12:45">
      <c r="L20" s="48"/>
      <c r="M20" s="39"/>
      <c r="N20" s="39"/>
      <c r="O20" s="1060" t="s">
        <v>413</v>
      </c>
      <c r="P20" s="39"/>
      <c r="Q20" s="1051"/>
      <c r="R20" s="1051"/>
      <c r="S20" s="47"/>
      <c r="Z20" s="1060"/>
      <c r="AB20" s="1060"/>
      <c r="AH20" s="1060"/>
      <c r="AJ20" s="1060"/>
      <c r="AN20" s="44"/>
      <c r="AO20" s="44"/>
      <c r="AP20" s="44"/>
      <c r="AQ20" s="44"/>
      <c r="AR20" s="44"/>
      <c r="AS20" s="38">
        <v>0</v>
      </c>
    </row>
    <row r="21" s="38" customFormat="1" hidden="1" customHeight="1" spans="12:45">
      <c r="L21" s="48"/>
      <c r="M21" s="39"/>
      <c r="N21" s="39"/>
      <c r="O21" s="39"/>
      <c r="P21" s="39"/>
      <c r="Q21" s="1051"/>
      <c r="R21" s="1051"/>
      <c r="S21" s="47"/>
      <c r="AN21" s="44"/>
      <c r="AO21" s="44"/>
      <c r="AP21" s="44"/>
      <c r="AQ21" s="44"/>
      <c r="AR21" s="44"/>
      <c r="AS21" s="38">
        <v>0</v>
      </c>
    </row>
    <row r="22" s="38" customFormat="1" ht="33.75" hidden="1" customHeight="1" spans="12:45">
      <c r="L22" s="48"/>
      <c r="M22" s="39"/>
      <c r="N22" s="39"/>
      <c r="O22" s="1054" t="s">
        <v>414</v>
      </c>
      <c r="P22" s="39"/>
      <c r="Q22" s="1051"/>
      <c r="R22" s="1051"/>
      <c r="S22" s="47"/>
      <c r="T22" s="38" t="s">
        <v>415</v>
      </c>
      <c r="AA22" s="45" t="s">
        <v>416</v>
      </c>
      <c r="AC22" s="45" t="s">
        <v>417</v>
      </c>
      <c r="AD22" s="38" t="s">
        <v>415</v>
      </c>
      <c r="AI22" s="45" t="s">
        <v>418</v>
      </c>
      <c r="AK22" s="45" t="s">
        <v>417</v>
      </c>
      <c r="AN22" s="44"/>
      <c r="AO22" s="44"/>
      <c r="AP22" s="44"/>
      <c r="AQ22" s="44"/>
      <c r="AR22" s="44"/>
      <c r="AS22" s="38">
        <v>0</v>
      </c>
    </row>
    <row r="23" hidden="1" customHeight="1" spans="15:45">
      <c r="O23" s="1054"/>
      <c r="AS23" s="43">
        <v>0</v>
      </c>
    </row>
    <row r="24" hidden="1" customHeight="1" spans="15:45">
      <c r="O24" s="1054"/>
      <c r="AS24" s="43">
        <v>0</v>
      </c>
    </row>
    <row r="25" ht="14.7" customHeight="1" spans="17:45">
      <c r="Q25" s="51"/>
      <c r="R25" s="51"/>
      <c r="S25" s="52"/>
      <c r="T25" s="53"/>
      <c r="U25" s="53"/>
      <c r="AS25" s="43">
        <v>14</v>
      </c>
    </row>
    <row r="26" ht="29.25" customHeight="1" spans="17:45">
      <c r="Q26" s="51"/>
      <c r="R26" s="51"/>
      <c r="S26" s="7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755"/>
      <c r="U26" s="755"/>
      <c r="V26" s="755"/>
      <c r="W26" s="755"/>
      <c r="X26" s="755"/>
      <c r="Y26" s="755"/>
      <c r="Z26" s="755"/>
      <c r="AA26" s="755"/>
      <c r="AB26" s="755"/>
      <c r="AC26" s="755"/>
      <c r="AD26" s="755"/>
      <c r="AE26" s="755"/>
      <c r="AF26" s="755"/>
      <c r="AG26" s="755"/>
      <c r="AH26" s="755"/>
      <c r="AI26" s="755"/>
      <c r="AJ26" s="755"/>
      <c r="AK26" s="121"/>
      <c r="AS26" s="43">
        <v>28</v>
      </c>
    </row>
    <row r="27" ht="14.7" customHeight="1" spans="17:45">
      <c r="Q27" s="51"/>
      <c r="R27" s="51"/>
      <c r="S27" s="660" t="str">
        <f>IF(org=0,"Не определено",org)</f>
        <v>АО "Теплокоммунэнерго"</v>
      </c>
      <c r="T27" s="660"/>
      <c r="U27" s="660"/>
      <c r="V27" s="660"/>
      <c r="W27" s="660"/>
      <c r="X27" s="660"/>
      <c r="Y27" s="660"/>
      <c r="Z27" s="660"/>
      <c r="AA27" s="660"/>
      <c r="AB27" s="660"/>
      <c r="AC27" s="660"/>
      <c r="AD27" s="660"/>
      <c r="AE27" s="660"/>
      <c r="AF27" s="660"/>
      <c r="AG27" s="660"/>
      <c r="AH27" s="660"/>
      <c r="AI27" s="660"/>
      <c r="AJ27" s="660"/>
      <c r="AK27" s="121"/>
      <c r="AS27" s="43">
        <v>14</v>
      </c>
    </row>
    <row r="28" hidden="1" customHeight="1" spans="17:45">
      <c r="Q28" s="51"/>
      <c r="R28" s="51"/>
      <c r="S28" s="52"/>
      <c r="T28" s="53"/>
      <c r="U28" s="53"/>
      <c r="V28" s="56"/>
      <c r="W28" s="56"/>
      <c r="X28" s="56"/>
      <c r="Y28" s="56"/>
      <c r="Z28" s="56"/>
      <c r="AA28" s="56"/>
      <c r="AB28" s="56"/>
      <c r="AC28" s="56"/>
      <c r="AD28" s="56"/>
      <c r="AE28" s="56"/>
      <c r="AF28" s="56"/>
      <c r="AG28" s="56"/>
      <c r="AH28" s="56"/>
      <c r="AI28" s="56"/>
      <c r="AJ28" s="56"/>
      <c r="AK28" s="56"/>
      <c r="AS28" s="43">
        <v>0</v>
      </c>
    </row>
    <row r="29" s="36" customFormat="1" ht="25.5" hidden="1" customHeight="1" spans="1:45">
      <c r="A29" s="45"/>
      <c r="B29" s="45"/>
      <c r="C29" s="45"/>
      <c r="D29" s="45"/>
      <c r="E29" s="45"/>
      <c r="F29" s="45"/>
      <c r="G29" s="45"/>
      <c r="H29" s="45"/>
      <c r="I29" s="45"/>
      <c r="J29" s="45"/>
      <c r="K29" s="45"/>
      <c r="L29" s="1054"/>
      <c r="M29" s="45"/>
      <c r="N29" s="45"/>
      <c r="O29" s="45"/>
      <c r="S29"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58"/>
      <c r="U29" s="1088"/>
      <c r="V29" s="60" t="str">
        <f>IF(TITLE_NAME_OR_PR_CHANGE="",IF(TITLE_NAME_OR_PR="","",TITLE_NAME_OR_PR),TITLE_NAME_OR_PR_CHANGE)</f>
        <v/>
      </c>
      <c r="W29" s="60"/>
      <c r="X29" s="60"/>
      <c r="Y29" s="60"/>
      <c r="Z29" s="60"/>
      <c r="AA29" s="60"/>
      <c r="AB29" s="60"/>
      <c r="AC29" s="43"/>
      <c r="AD29" s="60" t="str">
        <f>IF(TITLE_NAME_OR_PR_CHANGE="",IF(TITLE_NAME_OR_PR="","",TITLE_NAME_OR_PR),TITLE_NAME_OR_PR_CHANGE)</f>
        <v/>
      </c>
      <c r="AE29" s="60"/>
      <c r="AF29" s="60"/>
      <c r="AG29" s="60"/>
      <c r="AH29" s="60"/>
      <c r="AI29" s="60"/>
      <c r="AJ29" s="60"/>
      <c r="AK29" s="43"/>
      <c r="AL29" s="43"/>
      <c r="AM29" s="122"/>
      <c r="AN29" s="151"/>
      <c r="AO29" s="151"/>
      <c r="AP29" s="151"/>
      <c r="AQ29" s="151"/>
      <c r="AR29" s="151"/>
      <c r="AS29" s="36">
        <v>0</v>
      </c>
    </row>
    <row r="30" s="36" customFormat="1" ht="18.75" hidden="1" customHeight="1" spans="1:45">
      <c r="A30" s="45"/>
      <c r="B30" s="45"/>
      <c r="C30" s="45"/>
      <c r="D30" s="45"/>
      <c r="E30" s="45"/>
      <c r="F30" s="45"/>
      <c r="G30" s="45"/>
      <c r="H30" s="45"/>
      <c r="I30" s="45"/>
      <c r="J30" s="45"/>
      <c r="K30" s="45"/>
      <c r="L30" s="1054"/>
      <c r="M30" s="45"/>
      <c r="N30" s="45"/>
      <c r="O30" s="45"/>
      <c r="S30" s="58" t="str">
        <f>"Дата документа об "&amp;IF(TITLE_DATE_PR_CHANGE="","утверждении","изменении")&amp;" тарифов"</f>
        <v>Дата документа об утверждении тарифов</v>
      </c>
      <c r="T30" s="58"/>
      <c r="U30" s="1088"/>
      <c r="V30" s="793" t="str">
        <f>IF(TITLE_DATE_PR_CHANGE="",IF(TITLE_DATE_PR="","",TITLE_DATE_PR),TITLE_DATE_PR_CHANGE)</f>
        <v/>
      </c>
      <c r="W30" s="793"/>
      <c r="X30" s="793"/>
      <c r="Y30" s="793"/>
      <c r="Z30" s="793"/>
      <c r="AA30" s="793"/>
      <c r="AB30" s="793"/>
      <c r="AC30" s="43"/>
      <c r="AD30" s="793" t="str">
        <f>IF(TITLE_DATE_PR_CHANGE="",IF(TITLE_DATE_PR="","",TITLE_DATE_PR),TITLE_DATE_PR_CHANGE)</f>
        <v/>
      </c>
      <c r="AE30" s="793"/>
      <c r="AF30" s="793"/>
      <c r="AG30" s="793"/>
      <c r="AH30" s="793"/>
      <c r="AI30" s="793"/>
      <c r="AJ30" s="793"/>
      <c r="AK30" s="43"/>
      <c r="AL30" s="43"/>
      <c r="AM30" s="122"/>
      <c r="AN30" s="151"/>
      <c r="AO30" s="151"/>
      <c r="AP30" s="151"/>
      <c r="AQ30" s="151"/>
      <c r="AR30" s="151"/>
      <c r="AS30" s="36">
        <v>0</v>
      </c>
    </row>
    <row r="31" s="36" customFormat="1" ht="18.75" hidden="1" customHeight="1" spans="1:45">
      <c r="A31" s="45"/>
      <c r="B31" s="45"/>
      <c r="C31" s="45"/>
      <c r="D31" s="45"/>
      <c r="E31" s="45"/>
      <c r="F31" s="45"/>
      <c r="G31" s="45"/>
      <c r="H31" s="45"/>
      <c r="I31" s="45"/>
      <c r="J31" s="45"/>
      <c r="K31" s="45"/>
      <c r="L31" s="1054"/>
      <c r="M31" s="45"/>
      <c r="N31" s="45"/>
      <c r="O31" s="45"/>
      <c r="S31" s="58" t="str">
        <f>"Номер документа об "&amp;IF(TITLE_DATE_PR_CHANGE="","утверждении","изменении")&amp;" тарифов"</f>
        <v>Номер документа об утверждении тарифов</v>
      </c>
      <c r="T31" s="58"/>
      <c r="U31" s="1088"/>
      <c r="V31" s="60" t="str">
        <f>IF(TITLE_NUMBER_PR_CHANGE="",IF(TITLE_NUMBER_PR="","",TITLE_NUMBER_PR),TITLE_NUMBER_PR_CHANGE)</f>
        <v/>
      </c>
      <c r="W31" s="60"/>
      <c r="X31" s="60"/>
      <c r="Y31" s="60"/>
      <c r="Z31" s="60"/>
      <c r="AA31" s="60"/>
      <c r="AB31" s="60"/>
      <c r="AC31" s="43"/>
      <c r="AD31" s="60" t="str">
        <f>IF(TITLE_NUMBER_PR_CHANGE="",IF(TITLE_NUMBER_PR="","",TITLE_NUMBER_PR),TITLE_NUMBER_PR_CHANGE)</f>
        <v/>
      </c>
      <c r="AE31" s="60"/>
      <c r="AF31" s="60"/>
      <c r="AG31" s="60"/>
      <c r="AH31" s="60"/>
      <c r="AI31" s="60"/>
      <c r="AJ31" s="60"/>
      <c r="AK31" s="43"/>
      <c r="AL31" s="43"/>
      <c r="AM31" s="122"/>
      <c r="AN31" s="151"/>
      <c r="AO31" s="151"/>
      <c r="AP31" s="151"/>
      <c r="AQ31" s="151"/>
      <c r="AR31" s="151"/>
      <c r="AS31" s="36">
        <v>0</v>
      </c>
    </row>
    <row r="32" s="36" customFormat="1" ht="18.75" hidden="1" customHeight="1" spans="1:45">
      <c r="A32" s="45"/>
      <c r="B32" s="45"/>
      <c r="C32" s="45"/>
      <c r="D32" s="45"/>
      <c r="E32" s="45"/>
      <c r="F32" s="45"/>
      <c r="G32" s="45"/>
      <c r="H32" s="45"/>
      <c r="I32" s="45"/>
      <c r="J32" s="45"/>
      <c r="K32" s="45"/>
      <c r="L32" s="1054"/>
      <c r="M32" s="45"/>
      <c r="N32" s="45"/>
      <c r="O32" s="45"/>
      <c r="S32" s="58" t="s">
        <v>43</v>
      </c>
      <c r="T32" s="58"/>
      <c r="U32" s="1088"/>
      <c r="V32" s="60" t="str">
        <f>IF(TITLE_IST_PUB_CHANGE="",IF(TITLE_IST_PUB="","",TITLE_IST_PUB),TITLE_IST_PUB_CHANGE)</f>
        <v/>
      </c>
      <c r="W32" s="60"/>
      <c r="X32" s="60"/>
      <c r="Y32" s="60"/>
      <c r="Z32" s="60"/>
      <c r="AA32" s="60"/>
      <c r="AB32" s="60"/>
      <c r="AC32" s="43"/>
      <c r="AD32" s="60" t="str">
        <f>IF(TITLE_IST_PUB_CHANGE="",IF(TITLE_IST_PUB="","",TITLE_IST_PUB),TITLE_IST_PUB_CHANGE)</f>
        <v/>
      </c>
      <c r="AE32" s="60"/>
      <c r="AF32" s="60"/>
      <c r="AG32" s="60"/>
      <c r="AH32" s="60"/>
      <c r="AI32" s="60"/>
      <c r="AJ32" s="60"/>
      <c r="AK32" s="43"/>
      <c r="AL32" s="43"/>
      <c r="AM32" s="122"/>
      <c r="AN32" s="151"/>
      <c r="AO32" s="151"/>
      <c r="AP32" s="151"/>
      <c r="AQ32" s="151"/>
      <c r="AR32" s="151"/>
      <c r="AS32" s="36">
        <v>0</v>
      </c>
    </row>
    <row r="33" hidden="1" customHeight="1" spans="17:45">
      <c r="Q33" s="51"/>
      <c r="R33" s="51"/>
      <c r="S33" s="52"/>
      <c r="T33" s="53"/>
      <c r="U33" s="53"/>
      <c r="V33" s="56"/>
      <c r="W33" s="56"/>
      <c r="X33" s="56"/>
      <c r="Y33" s="56"/>
      <c r="Z33" s="56"/>
      <c r="AA33" s="56"/>
      <c r="AB33" s="56"/>
      <c r="AC33" s="56"/>
      <c r="AD33" s="56"/>
      <c r="AE33" s="56"/>
      <c r="AF33" s="56"/>
      <c r="AG33" s="56"/>
      <c r="AH33" s="56"/>
      <c r="AI33" s="56"/>
      <c r="AJ33" s="56"/>
      <c r="AK33" s="56"/>
      <c r="AS33" s="43">
        <v>0</v>
      </c>
    </row>
    <row r="34" s="36" customFormat="1" ht="18.75" hidden="1" customHeight="1" spans="1:45">
      <c r="A34" s="45"/>
      <c r="B34" s="45"/>
      <c r="C34" s="45"/>
      <c r="D34" s="45"/>
      <c r="E34" s="45"/>
      <c r="F34" s="45"/>
      <c r="G34" s="45"/>
      <c r="H34" s="45"/>
      <c r="I34" s="45"/>
      <c r="J34" s="45"/>
      <c r="K34" s="45"/>
      <c r="L34" s="1054"/>
      <c r="M34" s="45"/>
      <c r="N34" s="45"/>
      <c r="O34" s="45"/>
      <c r="S34" s="58" t="str">
        <f>"Дата подачи заявления об "&amp;IF(TITLE_DATE_PR_CHANGE="","утверждении","изменении")&amp;" тарифов"</f>
        <v>Дата подачи заявления об утверждении тарифов</v>
      </c>
      <c r="T34" s="58"/>
      <c r="U34" s="1088"/>
      <c r="V34" s="793" t="str">
        <f>IF(TITLE_DATE_PR_CHANGE="",IF(TITLE_DATE_PR="","",TITLE_DATE_PR),TITLE_DATE_PR_CHANGE)</f>
        <v/>
      </c>
      <c r="W34" s="793"/>
      <c r="X34" s="793"/>
      <c r="Y34" s="793"/>
      <c r="Z34" s="793"/>
      <c r="AA34" s="793"/>
      <c r="AB34" s="793"/>
      <c r="AC34" s="43"/>
      <c r="AD34" s="793" t="str">
        <f>IF(TITLE_DATE_PR_CHANGE="",IF(TITLE_DATE_PR="","",TITLE_DATE_PR),TITLE_DATE_PR_CHANGE)</f>
        <v/>
      </c>
      <c r="AE34" s="793"/>
      <c r="AF34" s="793"/>
      <c r="AG34" s="793"/>
      <c r="AH34" s="793"/>
      <c r="AI34" s="793"/>
      <c r="AJ34" s="793"/>
      <c r="AK34" s="43"/>
      <c r="AL34" s="43"/>
      <c r="AM34" s="122"/>
      <c r="AN34" s="151"/>
      <c r="AO34" s="151"/>
      <c r="AP34" s="151"/>
      <c r="AQ34" s="151"/>
      <c r="AR34" s="151"/>
      <c r="AS34" s="36">
        <v>0</v>
      </c>
    </row>
    <row r="35" s="36" customFormat="1" ht="18.75" hidden="1" customHeight="1" spans="1:45">
      <c r="A35" s="45"/>
      <c r="B35" s="45"/>
      <c r="C35" s="45"/>
      <c r="D35" s="45"/>
      <c r="E35" s="45"/>
      <c r="F35" s="45"/>
      <c r="G35" s="45"/>
      <c r="H35" s="45"/>
      <c r="I35" s="45"/>
      <c r="J35" s="45"/>
      <c r="K35" s="45"/>
      <c r="L35" s="1054"/>
      <c r="M35" s="45"/>
      <c r="N35" s="45"/>
      <c r="O35" s="45"/>
      <c r="S35" s="58" t="str">
        <f>"Номер подачи заявления об "&amp;IF(TITLE_DATE_PR_CHANGE="","утверждении","изменении")&amp;" тарифов"</f>
        <v>Номер подачи заявления об утверждении тарифов</v>
      </c>
      <c r="T35" s="58"/>
      <c r="U35" s="1088"/>
      <c r="V35" s="60" t="str">
        <f>IF(TITLE_NUMBER_PR_CHANGE="",IF(TITLE_NUMBER_PR="","",TITLE_NUMBER_PR),TITLE_NUMBER_PR_CHANGE)</f>
        <v/>
      </c>
      <c r="W35" s="60"/>
      <c r="X35" s="60"/>
      <c r="Y35" s="60"/>
      <c r="Z35" s="60"/>
      <c r="AA35" s="60"/>
      <c r="AB35" s="60"/>
      <c r="AC35" s="43"/>
      <c r="AD35" s="60" t="str">
        <f>IF(TITLE_NUMBER_PR_CHANGE="",IF(TITLE_NUMBER_PR="","",TITLE_NUMBER_PR),TITLE_NUMBER_PR_CHANGE)</f>
        <v/>
      </c>
      <c r="AE35" s="60"/>
      <c r="AF35" s="60"/>
      <c r="AG35" s="60"/>
      <c r="AH35" s="60"/>
      <c r="AI35" s="60"/>
      <c r="AJ35" s="60"/>
      <c r="AK35" s="43"/>
      <c r="AL35" s="43"/>
      <c r="AM35" s="122"/>
      <c r="AN35" s="151"/>
      <c r="AO35" s="151"/>
      <c r="AP35" s="151"/>
      <c r="AQ35" s="151"/>
      <c r="AR35" s="151"/>
      <c r="AS35" s="36">
        <v>0</v>
      </c>
    </row>
    <row r="36" s="36" customFormat="1" hidden="1" customHeight="1" spans="1:45">
      <c r="A36" s="45"/>
      <c r="B36" s="45"/>
      <c r="C36" s="45"/>
      <c r="D36" s="45"/>
      <c r="E36" s="45"/>
      <c r="F36" s="45"/>
      <c r="G36" s="45"/>
      <c r="H36" s="45"/>
      <c r="I36" s="45"/>
      <c r="J36" s="45"/>
      <c r="K36" s="45"/>
      <c r="L36" s="1054"/>
      <c r="M36" s="45"/>
      <c r="N36" s="45"/>
      <c r="O36" s="45"/>
      <c r="S36" s="43"/>
      <c r="T36" s="43"/>
      <c r="U36" s="61"/>
      <c r="V36" s="43"/>
      <c r="W36" s="43"/>
      <c r="X36" s="43"/>
      <c r="Y36" s="43"/>
      <c r="Z36" s="43"/>
      <c r="AA36" s="43"/>
      <c r="AB36" s="43"/>
      <c r="AC36" s="44" t="s">
        <v>419</v>
      </c>
      <c r="AD36" s="43"/>
      <c r="AE36" s="43"/>
      <c r="AF36" s="43"/>
      <c r="AG36" s="43"/>
      <c r="AH36" s="43"/>
      <c r="AI36" s="43"/>
      <c r="AJ36" s="43"/>
      <c r="AK36" s="44" t="s">
        <v>419</v>
      </c>
      <c r="AN36" s="151"/>
      <c r="AO36" s="151"/>
      <c r="AP36" s="151"/>
      <c r="AQ36" s="151"/>
      <c r="AR36" s="151"/>
      <c r="AS36" s="36">
        <v>0</v>
      </c>
    </row>
    <row r="37" ht="14.7" customHeight="1" spans="17:45">
      <c r="Q37" s="51"/>
      <c r="R37" s="51"/>
      <c r="S37" s="52"/>
      <c r="T37" s="53"/>
      <c r="U37" s="62"/>
      <c r="V37" s="63"/>
      <c r="W37" s="63"/>
      <c r="X37" s="63"/>
      <c r="Y37" s="63"/>
      <c r="Z37" s="63"/>
      <c r="AA37" s="63"/>
      <c r="AB37" s="63"/>
      <c r="AC37" s="63"/>
      <c r="AD37" s="63"/>
      <c r="AE37" s="63"/>
      <c r="AF37" s="63"/>
      <c r="AG37" s="63"/>
      <c r="AH37" s="63"/>
      <c r="AI37" s="63"/>
      <c r="AJ37" s="63"/>
      <c r="AK37" s="63"/>
      <c r="AS37" s="43">
        <v>14</v>
      </c>
    </row>
    <row r="38" ht="14.7" customHeight="1" spans="17:45">
      <c r="Q38" s="51"/>
      <c r="R38" s="51"/>
      <c r="S38" s="64" t="s">
        <v>296</v>
      </c>
      <c r="T38" s="64"/>
      <c r="U38" s="64"/>
      <c r="V38" s="64"/>
      <c r="W38" s="64"/>
      <c r="X38" s="64"/>
      <c r="Y38" s="64"/>
      <c r="Z38" s="64"/>
      <c r="AA38" s="64"/>
      <c r="AB38" s="64"/>
      <c r="AC38" s="64"/>
      <c r="AD38" s="64"/>
      <c r="AE38" s="64"/>
      <c r="AF38" s="64"/>
      <c r="AG38" s="64"/>
      <c r="AH38" s="64"/>
      <c r="AI38" s="64"/>
      <c r="AJ38" s="64"/>
      <c r="AK38" s="64"/>
      <c r="AL38" s="64"/>
      <c r="AM38" s="64" t="s">
        <v>297</v>
      </c>
      <c r="AS38" s="43">
        <v>14</v>
      </c>
    </row>
    <row r="39" ht="14.7" customHeight="1" spans="17:45">
      <c r="Q39" s="51"/>
      <c r="R39" s="51"/>
      <c r="S39" s="65" t="s">
        <v>89</v>
      </c>
      <c r="T39" s="66" t="s">
        <v>420</v>
      </c>
      <c r="U39" s="67"/>
      <c r="V39" s="68" t="s">
        <v>421</v>
      </c>
      <c r="W39" s="69"/>
      <c r="X39" s="1099"/>
      <c r="Y39" s="1099"/>
      <c r="Z39" s="69"/>
      <c r="AA39" s="69"/>
      <c r="AB39" s="123"/>
      <c r="AC39" s="124" t="s">
        <v>422</v>
      </c>
      <c r="AD39" s="68" t="s">
        <v>421</v>
      </c>
      <c r="AE39" s="69"/>
      <c r="AF39" s="1099"/>
      <c r="AG39" s="1099"/>
      <c r="AH39" s="69"/>
      <c r="AI39" s="69"/>
      <c r="AJ39" s="123"/>
      <c r="AK39" s="124" t="s">
        <v>423</v>
      </c>
      <c r="AL39" s="125" t="s">
        <v>424</v>
      </c>
      <c r="AM39" s="64"/>
      <c r="AS39" s="43">
        <v>14</v>
      </c>
    </row>
    <row r="40" ht="24" customHeight="1" spans="17:45">
      <c r="Q40" s="51"/>
      <c r="R40" s="51"/>
      <c r="S40" s="65"/>
      <c r="T40" s="66"/>
      <c r="U40" s="70"/>
      <c r="V40" s="1045" t="s">
        <v>425</v>
      </c>
      <c r="W40" s="903" t="s">
        <v>426</v>
      </c>
      <c r="X40" s="394" t="s">
        <v>427</v>
      </c>
      <c r="Y40" s="394"/>
      <c r="Z40" s="128" t="s">
        <v>428</v>
      </c>
      <c r="AA40" s="128"/>
      <c r="AB40" s="127"/>
      <c r="AC40" s="129"/>
      <c r="AD40" s="1045" t="s">
        <v>425</v>
      </c>
      <c r="AE40" s="903" t="s">
        <v>426</v>
      </c>
      <c r="AF40" s="394" t="s">
        <v>427</v>
      </c>
      <c r="AG40" s="394"/>
      <c r="AH40" s="128" t="s">
        <v>428</v>
      </c>
      <c r="AI40" s="128"/>
      <c r="AJ40" s="127"/>
      <c r="AK40" s="129"/>
      <c r="AL40" s="130"/>
      <c r="AM40" s="64"/>
      <c r="AS40" s="43">
        <v>23</v>
      </c>
    </row>
    <row r="41" s="503" customFormat="1" ht="24" customHeight="1" spans="1:45">
      <c r="A41" s="45"/>
      <c r="B41" s="45" t="s">
        <v>133</v>
      </c>
      <c r="C41" s="45" t="s">
        <v>134</v>
      </c>
      <c r="D41" s="45" t="s">
        <v>135</v>
      </c>
      <c r="E41" s="1054" t="s">
        <v>429</v>
      </c>
      <c r="F41" s="1054" t="s">
        <v>430</v>
      </c>
      <c r="G41" s="1054" t="s">
        <v>431</v>
      </c>
      <c r="H41" s="1054" t="s">
        <v>432</v>
      </c>
      <c r="I41" s="1054" t="s">
        <v>433</v>
      </c>
      <c r="J41" s="1054" t="s">
        <v>434</v>
      </c>
      <c r="K41" s="1054" t="s">
        <v>435</v>
      </c>
      <c r="L41" s="1054" t="s">
        <v>414</v>
      </c>
      <c r="M41" s="39"/>
      <c r="N41" s="39"/>
      <c r="O41" s="39"/>
      <c r="P41" s="40"/>
      <c r="Q41" s="51"/>
      <c r="R41" s="51"/>
      <c r="S41" s="65"/>
      <c r="T41" s="66"/>
      <c r="U41" s="72"/>
      <c r="V41" s="623"/>
      <c r="W41" s="907"/>
      <c r="X41" s="675" t="s">
        <v>436</v>
      </c>
      <c r="Y41" s="675" t="s">
        <v>437</v>
      </c>
      <c r="Z41" s="133" t="s">
        <v>438</v>
      </c>
      <c r="AA41" s="132" t="s">
        <v>439</v>
      </c>
      <c r="AB41" s="133"/>
      <c r="AC41" s="134"/>
      <c r="AD41" s="623"/>
      <c r="AE41" s="907"/>
      <c r="AF41" s="675" t="s">
        <v>436</v>
      </c>
      <c r="AG41" s="675" t="s">
        <v>437</v>
      </c>
      <c r="AH41" s="133" t="s">
        <v>438</v>
      </c>
      <c r="AI41" s="132" t="s">
        <v>439</v>
      </c>
      <c r="AJ41" s="133"/>
      <c r="AK41" s="134"/>
      <c r="AL41" s="135"/>
      <c r="AM41" s="64"/>
      <c r="AN41" s="44"/>
      <c r="AO41" s="151"/>
      <c r="AP41" s="151"/>
      <c r="AQ41" s="151"/>
      <c r="AR41" s="151"/>
      <c r="AS41" s="503">
        <v>23</v>
      </c>
    </row>
    <row r="42" s="37" customFormat="1" ht="11.25" hidden="1" customHeight="1" spans="1:45">
      <c r="A42" s="45"/>
      <c r="B42" s="45"/>
      <c r="C42" s="45"/>
      <c r="D42" s="45"/>
      <c r="E42" s="45"/>
      <c r="F42" s="45"/>
      <c r="G42" s="45"/>
      <c r="H42" s="45"/>
      <c r="I42" s="45"/>
      <c r="J42" s="45"/>
      <c r="K42" s="45"/>
      <c r="L42" s="1054"/>
      <c r="M42" s="39"/>
      <c r="N42" s="39"/>
      <c r="O42" s="39"/>
      <c r="P42" s="74"/>
      <c r="Q42" s="75"/>
      <c r="R42" s="76">
        <v>1</v>
      </c>
      <c r="S42" s="77" t="s">
        <v>107</v>
      </c>
      <c r="T42" s="78" t="s">
        <v>108</v>
      </c>
      <c r="U42" s="79" t="str">
        <f ca="1">OFFSET(U42,0,-1)</f>
        <v>2</v>
      </c>
      <c r="V42" s="80">
        <f ca="1">OFFSET(V42,0,-1)+1</f>
        <v>3</v>
      </c>
      <c r="W42" s="80"/>
      <c r="X42" s="1142">
        <f ca="1">OFFSET(X42,0,-1)+1</f>
        <v>1</v>
      </c>
      <c r="Y42" s="1142">
        <f ca="1">OFFSET(Y42,0,-1)+1</f>
        <v>2</v>
      </c>
      <c r="Z42" s="80">
        <f ca="1">OFFSET(Z42,0,-1)+1</f>
        <v>3</v>
      </c>
      <c r="AA42" s="80">
        <f ca="1">OFFSET(AA42,0,-1)+1</f>
        <v>4</v>
      </c>
      <c r="AB42" s="80"/>
      <c r="AC42" s="80">
        <f ca="1">OFFSET(AC42,0,-2)+1</f>
        <v>5</v>
      </c>
      <c r="AD42" s="80">
        <f ca="1">OFFSET(AD42,0,-1)+1</f>
        <v>6</v>
      </c>
      <c r="AE42" s="80"/>
      <c r="AF42" s="1142">
        <f ca="1">OFFSET(AF42,0,-1)+1</f>
        <v>1</v>
      </c>
      <c r="AG42" s="1142">
        <f ca="1">OFFSET(AG42,0,-1)+1</f>
        <v>2</v>
      </c>
      <c r="AH42" s="80">
        <f ca="1">OFFSET(AH42,0,-1)+1</f>
        <v>3</v>
      </c>
      <c r="AI42" s="80">
        <f ca="1">OFFSET(AI42,0,-1)+1</f>
        <v>4</v>
      </c>
      <c r="AJ42" s="80"/>
      <c r="AK42" s="80">
        <f ca="1">OFFSET(AK42,0,-2)+1</f>
        <v>5</v>
      </c>
      <c r="AL42" s="79">
        <f ca="1">OFFSET(AL42,0,-1)</f>
        <v>5</v>
      </c>
      <c r="AM42" s="80">
        <f ca="1">OFFSET(AM42,0,-1)+1</f>
        <v>6</v>
      </c>
      <c r="AN42" s="44"/>
      <c r="AO42" s="44"/>
      <c r="AP42" s="44"/>
      <c r="AQ42" s="44"/>
      <c r="AR42" s="44"/>
      <c r="AS42" s="37">
        <v>0</v>
      </c>
    </row>
    <row r="43" ht="22.05" customHeight="1" spans="1:45">
      <c r="A43" s="46" t="s">
        <v>190</v>
      </c>
      <c r="B43" s="46"/>
      <c r="C43" s="46"/>
      <c r="D43" s="46"/>
      <c r="E43" s="1052">
        <v>1</v>
      </c>
      <c r="F43" s="46"/>
      <c r="G43" s="46"/>
      <c r="H43" s="46"/>
      <c r="I43" s="46"/>
      <c r="J43" s="46"/>
      <c r="K43" s="46"/>
      <c r="L43" s="1054"/>
      <c r="M43" s="47"/>
      <c r="N43" s="47"/>
      <c r="O43" s="47"/>
      <c r="Q43" s="81"/>
      <c r="R43" s="82"/>
      <c r="S43" s="65">
        <f>INDEX(PT_DIFFERENTIATION_NUM_NTAR,MATCH(A43,PT_DIFFERENTIATION_NTAR_ID,0))</f>
        <v>0</v>
      </c>
      <c r="T43" s="83" t="s">
        <v>121</v>
      </c>
      <c r="U43" s="84"/>
      <c r="V43" s="1090"/>
      <c r="W43" s="1061"/>
      <c r="X43" s="1061"/>
      <c r="Y43" s="1061"/>
      <c r="Z43" s="1061"/>
      <c r="AA43" s="1061"/>
      <c r="AB43" s="1061"/>
      <c r="AC43" s="1089"/>
      <c r="AD43" s="1090" t="str">
        <f>INDEX(PT_DIFFERENTIATION_NTAR,MATCH(A43,PT_DIFFERENTIATION_NTAR_ID,0))</f>
        <v/>
      </c>
      <c r="AE43" s="1061"/>
      <c r="AF43" s="1061"/>
      <c r="AG43" s="1061"/>
      <c r="AH43" s="1061"/>
      <c r="AI43" s="1061"/>
      <c r="AJ43" s="1061"/>
      <c r="AK43" s="1061"/>
      <c r="AL43" s="1089"/>
      <c r="AM43" s="1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
      <c r="AP43" s="151" t="str">
        <f t="shared" ref="AP43:AP57" si="1">IF(T43="","",T43)</f>
        <v>Наименование тарифа</v>
      </c>
      <c r="AQ43" s="151"/>
      <c r="AR43" s="151"/>
      <c r="AS43" s="43">
        <v>21</v>
      </c>
    </row>
    <row r="44" ht="22.05" customHeight="1" spans="1:45">
      <c r="A44" s="46" t="s">
        <v>190</v>
      </c>
      <c r="B44" s="46" t="s">
        <v>191</v>
      </c>
      <c r="C44" s="46"/>
      <c r="D44" s="46"/>
      <c r="E44" s="1053"/>
      <c r="F44" s="1052">
        <v>1</v>
      </c>
      <c r="G44" s="46"/>
      <c r="H44" s="46"/>
      <c r="I44" s="46"/>
      <c r="J44" s="46"/>
      <c r="K44" s="46"/>
      <c r="L44" s="1054"/>
      <c r="M44" s="47"/>
      <c r="N44" s="47"/>
      <c r="O44" s="47"/>
      <c r="P44" s="86"/>
      <c r="Q44" s="87"/>
      <c r="R44" s="88"/>
      <c r="S44" s="65" t="str">
        <f>INDEX(PT_DIFFERENTIATION_NUM_TER,MATCH(B44,PT_DIFFERENTIATION_TER_ID,0))</f>
        <v>.</v>
      </c>
      <c r="T44" s="89" t="s">
        <v>393</v>
      </c>
      <c r="U44" s="84"/>
      <c r="V44" s="1090"/>
      <c r="W44" s="1061"/>
      <c r="X44" s="1061"/>
      <c r="Y44" s="1061"/>
      <c r="Z44" s="1061"/>
      <c r="AA44" s="1061"/>
      <c r="AB44" s="1061"/>
      <c r="AC44" s="1089"/>
      <c r="AD44" s="1090" t="str">
        <f>INDEX(PT_DIFFERENTIATION_TER,MATCH(B44,PT_DIFFERENTIATION_TER_ID,0))</f>
        <v/>
      </c>
      <c r="AE44" s="1061"/>
      <c r="AF44" s="1061"/>
      <c r="AG44" s="1061"/>
      <c r="AH44" s="1061"/>
      <c r="AI44" s="1061"/>
      <c r="AJ44" s="1061"/>
      <c r="AK44" s="1061"/>
      <c r="AL44" s="1089"/>
      <c r="AM44" s="136" t="s">
        <v>394</v>
      </c>
      <c r="AO44" s="151"/>
      <c r="AP44" s="151" t="str">
        <f t="shared" si="1"/>
        <v>Территория действия тарифа</v>
      </c>
      <c r="AQ44" s="151"/>
      <c r="AR44" s="151"/>
      <c r="AS44" s="43">
        <v>21</v>
      </c>
    </row>
    <row r="45" ht="24" customHeight="1" spans="1:45">
      <c r="A45" s="46" t="s">
        <v>190</v>
      </c>
      <c r="B45" s="46" t="s">
        <v>191</v>
      </c>
      <c r="C45" s="46" t="s">
        <v>192</v>
      </c>
      <c r="D45" s="46"/>
      <c r="E45" s="1053"/>
      <c r="F45" s="1053"/>
      <c r="G45" s="1052">
        <v>1</v>
      </c>
      <c r="H45" s="46"/>
      <c r="I45" s="46"/>
      <c r="J45" s="46"/>
      <c r="K45" s="46"/>
      <c r="L45" s="1054"/>
      <c r="M45" s="47"/>
      <c r="N45" s="47"/>
      <c r="O45" s="47"/>
      <c r="P45" s="90"/>
      <c r="Q45" s="87"/>
      <c r="R45" s="88"/>
      <c r="S45" s="65" t="str">
        <f>INDEX(PT_DIFFERENTIATION_NUM_CS,MATCH(C45,PT_DIFFERENTIATION_CS_ID,0))</f>
        <v>..</v>
      </c>
      <c r="T45" s="91" t="s">
        <v>395</v>
      </c>
      <c r="U45" s="84"/>
      <c r="V45" s="1090"/>
      <c r="W45" s="1061"/>
      <c r="X45" s="1061"/>
      <c r="Y45" s="1061"/>
      <c r="Z45" s="1061"/>
      <c r="AA45" s="1061"/>
      <c r="AB45" s="1061"/>
      <c r="AC45" s="1089"/>
      <c r="AD45" s="1090" t="str">
        <f>INDEX(PT_DIFFERENTIATION_CS,MATCH(C45,PT_DIFFERENTIATION_CS_ID,0))</f>
        <v/>
      </c>
      <c r="AE45" s="1061"/>
      <c r="AF45" s="1061"/>
      <c r="AG45" s="1061"/>
      <c r="AH45" s="1061"/>
      <c r="AI45" s="1061"/>
      <c r="AJ45" s="1061"/>
      <c r="AK45" s="1061"/>
      <c r="AL45" s="1089"/>
      <c r="AM45" s="136" t="s">
        <v>396</v>
      </c>
      <c r="AO45" s="151"/>
      <c r="AP45" s="151" t="str">
        <f t="shared" si="1"/>
        <v>Наименование системы теплоснабжения </v>
      </c>
      <c r="AQ45" s="151"/>
      <c r="AR45" s="151"/>
      <c r="AS45" s="43">
        <v>23</v>
      </c>
    </row>
    <row r="46" ht="22.05" customHeight="1" spans="1:45">
      <c r="A46" s="46" t="s">
        <v>190</v>
      </c>
      <c r="B46" s="46" t="s">
        <v>191</v>
      </c>
      <c r="C46" s="46" t="s">
        <v>192</v>
      </c>
      <c r="D46" s="46" t="s">
        <v>193</v>
      </c>
      <c r="E46" s="1053"/>
      <c r="F46" s="1053"/>
      <c r="G46" s="1053"/>
      <c r="H46" s="1052">
        <v>1</v>
      </c>
      <c r="I46" s="46"/>
      <c r="J46" s="46"/>
      <c r="K46" s="46"/>
      <c r="L46" s="1054"/>
      <c r="M46" s="47"/>
      <c r="N46" s="47"/>
      <c r="O46" s="47"/>
      <c r="P46" s="90"/>
      <c r="Q46" s="87"/>
      <c r="R46" s="88"/>
      <c r="S46" s="65" t="str">
        <f>INDEX(PT_DIFFERENTIATION_NUM_IST_TE,MATCH(D46,PT_DIFFERENTIATION_IST_TE_ID,0))</f>
        <v>...</v>
      </c>
      <c r="T46" s="92" t="s">
        <v>397</v>
      </c>
      <c r="U46" s="84"/>
      <c r="V46" s="1090"/>
      <c r="W46" s="1061"/>
      <c r="X46" s="1061"/>
      <c r="Y46" s="1061"/>
      <c r="Z46" s="1061"/>
      <c r="AA46" s="1061"/>
      <c r="AB46" s="1061"/>
      <c r="AC46" s="1089"/>
      <c r="AD46" s="1090" t="str">
        <f>INDEX(PT_DIFFERENTIATION_IST_TE,MATCH(D46,PT_DIFFERENTIATION_IST_TE_ID,0))</f>
        <v/>
      </c>
      <c r="AE46" s="1061"/>
      <c r="AF46" s="1061"/>
      <c r="AG46" s="1061"/>
      <c r="AH46" s="1061"/>
      <c r="AI46" s="1061"/>
      <c r="AJ46" s="1061"/>
      <c r="AK46" s="1061"/>
      <c r="AL46" s="1089"/>
      <c r="AM46" s="136" t="s">
        <v>398</v>
      </c>
      <c r="AO46" s="151"/>
      <c r="AP46" s="151" t="str">
        <f t="shared" si="1"/>
        <v>Источник тепловой энергии  </v>
      </c>
      <c r="AQ46" s="151"/>
      <c r="AR46" s="151"/>
      <c r="AS46" s="43">
        <v>21</v>
      </c>
    </row>
    <row r="47" ht="49.5" customHeight="1" spans="1:45">
      <c r="A47" s="46" t="s">
        <v>190</v>
      </c>
      <c r="B47" s="46" t="s">
        <v>191</v>
      </c>
      <c r="C47" s="46" t="s">
        <v>192</v>
      </c>
      <c r="D47" s="46" t="s">
        <v>193</v>
      </c>
      <c r="E47" s="1053"/>
      <c r="F47" s="1053"/>
      <c r="G47" s="1053"/>
      <c r="H47" s="1053"/>
      <c r="I47" s="229" t="str">
        <f>S46&amp;".1"</f>
        <v>....1</v>
      </c>
      <c r="J47" s="46"/>
      <c r="K47" s="46"/>
      <c r="L47" s="1054" t="s">
        <v>399</v>
      </c>
      <c r="P47" s="93">
        <v>1</v>
      </c>
      <c r="Q47" s="93"/>
      <c r="R47" s="94"/>
      <c r="S47" s="65" t="str">
        <f>$I47</f>
        <v>....1</v>
      </c>
      <c r="T47" s="95" t="s">
        <v>400</v>
      </c>
      <c r="U47" s="84"/>
      <c r="V47" s="99"/>
      <c r="W47" s="100"/>
      <c r="X47" s="100"/>
      <c r="Y47" s="100"/>
      <c r="Z47" s="100"/>
      <c r="AA47" s="100"/>
      <c r="AB47" s="100"/>
      <c r="AC47" s="137"/>
      <c r="AD47" s="99"/>
      <c r="AE47" s="100"/>
      <c r="AF47" s="100"/>
      <c r="AG47" s="100"/>
      <c r="AH47" s="100"/>
      <c r="AI47" s="100"/>
      <c r="AJ47" s="100"/>
      <c r="AK47" s="100"/>
      <c r="AL47" s="137"/>
      <c r="AM47" s="136" t="s">
        <v>401</v>
      </c>
      <c r="AO47" s="151"/>
      <c r="AP47" s="151" t="str">
        <f t="shared" si="1"/>
        <v>Схема подключения теплопотребляющей установки к коллектору источника тепловой энергии</v>
      </c>
      <c r="AQ47" s="151"/>
      <c r="AR47" s="151"/>
      <c r="AS47" s="43">
        <v>47</v>
      </c>
    </row>
    <row r="48" ht="22.05" customHeight="1" spans="1:45">
      <c r="A48" s="46" t="s">
        <v>190</v>
      </c>
      <c r="B48" s="46" t="s">
        <v>191</v>
      </c>
      <c r="C48" s="46" t="s">
        <v>192</v>
      </c>
      <c r="D48" s="46" t="s">
        <v>193</v>
      </c>
      <c r="E48" s="1053"/>
      <c r="F48" s="1053"/>
      <c r="G48" s="1053"/>
      <c r="H48" s="1053"/>
      <c r="I48" s="1058"/>
      <c r="J48" s="229" t="str">
        <f>I47&amp;".1"</f>
        <v>....1.1</v>
      </c>
      <c r="K48" s="46"/>
      <c r="L48" s="1054" t="s">
        <v>402</v>
      </c>
      <c r="P48" s="93"/>
      <c r="Q48" s="93">
        <v>1</v>
      </c>
      <c r="R48" s="97"/>
      <c r="S48" s="65" t="str">
        <f>$J48</f>
        <v>....1.1</v>
      </c>
      <c r="T48" s="98" t="s">
        <v>403</v>
      </c>
      <c r="U48" s="84"/>
      <c r="V48" s="99"/>
      <c r="W48" s="100"/>
      <c r="X48" s="100"/>
      <c r="Y48" s="100"/>
      <c r="Z48" s="100"/>
      <c r="AA48" s="100"/>
      <c r="AB48" s="100"/>
      <c r="AC48" s="137"/>
      <c r="AD48" s="99"/>
      <c r="AE48" s="100"/>
      <c r="AF48" s="100"/>
      <c r="AG48" s="100"/>
      <c r="AH48" s="100"/>
      <c r="AI48" s="100"/>
      <c r="AJ48" s="100"/>
      <c r="AK48" s="100"/>
      <c r="AL48" s="137"/>
      <c r="AM48" s="136" t="s">
        <v>404</v>
      </c>
      <c r="AO48" s="151"/>
      <c r="AP48" s="151" t="str">
        <f t="shared" si="1"/>
        <v>Группа потребителей</v>
      </c>
      <c r="AQ48" s="151"/>
      <c r="AR48" s="151"/>
      <c r="AS48" s="43">
        <v>21</v>
      </c>
    </row>
    <row r="49" ht="22.05" customHeight="1" spans="1:45">
      <c r="A49" s="46" t="s">
        <v>190</v>
      </c>
      <c r="B49" s="46" t="s">
        <v>191</v>
      </c>
      <c r="C49" s="46" t="s">
        <v>192</v>
      </c>
      <c r="D49" s="46" t="s">
        <v>193</v>
      </c>
      <c r="E49" s="1053"/>
      <c r="F49" s="1053"/>
      <c r="G49" s="1053"/>
      <c r="H49" s="1053"/>
      <c r="I49" s="1058"/>
      <c r="J49" s="1058"/>
      <c r="K49" s="229" t="str">
        <f>J48&amp;".1"</f>
        <v>....1.1.1</v>
      </c>
      <c r="L49" s="1054" t="s">
        <v>405</v>
      </c>
      <c r="P49" s="93"/>
      <c r="Q49" s="93"/>
      <c r="R49" s="97">
        <v>1</v>
      </c>
      <c r="S49" s="65" t="str">
        <f>$K49</f>
        <v>....1.1.1</v>
      </c>
      <c r="T49" s="101"/>
      <c r="U49" s="84"/>
      <c r="V49" s="103"/>
      <c r="W49" s="102"/>
      <c r="X49" s="103"/>
      <c r="Y49" s="1119"/>
      <c r="Z49" s="139"/>
      <c r="AA49" s="140" t="s">
        <v>66</v>
      </c>
      <c r="AB49" s="139"/>
      <c r="AC49" s="140" t="s">
        <v>66</v>
      </c>
      <c r="AD49" s="103"/>
      <c r="AE49" s="102"/>
      <c r="AF49" s="103"/>
      <c r="AG49" s="1119"/>
      <c r="AH49" s="139"/>
      <c r="AI49" s="140" t="s">
        <v>66</v>
      </c>
      <c r="AJ49" s="1137"/>
      <c r="AK49" s="140" t="s">
        <v>66</v>
      </c>
      <c r="AL49" s="1120"/>
      <c r="AM49" s="141" t="s">
        <v>406</v>
      </c>
      <c r="AN49" s="44" t="e">
        <f>STRCHECKDATE(V50:AL50)</f>
        <v>#NAME?</v>
      </c>
      <c r="AO49" s="151"/>
      <c r="AP49" s="151" t="str">
        <f t="shared" si="1"/>
        <v/>
      </c>
      <c r="AQ49" s="151"/>
      <c r="AR49" s="151"/>
      <c r="AS49" s="43">
        <v>21</v>
      </c>
    </row>
    <row r="50" ht="1.05" customHeight="1" spans="1:45">
      <c r="A50" s="46" t="s">
        <v>190</v>
      </c>
      <c r="B50" s="46" t="s">
        <v>191</v>
      </c>
      <c r="C50" s="46" t="s">
        <v>192</v>
      </c>
      <c r="D50" s="46" t="s">
        <v>193</v>
      </c>
      <c r="E50" s="1053"/>
      <c r="F50" s="1053"/>
      <c r="G50" s="1053"/>
      <c r="H50" s="1053"/>
      <c r="I50" s="1058"/>
      <c r="J50" s="1058"/>
      <c r="K50" s="229"/>
      <c r="L50" s="1054"/>
      <c r="P50" s="93"/>
      <c r="Q50" s="93"/>
      <c r="R50" s="97"/>
      <c r="S50" s="104"/>
      <c r="T50" s="84"/>
      <c r="U50" s="84"/>
      <c r="V50" s="103"/>
      <c r="W50" s="103"/>
      <c r="X50" s="103"/>
      <c r="Y50" s="142" t="str">
        <f>Z49&amp;"-"&amp;AB49</f>
        <v>-</v>
      </c>
      <c r="Z50" s="143"/>
      <c r="AA50" s="140"/>
      <c r="AB50" s="143"/>
      <c r="AC50" s="140"/>
      <c r="AD50" s="103"/>
      <c r="AE50" s="103"/>
      <c r="AF50" s="103"/>
      <c r="AG50" s="142" t="str">
        <f>AH49&amp;"-"&amp;AJ49</f>
        <v>-</v>
      </c>
      <c r="AH50" s="143"/>
      <c r="AI50" s="140"/>
      <c r="AJ50" s="1140"/>
      <c r="AK50" s="140"/>
      <c r="AL50" s="1163"/>
      <c r="AM50" s="144"/>
      <c r="AO50" s="151"/>
      <c r="AP50" s="151" t="str">
        <f t="shared" si="1"/>
        <v/>
      </c>
      <c r="AQ50" s="151"/>
      <c r="AR50" s="151"/>
      <c r="AS50" s="43">
        <v>1</v>
      </c>
    </row>
    <row r="51" ht="11.55" customHeight="1" spans="1:45">
      <c r="A51" s="46" t="s">
        <v>190</v>
      </c>
      <c r="B51" s="46" t="s">
        <v>191</v>
      </c>
      <c r="C51" s="46" t="s">
        <v>192</v>
      </c>
      <c r="D51" s="46" t="s">
        <v>193</v>
      </c>
      <c r="E51" s="1053"/>
      <c r="F51" s="1053"/>
      <c r="G51" s="1053"/>
      <c r="H51" s="1053"/>
      <c r="I51" s="1058"/>
      <c r="J51" s="229"/>
      <c r="K51" s="46"/>
      <c r="L51" s="1054"/>
      <c r="P51" s="93"/>
      <c r="Q51" s="93"/>
      <c r="R51" s="94"/>
      <c r="S51" s="105"/>
      <c r="T51" s="106" t="s">
        <v>407</v>
      </c>
      <c r="U51" s="107"/>
      <c r="V51" s="107"/>
      <c r="W51" s="107"/>
      <c r="X51" s="107"/>
      <c r="Y51" s="107"/>
      <c r="Z51" s="107"/>
      <c r="AA51" s="107"/>
      <c r="AB51" s="107"/>
      <c r="AC51" s="107"/>
      <c r="AD51" s="107"/>
      <c r="AE51" s="107"/>
      <c r="AF51" s="107"/>
      <c r="AG51" s="107"/>
      <c r="AH51" s="107"/>
      <c r="AI51" s="107"/>
      <c r="AJ51" s="107"/>
      <c r="AK51" s="107"/>
      <c r="AL51" s="145"/>
      <c r="AM51" s="146"/>
      <c r="AO51" s="151"/>
      <c r="AP51" s="151" t="str">
        <f t="shared" si="1"/>
        <v>Добавить вид теплоносителя (параметры теплоносителя)</v>
      </c>
      <c r="AQ51" s="151"/>
      <c r="AR51" s="151"/>
      <c r="AS51" s="43">
        <v>11</v>
      </c>
    </row>
    <row r="52" ht="11.55" customHeight="1" spans="1:45">
      <c r="A52" s="46" t="s">
        <v>190</v>
      </c>
      <c r="B52" s="46" t="s">
        <v>191</v>
      </c>
      <c r="C52" s="46" t="s">
        <v>192</v>
      </c>
      <c r="D52" s="46" t="s">
        <v>193</v>
      </c>
      <c r="E52" s="1053"/>
      <c r="F52" s="1053"/>
      <c r="G52" s="1053"/>
      <c r="H52" s="1053"/>
      <c r="I52" s="229"/>
      <c r="J52" s="46"/>
      <c r="K52" s="46"/>
      <c r="L52" s="1054"/>
      <c r="P52" s="93"/>
      <c r="Q52" s="93"/>
      <c r="R52" s="94"/>
      <c r="S52" s="105"/>
      <c r="T52" s="108" t="s">
        <v>408</v>
      </c>
      <c r="U52" s="107"/>
      <c r="V52" s="107"/>
      <c r="W52" s="107"/>
      <c r="X52" s="107"/>
      <c r="Y52" s="107"/>
      <c r="Z52" s="107"/>
      <c r="AA52" s="107"/>
      <c r="AB52" s="107"/>
      <c r="AC52" s="147"/>
      <c r="AD52" s="107"/>
      <c r="AE52" s="107"/>
      <c r="AF52" s="107"/>
      <c r="AG52" s="107"/>
      <c r="AH52" s="107"/>
      <c r="AI52" s="107"/>
      <c r="AJ52" s="107"/>
      <c r="AK52" s="147"/>
      <c r="AL52" s="107"/>
      <c r="AM52" s="148"/>
      <c r="AO52" s="151"/>
      <c r="AP52" s="151" t="str">
        <f t="shared" si="1"/>
        <v>Добавить группу потребителей</v>
      </c>
      <c r="AQ52" s="151"/>
      <c r="AR52" s="151"/>
      <c r="AS52" s="43">
        <v>11</v>
      </c>
    </row>
    <row r="53" ht="14.7" customHeight="1" spans="1:45">
      <c r="A53" s="46" t="s">
        <v>190</v>
      </c>
      <c r="B53" s="46" t="s">
        <v>191</v>
      </c>
      <c r="C53" s="46" t="s">
        <v>192</v>
      </c>
      <c r="D53" s="46" t="s">
        <v>193</v>
      </c>
      <c r="E53" s="1053"/>
      <c r="F53" s="1053"/>
      <c r="G53" s="1053"/>
      <c r="H53" s="1052"/>
      <c r="I53" s="46"/>
      <c r="J53" s="46"/>
      <c r="K53" s="46"/>
      <c r="L53" s="1054"/>
      <c r="M53" s="47"/>
      <c r="N53" s="47"/>
      <c r="O53" s="38"/>
      <c r="P53" s="81"/>
      <c r="Q53" s="109"/>
      <c r="R53" s="82"/>
      <c r="S53" s="105"/>
      <c r="T53" s="110" t="s">
        <v>409</v>
      </c>
      <c r="U53" s="107"/>
      <c r="V53" s="107"/>
      <c r="W53" s="107"/>
      <c r="X53" s="107"/>
      <c r="Y53" s="107"/>
      <c r="Z53" s="107"/>
      <c r="AA53" s="107"/>
      <c r="AB53" s="107"/>
      <c r="AC53" s="147"/>
      <c r="AD53" s="107"/>
      <c r="AE53" s="107"/>
      <c r="AF53" s="107"/>
      <c r="AG53" s="107"/>
      <c r="AH53" s="107"/>
      <c r="AI53" s="107"/>
      <c r="AJ53" s="107"/>
      <c r="AK53" s="147"/>
      <c r="AL53" s="107"/>
      <c r="AM53" s="148"/>
      <c r="AO53" s="151"/>
      <c r="AP53" s="151" t="str">
        <f t="shared" si="1"/>
        <v>Добавить схему подключения</v>
      </c>
      <c r="AQ53" s="151"/>
      <c r="AR53" s="151"/>
      <c r="AS53" s="43">
        <v>14</v>
      </c>
    </row>
    <row r="54" s="44" customFormat="1" ht="1.05" customHeight="1" spans="1:45">
      <c r="A54" s="590" t="s">
        <v>190</v>
      </c>
      <c r="B54" s="590" t="s">
        <v>191</v>
      </c>
      <c r="C54" s="590" t="s">
        <v>192</v>
      </c>
      <c r="D54" s="590"/>
      <c r="E54" s="1053"/>
      <c r="F54" s="1053"/>
      <c r="G54" s="1052"/>
      <c r="H54" s="590"/>
      <c r="I54" s="590"/>
      <c r="J54" s="590"/>
      <c r="K54" s="590"/>
      <c r="L54" s="611"/>
      <c r="M54" s="283"/>
      <c r="N54" s="283"/>
      <c r="P54" s="152"/>
      <c r="Q54" s="1082"/>
      <c r="R54" s="152"/>
      <c r="S54" s="1084"/>
      <c r="T54" s="1085" t="s">
        <v>410</v>
      </c>
      <c r="U54" s="307"/>
      <c r="V54" s="307"/>
      <c r="W54" s="307"/>
      <c r="X54" s="307"/>
      <c r="Y54" s="307"/>
      <c r="Z54" s="307"/>
      <c r="AA54" s="307"/>
      <c r="AB54" s="307"/>
      <c r="AC54" s="307"/>
      <c r="AD54" s="307"/>
      <c r="AE54" s="307"/>
      <c r="AF54" s="307"/>
      <c r="AG54" s="307"/>
      <c r="AH54" s="307"/>
      <c r="AI54" s="307"/>
      <c r="AJ54" s="307"/>
      <c r="AK54" s="307"/>
      <c r="AL54" s="307"/>
      <c r="AM54" s="307"/>
      <c r="AO54" s="151"/>
      <c r="AP54" s="151" t="str">
        <f t="shared" si="1"/>
        <v>Добавить источник для дифференциации</v>
      </c>
      <c r="AQ54" s="151"/>
      <c r="AR54" s="151"/>
      <c r="AS54" s="44">
        <v>1</v>
      </c>
    </row>
    <row r="55" s="44" customFormat="1" ht="1.05" customHeight="1" spans="1:45">
      <c r="A55" s="590" t="s">
        <v>190</v>
      </c>
      <c r="B55" s="590" t="s">
        <v>191</v>
      </c>
      <c r="C55" s="590"/>
      <c r="D55" s="590"/>
      <c r="E55" s="1053"/>
      <c r="F55" s="1052"/>
      <c r="G55" s="590"/>
      <c r="H55" s="590"/>
      <c r="I55" s="590"/>
      <c r="J55" s="590"/>
      <c r="K55" s="590"/>
      <c r="L55" s="611"/>
      <c r="M55" s="1059"/>
      <c r="N55" s="1059"/>
      <c r="P55" s="152"/>
      <c r="Q55" s="1082"/>
      <c r="R55" s="152"/>
      <c r="S55" s="1084"/>
      <c r="T55" s="1085" t="s">
        <v>411</v>
      </c>
      <c r="U55" s="307"/>
      <c r="V55" s="307"/>
      <c r="W55" s="307"/>
      <c r="X55" s="307"/>
      <c r="Y55" s="307"/>
      <c r="Z55" s="307"/>
      <c r="AA55" s="307"/>
      <c r="AB55" s="307"/>
      <c r="AC55" s="307"/>
      <c r="AD55" s="307"/>
      <c r="AE55" s="307"/>
      <c r="AF55" s="307"/>
      <c r="AG55" s="307"/>
      <c r="AH55" s="307"/>
      <c r="AI55" s="307"/>
      <c r="AJ55" s="307"/>
      <c r="AK55" s="307"/>
      <c r="AL55" s="307"/>
      <c r="AM55" s="307"/>
      <c r="AO55" s="151"/>
      <c r="AP55" s="151" t="str">
        <f t="shared" si="1"/>
        <v>Добавить централизованную систему для дифференциации</v>
      </c>
      <c r="AQ55" s="151"/>
      <c r="AR55" s="151"/>
      <c r="AS55" s="44">
        <v>1</v>
      </c>
    </row>
    <row r="56" s="44" customFormat="1" ht="1.05" customHeight="1" spans="1:45">
      <c r="A56" s="590" t="s">
        <v>190</v>
      </c>
      <c r="B56" s="590"/>
      <c r="C56" s="590"/>
      <c r="D56" s="590"/>
      <c r="E56" s="1052"/>
      <c r="F56" s="590"/>
      <c r="G56" s="590"/>
      <c r="H56" s="590"/>
      <c r="I56" s="590"/>
      <c r="J56" s="590"/>
      <c r="K56" s="590"/>
      <c r="L56" s="611"/>
      <c r="M56" s="1059"/>
      <c r="N56" s="1059"/>
      <c r="P56" s="152"/>
      <c r="Q56" s="1082"/>
      <c r="R56" s="152"/>
      <c r="S56" s="1084"/>
      <c r="T56" s="1085" t="s">
        <v>412</v>
      </c>
      <c r="U56" s="307"/>
      <c r="V56" s="307"/>
      <c r="W56" s="307"/>
      <c r="X56" s="307"/>
      <c r="Y56" s="307"/>
      <c r="Z56" s="307"/>
      <c r="AA56" s="307"/>
      <c r="AB56" s="307"/>
      <c r="AC56" s="307"/>
      <c r="AD56" s="307"/>
      <c r="AE56" s="307"/>
      <c r="AF56" s="307"/>
      <c r="AG56" s="307"/>
      <c r="AH56" s="307"/>
      <c r="AI56" s="307"/>
      <c r="AJ56" s="307"/>
      <c r="AK56" s="307"/>
      <c r="AL56" s="307"/>
      <c r="AM56" s="307"/>
      <c r="AO56" s="151"/>
      <c r="AP56" s="151" t="str">
        <f t="shared" si="1"/>
        <v>Добавить территорию для дифференциации</v>
      </c>
      <c r="AQ56" s="151"/>
      <c r="AR56" s="151"/>
      <c r="AS56" s="44">
        <v>1</v>
      </c>
    </row>
    <row r="57" s="44" customFormat="1" ht="1.05" customHeight="1" spans="1:45">
      <c r="A57" s="590"/>
      <c r="B57" s="590"/>
      <c r="C57" s="590"/>
      <c r="D57" s="590"/>
      <c r="E57" s="590"/>
      <c r="F57" s="590"/>
      <c r="G57" s="590"/>
      <c r="H57" s="590"/>
      <c r="I57" s="590"/>
      <c r="J57" s="590"/>
      <c r="K57" s="590"/>
      <c r="L57" s="611"/>
      <c r="M57" s="1059"/>
      <c r="N57" s="1059"/>
      <c r="P57" s="152"/>
      <c r="Q57" s="1082"/>
      <c r="R57" s="152"/>
      <c r="S57" s="1084"/>
      <c r="T57" s="1085" t="s">
        <v>440</v>
      </c>
      <c r="U57" s="307"/>
      <c r="V57" s="307"/>
      <c r="W57" s="307"/>
      <c r="X57" s="307"/>
      <c r="Y57" s="307"/>
      <c r="Z57" s="307"/>
      <c r="AA57" s="307"/>
      <c r="AB57" s="307"/>
      <c r="AC57" s="307"/>
      <c r="AD57" s="307"/>
      <c r="AE57" s="307"/>
      <c r="AF57" s="307"/>
      <c r="AG57" s="307"/>
      <c r="AH57" s="307"/>
      <c r="AI57" s="307"/>
      <c r="AJ57" s="307"/>
      <c r="AK57" s="307"/>
      <c r="AL57" s="307"/>
      <c r="AM57" s="307"/>
      <c r="AO57" s="151"/>
      <c r="AP57" s="151" t="str">
        <f t="shared" si="1"/>
        <v>Добавить наименование тарифа</v>
      </c>
      <c r="AQ57" s="151"/>
      <c r="AR57" s="151"/>
      <c r="AS57" s="44">
        <v>1</v>
      </c>
    </row>
    <row r="58" ht="11.55" customHeight="1" spans="13:45">
      <c r="M58" s="38"/>
      <c r="N58" s="38"/>
      <c r="O58" s="38"/>
      <c r="P58" s="43"/>
      <c r="Q58" s="43"/>
      <c r="R58" s="43"/>
      <c r="S58" s="43"/>
      <c r="AN58" s="43"/>
      <c r="AO58" s="43"/>
      <c r="AP58" s="43"/>
      <c r="AQ58" s="43"/>
      <c r="AR58" s="43"/>
      <c r="AS58" s="43">
        <v>11</v>
      </c>
    </row>
    <row r="59" ht="28.5" customHeight="1" spans="15:45">
      <c r="O59" s="38"/>
      <c r="S59" s="786"/>
      <c r="T59" s="120"/>
      <c r="U59" s="120"/>
      <c r="V59" s="120"/>
      <c r="W59" s="120"/>
      <c r="X59" s="120"/>
      <c r="Y59" s="120"/>
      <c r="Z59" s="120"/>
      <c r="AA59" s="120"/>
      <c r="AB59" s="120"/>
      <c r="AC59" s="120"/>
      <c r="AD59" s="120"/>
      <c r="AE59" s="120"/>
      <c r="AF59" s="120"/>
      <c r="AG59" s="120"/>
      <c r="AH59" s="120"/>
      <c r="AI59" s="120"/>
      <c r="AJ59" s="120"/>
      <c r="AK59" s="120"/>
      <c r="AL59" s="120"/>
      <c r="AM59" s="120"/>
      <c r="AS59" s="43">
        <v>27</v>
      </c>
    </row>
    <row r="60" ht="78.75" customHeight="1" spans="15:45">
      <c r="O60" s="38"/>
      <c r="T60" s="120"/>
      <c r="U60" s="120"/>
      <c r="V60" s="120"/>
      <c r="W60" s="120"/>
      <c r="X60" s="120"/>
      <c r="Y60" s="120"/>
      <c r="Z60" s="120"/>
      <c r="AA60" s="120"/>
      <c r="AB60" s="120"/>
      <c r="AC60" s="120"/>
      <c r="AD60" s="120"/>
      <c r="AE60" s="120"/>
      <c r="AF60" s="120"/>
      <c r="AG60" s="120"/>
      <c r="AH60" s="120"/>
      <c r="AI60" s="120"/>
      <c r="AJ60" s="120"/>
      <c r="AK60" s="120"/>
      <c r="AL60" s="120"/>
      <c r="AM60" s="120"/>
      <c r="AS60" s="43">
        <v>75</v>
      </c>
    </row>
    <row r="61" ht="14.7" customHeight="1" spans="15:45">
      <c r="O61" s="38"/>
      <c r="AS61" s="43">
        <v>14</v>
      </c>
    </row>
    <row r="62" ht="18.75" customHeight="1" spans="15:45">
      <c r="O62" s="38"/>
      <c r="S62" s="786"/>
      <c r="T62" s="120"/>
      <c r="U62" s="120"/>
      <c r="V62" s="120"/>
      <c r="W62" s="120"/>
      <c r="X62" s="120"/>
      <c r="Y62" s="120"/>
      <c r="Z62" s="120"/>
      <c r="AA62" s="120"/>
      <c r="AB62" s="120"/>
      <c r="AC62" s="120"/>
      <c r="AD62" s="120"/>
      <c r="AE62" s="120"/>
      <c r="AF62" s="120"/>
      <c r="AG62" s="120"/>
      <c r="AH62" s="120"/>
      <c r="AI62" s="120"/>
      <c r="AJ62" s="120"/>
      <c r="AK62" s="120"/>
      <c r="AL62" s="120"/>
      <c r="AM62" s="120"/>
      <c r="AS62" s="43">
        <v>18</v>
      </c>
    </row>
    <row r="63" ht="18.75" customHeight="1" spans="15:45">
      <c r="O63" s="38"/>
      <c r="T63" s="120"/>
      <c r="U63" s="120"/>
      <c r="V63" s="120"/>
      <c r="W63" s="120"/>
      <c r="X63" s="120"/>
      <c r="Y63" s="120"/>
      <c r="Z63" s="120"/>
      <c r="AA63" s="120"/>
      <c r="AB63" s="120"/>
      <c r="AC63" s="120"/>
      <c r="AD63" s="120"/>
      <c r="AE63" s="120"/>
      <c r="AF63" s="120"/>
      <c r="AG63" s="120"/>
      <c r="AH63" s="120"/>
      <c r="AI63" s="120"/>
      <c r="AJ63" s="120"/>
      <c r="AK63" s="120"/>
      <c r="AL63" s="120"/>
      <c r="AM63" s="120"/>
      <c r="AS63" s="43">
        <v>18</v>
      </c>
    </row>
    <row r="64" ht="39.75" customHeight="1" spans="15:45">
      <c r="O64" s="38"/>
      <c r="S64" s="786"/>
      <c r="T64" s="120"/>
      <c r="U64" s="120"/>
      <c r="V64" s="120"/>
      <c r="W64" s="120"/>
      <c r="X64" s="120"/>
      <c r="Y64" s="120"/>
      <c r="Z64" s="120"/>
      <c r="AA64" s="120"/>
      <c r="AB64" s="120"/>
      <c r="AC64" s="120"/>
      <c r="AD64" s="120"/>
      <c r="AE64" s="120"/>
      <c r="AF64" s="120"/>
      <c r="AG64" s="120"/>
      <c r="AH64" s="120"/>
      <c r="AI64" s="120"/>
      <c r="AJ64" s="120"/>
      <c r="AK64" s="120"/>
      <c r="AL64" s="120"/>
      <c r="AM64" s="120"/>
      <c r="AS64" s="43">
        <v>38</v>
      </c>
    </row>
    <row r="65" ht="22.5" hidden="1" customHeight="1" spans="1:45">
      <c r="A65" s="38" t="s">
        <v>83</v>
      </c>
      <c r="B65" s="38">
        <v>0</v>
      </c>
      <c r="C65" s="38">
        <v>0</v>
      </c>
      <c r="D65" s="38">
        <v>0</v>
      </c>
      <c r="E65" s="38">
        <v>0</v>
      </c>
      <c r="F65" s="38">
        <v>0</v>
      </c>
      <c r="G65" s="38">
        <v>0</v>
      </c>
      <c r="H65" s="38">
        <v>0</v>
      </c>
      <c r="I65" s="38">
        <v>0</v>
      </c>
      <c r="J65" s="38">
        <v>0</v>
      </c>
      <c r="K65" s="38">
        <v>0</v>
      </c>
      <c r="L65" s="48">
        <v>0</v>
      </c>
      <c r="M65" s="39">
        <v>0</v>
      </c>
      <c r="N65" s="39">
        <v>0</v>
      </c>
      <c r="O65" s="39">
        <v>0</v>
      </c>
      <c r="P65" s="40">
        <v>3</v>
      </c>
      <c r="Q65" s="41">
        <v>3</v>
      </c>
      <c r="R65" s="41">
        <v>3</v>
      </c>
      <c r="S65" s="42">
        <v>12</v>
      </c>
      <c r="T65" s="43">
        <v>31</v>
      </c>
      <c r="U65" s="43">
        <v>0</v>
      </c>
      <c r="V65" s="43">
        <v>0</v>
      </c>
      <c r="W65" s="43">
        <v>0</v>
      </c>
      <c r="X65" s="43">
        <v>0</v>
      </c>
      <c r="Y65" s="43">
        <v>0</v>
      </c>
      <c r="Z65" s="43">
        <v>0</v>
      </c>
      <c r="AA65" s="43">
        <v>0</v>
      </c>
      <c r="AB65" s="43">
        <v>0</v>
      </c>
      <c r="AC65" s="43">
        <v>0</v>
      </c>
      <c r="AD65" s="43">
        <v>0</v>
      </c>
      <c r="AE65" s="43">
        <v>24</v>
      </c>
      <c r="AF65" s="43">
        <v>0</v>
      </c>
      <c r="AG65" s="43">
        <v>0</v>
      </c>
      <c r="AH65" s="43">
        <v>11</v>
      </c>
      <c r="AI65" s="43">
        <v>3</v>
      </c>
      <c r="AJ65" s="43">
        <v>11</v>
      </c>
      <c r="AK65" s="43">
        <v>0</v>
      </c>
      <c r="AL65" s="43">
        <v>4</v>
      </c>
      <c r="AM65" s="43">
        <v>115</v>
      </c>
      <c r="AN65" s="44">
        <v>10</v>
      </c>
      <c r="AO65" s="44">
        <v>10</v>
      </c>
      <c r="AP65" s="44">
        <v>10</v>
      </c>
      <c r="AQ65" s="44">
        <v>10</v>
      </c>
      <c r="AR65" s="44">
        <v>10</v>
      </c>
      <c r="AS65" s="43">
        <v>23</v>
      </c>
    </row>
  </sheetData>
  <sheetProtection formatColumns="0" formatRows="0" insertRows="0" deleteColumns="0" deleteRows="0" sort="0" autoFilter="0"/>
  <mergeCells count="110">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Z40:AB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6"/>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71428571428571" style="40" hidden="1" customWidth="1"/>
    <col min="17" max="18" width="3" style="41" customWidth="1"/>
    <col min="19" max="19" width="12" style="42" customWidth="1"/>
    <col min="20" max="20" width="31" style="43" customWidth="1"/>
    <col min="21" max="21" width="0.142857142857143" style="43" customWidth="1"/>
    <col min="22" max="22" width="24.7142857142857" style="43" hidden="1" customWidth="1"/>
    <col min="23" max="23" width="0.142857142857143" style="43" hidden="1" customWidth="1"/>
    <col min="24" max="25" width="24.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24.7142857142857" style="43" customWidth="1"/>
    <col min="31" max="31" width="0.142857142857143" style="43" customWidth="1"/>
    <col min="32" max="33" width="24" style="43" customWidth="1"/>
    <col min="34" max="34" width="11" style="43" customWidth="1"/>
    <col min="35" max="35" width="3.71428571428571" style="43" customWidth="1"/>
    <col min="36" max="36" width="11" style="43" customWidth="1"/>
    <col min="37" max="37" width="8.57142857142857" style="43" hidden="1" customWidth="1"/>
    <col min="38" max="38" width="4" style="43" customWidth="1"/>
    <col min="39" max="39" width="115" style="43" customWidth="1"/>
    <col min="40" max="44" width="10" style="44" customWidth="1"/>
    <col min="45" max="45" width="8.41904761904762" style="43" hidden="1" customWidth="1"/>
  </cols>
  <sheetData>
    <row r="1" ht="22.5" hidden="1" customHeight="1" spans="45:45">
      <c r="AS1" s="43" t="s">
        <v>14</v>
      </c>
    </row>
    <row r="2" ht="21" hidden="1" customHeight="1" spans="1:45">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61"/>
      <c r="AC2" s="1089"/>
      <c r="AD2" s="1090" t="e">
        <f>INDEX(PT_DIFFERENTIATION_NTAR,MATCH(A2,PT_DIFFERENTIATION_NTAR_ID,0))</f>
        <v>#N/A</v>
      </c>
      <c r="AE2" s="1061"/>
      <c r="AF2" s="1061"/>
      <c r="AG2" s="1061"/>
      <c r="AH2" s="1061"/>
      <c r="AI2" s="1061"/>
      <c r="AJ2" s="1061"/>
      <c r="AK2" s="1061"/>
      <c r="AL2" s="1089"/>
      <c r="AM2" s="136" t="s">
        <v>392</v>
      </c>
      <c r="AO2" s="151"/>
      <c r="AP2" s="151" t="str">
        <f t="shared" ref="AP2:AP15" si="0">IF(T2="","",T2)</f>
        <v>Наименование тарифа</v>
      </c>
      <c r="AQ2" s="151"/>
      <c r="AR2" s="151"/>
      <c r="AS2" s="43">
        <v>0</v>
      </c>
    </row>
    <row r="3" ht="21" hidden="1" customHeight="1" spans="1:45">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61"/>
      <c r="AC3" s="1089"/>
      <c r="AD3" s="1090" t="e">
        <f>INDEX(PT_DIFFERENTIATION_TER,MATCH(B3,PT_DIFFERENTIATION_TER_ID,0))</f>
        <v>#N/A</v>
      </c>
      <c r="AE3" s="1061"/>
      <c r="AF3" s="1061"/>
      <c r="AG3" s="1061"/>
      <c r="AH3" s="1061"/>
      <c r="AI3" s="1061"/>
      <c r="AJ3" s="1061"/>
      <c r="AK3" s="1061"/>
      <c r="AL3" s="1089"/>
      <c r="AM3" s="136" t="s">
        <v>394</v>
      </c>
      <c r="AO3" s="151"/>
      <c r="AP3" s="151" t="str">
        <f t="shared" si="0"/>
        <v>Территория действия тарифа</v>
      </c>
      <c r="AQ3" s="151"/>
      <c r="AR3" s="151"/>
      <c r="AS3" s="43">
        <v>0</v>
      </c>
    </row>
    <row r="4" ht="23.25" hidden="1" customHeight="1" spans="1:45">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395</v>
      </c>
      <c r="U4" s="84"/>
      <c r="V4" s="1090"/>
      <c r="W4" s="1061"/>
      <c r="X4" s="1061"/>
      <c r="Y4" s="1061"/>
      <c r="Z4" s="1061"/>
      <c r="AA4" s="1061"/>
      <c r="AB4" s="1061"/>
      <c r="AC4" s="1089"/>
      <c r="AD4" s="1090" t="e">
        <f>INDEX(PT_DIFFERENTIATION_CS,MATCH(C4,PT_DIFFERENTIATION_CS_ID,0))</f>
        <v>#N/A</v>
      </c>
      <c r="AE4" s="1061"/>
      <c r="AF4" s="1061"/>
      <c r="AG4" s="1061"/>
      <c r="AH4" s="1061"/>
      <c r="AI4" s="1061"/>
      <c r="AJ4" s="1061"/>
      <c r="AK4" s="1061"/>
      <c r="AL4" s="1089"/>
      <c r="AM4" s="136" t="s">
        <v>396</v>
      </c>
      <c r="AO4" s="151"/>
      <c r="AP4" s="151" t="str">
        <f t="shared" si="0"/>
        <v>Наименование системы теплоснабжения </v>
      </c>
      <c r="AQ4" s="151"/>
      <c r="AR4" s="151"/>
      <c r="AS4" s="43">
        <v>0</v>
      </c>
    </row>
    <row r="5" ht="21" hidden="1" customHeight="1" spans="1:45">
      <c r="A5" s="46"/>
      <c r="B5" s="46"/>
      <c r="C5" s="46"/>
      <c r="D5" s="46"/>
      <c r="E5" s="1053"/>
      <c r="F5" s="1053"/>
      <c r="G5" s="1053"/>
      <c r="H5" s="1052">
        <v>1</v>
      </c>
      <c r="I5" s="46"/>
      <c r="J5" s="46"/>
      <c r="K5" s="46"/>
      <c r="L5" s="1054"/>
      <c r="M5" s="47"/>
      <c r="N5" s="47"/>
      <c r="O5" s="47"/>
      <c r="P5" s="90"/>
      <c r="Q5" s="87"/>
      <c r="R5" s="88"/>
      <c r="S5" s="65" t="e">
        <f>INDEX(PT_DIFFERENTIATION_NUM_IST_TE,MATCH(D5,PT_DIFFERENTIATION_IST_TE_ID,0))</f>
        <v>#N/A</v>
      </c>
      <c r="T5" s="92" t="s">
        <v>397</v>
      </c>
      <c r="U5" s="84"/>
      <c r="V5" s="1090"/>
      <c r="W5" s="1061"/>
      <c r="X5" s="1061"/>
      <c r="Y5" s="1061"/>
      <c r="Z5" s="1061"/>
      <c r="AA5" s="1061"/>
      <c r="AB5" s="1061"/>
      <c r="AC5" s="1089"/>
      <c r="AD5" s="1090" t="e">
        <f>INDEX(PT_DIFFERENTIATION_IST_TE,MATCH(D5,PT_DIFFERENTIATION_IST_TE_ID,0))</f>
        <v>#N/A</v>
      </c>
      <c r="AE5" s="1061"/>
      <c r="AF5" s="1061"/>
      <c r="AG5" s="1061"/>
      <c r="AH5" s="1061"/>
      <c r="AI5" s="1061"/>
      <c r="AJ5" s="1061"/>
      <c r="AK5" s="1061"/>
      <c r="AL5" s="1089"/>
      <c r="AM5" s="136" t="s">
        <v>398</v>
      </c>
      <c r="AO5" s="151"/>
      <c r="AP5" s="151" t="str">
        <f t="shared" si="0"/>
        <v>Источник тепловой энергии  </v>
      </c>
      <c r="AQ5" s="151"/>
      <c r="AR5" s="151"/>
      <c r="AS5" s="43">
        <v>0</v>
      </c>
    </row>
    <row r="6" hidden="1" customHeight="1" spans="1:45">
      <c r="A6" s="46"/>
      <c r="B6" s="46"/>
      <c r="C6" s="46"/>
      <c r="D6" s="46"/>
      <c r="E6" s="1053"/>
      <c r="F6" s="1053"/>
      <c r="G6" s="1053"/>
      <c r="H6" s="1053"/>
      <c r="I6" s="229" t="e">
        <f>S5&amp;".1"</f>
        <v>#N/A</v>
      </c>
      <c r="J6" s="46"/>
      <c r="K6" s="46"/>
      <c r="L6" s="1054" t="s">
        <v>399</v>
      </c>
      <c r="M6" s="38"/>
      <c r="P6" s="93">
        <v>1</v>
      </c>
      <c r="Q6" s="93"/>
      <c r="R6" s="94"/>
      <c r="S6" s="330"/>
      <c r="T6" s="1067"/>
      <c r="U6" s="1065"/>
      <c r="V6" s="1092"/>
      <c r="W6" s="1066"/>
      <c r="X6" s="1066"/>
      <c r="Y6" s="1066"/>
      <c r="Z6" s="1066"/>
      <c r="AA6" s="1066"/>
      <c r="AB6" s="1066"/>
      <c r="AC6" s="1091"/>
      <c r="AD6" s="1092"/>
      <c r="AE6" s="1066"/>
      <c r="AF6" s="1066"/>
      <c r="AG6" s="1066"/>
      <c r="AH6" s="1066"/>
      <c r="AI6" s="1066"/>
      <c r="AJ6" s="1066"/>
      <c r="AK6" s="1066"/>
      <c r="AL6" s="1091"/>
      <c r="AM6" s="995"/>
      <c r="AO6" s="151"/>
      <c r="AP6" s="151" t="str">
        <f t="shared" si="0"/>
        <v/>
      </c>
      <c r="AQ6" s="151"/>
      <c r="AR6" s="151"/>
      <c r="AS6" s="43">
        <v>0</v>
      </c>
    </row>
    <row r="7" ht="21" hidden="1" customHeight="1" spans="1:45">
      <c r="A7" s="46"/>
      <c r="B7" s="46"/>
      <c r="C7" s="46"/>
      <c r="D7" s="46"/>
      <c r="E7" s="1053"/>
      <c r="F7" s="1053"/>
      <c r="G7" s="1053"/>
      <c r="H7" s="1053"/>
      <c r="I7" s="1058"/>
      <c r="J7" s="229" t="e">
        <f>I6&amp;".1"</f>
        <v>#N/A</v>
      </c>
      <c r="K7" s="46"/>
      <c r="L7" s="1054" t="s">
        <v>402</v>
      </c>
      <c r="M7" s="38"/>
      <c r="N7" s="38"/>
      <c r="P7" s="93"/>
      <c r="Q7" s="93">
        <v>1</v>
      </c>
      <c r="R7" s="97"/>
      <c r="S7" s="65" t="e">
        <f>$J7</f>
        <v>#N/A</v>
      </c>
      <c r="T7" s="98" t="s">
        <v>403</v>
      </c>
      <c r="U7" s="84"/>
      <c r="V7" s="99"/>
      <c r="W7" s="100"/>
      <c r="X7" s="100"/>
      <c r="Y7" s="100"/>
      <c r="Z7" s="100"/>
      <c r="AA7" s="100"/>
      <c r="AB7" s="100"/>
      <c r="AC7" s="137"/>
      <c r="AD7" s="99"/>
      <c r="AE7" s="100"/>
      <c r="AF7" s="100"/>
      <c r="AG7" s="100"/>
      <c r="AH7" s="100"/>
      <c r="AI7" s="100"/>
      <c r="AJ7" s="100"/>
      <c r="AK7" s="100"/>
      <c r="AL7" s="137"/>
      <c r="AM7" s="136" t="s">
        <v>404</v>
      </c>
      <c r="AO7" s="151"/>
      <c r="AP7" s="151" t="str">
        <f t="shared" si="0"/>
        <v>Группа потребителей</v>
      </c>
      <c r="AQ7" s="151"/>
      <c r="AR7" s="151"/>
      <c r="AS7" s="43">
        <v>0</v>
      </c>
    </row>
    <row r="8" ht="21" hidden="1" customHeight="1" spans="1:45">
      <c r="A8" s="46"/>
      <c r="B8" s="46"/>
      <c r="C8" s="46"/>
      <c r="D8" s="46"/>
      <c r="E8" s="1053"/>
      <c r="F8" s="1053"/>
      <c r="G8" s="1053"/>
      <c r="H8" s="1053"/>
      <c r="I8" s="1058"/>
      <c r="J8" s="1058"/>
      <c r="K8" s="229" t="e">
        <f>J7&amp;".1"</f>
        <v>#N/A</v>
      </c>
      <c r="L8" s="1054" t="s">
        <v>405</v>
      </c>
      <c r="M8" s="38"/>
      <c r="N8" s="38"/>
      <c r="O8" s="38"/>
      <c r="P8" s="93"/>
      <c r="Q8" s="93"/>
      <c r="R8" s="97">
        <v>1</v>
      </c>
      <c r="S8" s="65" t="e">
        <f>$K8</f>
        <v>#N/A</v>
      </c>
      <c r="T8" s="101"/>
      <c r="U8" s="84"/>
      <c r="V8" s="102"/>
      <c r="W8" s="103"/>
      <c r="X8" s="102"/>
      <c r="Y8" s="138"/>
      <c r="Z8" s="139"/>
      <c r="AA8" s="140" t="s">
        <v>66</v>
      </c>
      <c r="AB8" s="139"/>
      <c r="AC8" s="140" t="s">
        <v>66</v>
      </c>
      <c r="AD8" s="102"/>
      <c r="AE8" s="103"/>
      <c r="AF8" s="102"/>
      <c r="AG8" s="138"/>
      <c r="AH8" s="139"/>
      <c r="AI8" s="140" t="s">
        <v>66</v>
      </c>
      <c r="AJ8" s="139"/>
      <c r="AK8" s="140" t="s">
        <v>66</v>
      </c>
      <c r="AL8" s="103"/>
      <c r="AM8" s="141" t="s">
        <v>406</v>
      </c>
      <c r="AN8" s="44" t="e">
        <f>STRCHECKDATE(V9:AL9)</f>
        <v>#NAME?</v>
      </c>
      <c r="AO8" s="151"/>
      <c r="AP8" s="151" t="str">
        <f t="shared" si="0"/>
        <v/>
      </c>
      <c r="AQ8" s="151"/>
      <c r="AR8" s="151"/>
      <c r="AS8" s="43">
        <v>0</v>
      </c>
    </row>
    <row r="9" ht="0.75" hidden="1" customHeight="1" spans="1:45">
      <c r="A9" s="46"/>
      <c r="B9" s="46"/>
      <c r="C9" s="46"/>
      <c r="D9" s="46"/>
      <c r="E9" s="1053"/>
      <c r="F9" s="1053"/>
      <c r="G9" s="1053"/>
      <c r="H9" s="1053"/>
      <c r="I9" s="1058"/>
      <c r="J9" s="1058"/>
      <c r="K9" s="229"/>
      <c r="L9" s="1054"/>
      <c r="M9" s="38"/>
      <c r="N9" s="38"/>
      <c r="O9" s="38"/>
      <c r="P9" s="93"/>
      <c r="Q9" s="93"/>
      <c r="R9" s="97"/>
      <c r="S9" s="104"/>
      <c r="T9" s="84"/>
      <c r="U9" s="84"/>
      <c r="V9" s="103"/>
      <c r="W9" s="103"/>
      <c r="X9" s="103"/>
      <c r="Y9" s="142" t="str">
        <f>Z8&amp;"-"&amp;AB8</f>
        <v>-</v>
      </c>
      <c r="Z9" s="143"/>
      <c r="AA9" s="140"/>
      <c r="AB9" s="143"/>
      <c r="AC9" s="140"/>
      <c r="AD9" s="103"/>
      <c r="AE9" s="103"/>
      <c r="AF9" s="103"/>
      <c r="AG9" s="142" t="str">
        <f>AH8&amp;"-"&amp;AJ8</f>
        <v>-</v>
      </c>
      <c r="AH9" s="143"/>
      <c r="AI9" s="140"/>
      <c r="AJ9" s="143"/>
      <c r="AK9" s="140"/>
      <c r="AL9" s="103"/>
      <c r="AM9" s="144"/>
      <c r="AO9" s="151"/>
      <c r="AP9" s="151" t="str">
        <f t="shared" si="0"/>
        <v/>
      </c>
      <c r="AQ9" s="151"/>
      <c r="AR9" s="151"/>
      <c r="AS9" s="43">
        <v>0</v>
      </c>
    </row>
    <row r="10" ht="15" hidden="1" customHeight="1" spans="1:45">
      <c r="A10" s="46"/>
      <c r="B10" s="46"/>
      <c r="C10" s="46"/>
      <c r="D10" s="46"/>
      <c r="E10" s="1053"/>
      <c r="F10" s="1053"/>
      <c r="G10" s="1053"/>
      <c r="H10" s="1053"/>
      <c r="I10" s="1058"/>
      <c r="J10" s="229"/>
      <c r="K10" s="46"/>
      <c r="L10" s="1054"/>
      <c r="M10" s="38"/>
      <c r="N10" s="38"/>
      <c r="P10" s="93"/>
      <c r="Q10" s="93"/>
      <c r="R10" s="94"/>
      <c r="S10" s="105"/>
      <c r="T10" s="108" t="s">
        <v>407</v>
      </c>
      <c r="U10" s="107"/>
      <c r="V10" s="107"/>
      <c r="W10" s="107"/>
      <c r="X10" s="107"/>
      <c r="Y10" s="107"/>
      <c r="Z10" s="107"/>
      <c r="AA10" s="107"/>
      <c r="AB10" s="107"/>
      <c r="AC10" s="107"/>
      <c r="AD10" s="107"/>
      <c r="AE10" s="107"/>
      <c r="AF10" s="107"/>
      <c r="AG10" s="107"/>
      <c r="AH10" s="107"/>
      <c r="AI10" s="107"/>
      <c r="AJ10" s="107"/>
      <c r="AK10" s="107"/>
      <c r="AL10" s="145"/>
      <c r="AM10" s="146"/>
      <c r="AO10" s="151"/>
      <c r="AP10" s="151" t="str">
        <f t="shared" si="0"/>
        <v>Добавить вид теплоносителя (параметры теплоносителя)</v>
      </c>
      <c r="AQ10" s="151"/>
      <c r="AR10" s="151"/>
      <c r="AS10" s="43">
        <v>0</v>
      </c>
    </row>
    <row r="11" ht="15" hidden="1" customHeight="1" spans="1:45">
      <c r="A11" s="46"/>
      <c r="B11" s="46"/>
      <c r="C11" s="46"/>
      <c r="D11" s="46"/>
      <c r="E11" s="1053"/>
      <c r="F11" s="1053"/>
      <c r="G11" s="1053"/>
      <c r="H11" s="1053"/>
      <c r="I11" s="229"/>
      <c r="J11" s="46"/>
      <c r="K11" s="46"/>
      <c r="L11" s="1054"/>
      <c r="M11" s="38"/>
      <c r="P11" s="93"/>
      <c r="Q11" s="93"/>
      <c r="R11" s="94"/>
      <c r="S11" s="105"/>
      <c r="T11" s="110" t="s">
        <v>408</v>
      </c>
      <c r="U11" s="107"/>
      <c r="V11" s="107"/>
      <c r="W11" s="107"/>
      <c r="X11" s="107"/>
      <c r="Y11" s="107"/>
      <c r="Z11" s="107"/>
      <c r="AA11" s="107"/>
      <c r="AB11" s="107"/>
      <c r="AC11" s="147"/>
      <c r="AD11" s="107"/>
      <c r="AE11" s="107"/>
      <c r="AF11" s="107"/>
      <c r="AG11" s="107"/>
      <c r="AH11" s="107"/>
      <c r="AI11" s="107"/>
      <c r="AJ11" s="107"/>
      <c r="AK11" s="147"/>
      <c r="AL11" s="107"/>
      <c r="AM11" s="148"/>
      <c r="AO11" s="151"/>
      <c r="AP11" s="151" t="str">
        <f t="shared" si="0"/>
        <v>Добавить группу потребителей</v>
      </c>
      <c r="AQ11" s="151"/>
      <c r="AR11" s="151"/>
      <c r="AS11" s="43">
        <v>0</v>
      </c>
    </row>
    <row r="12" hidden="1" customHeight="1" spans="1:45">
      <c r="A12" s="46"/>
      <c r="B12" s="46"/>
      <c r="C12" s="46"/>
      <c r="D12" s="46"/>
      <c r="E12" s="1053"/>
      <c r="F12" s="1053"/>
      <c r="G12" s="1053"/>
      <c r="H12" s="1052"/>
      <c r="I12" s="46"/>
      <c r="J12" s="46"/>
      <c r="K12" s="46"/>
      <c r="L12" s="1054"/>
      <c r="M12" s="47"/>
      <c r="N12" s="47"/>
      <c r="O12" s="38"/>
      <c r="P12" s="81"/>
      <c r="Q12" s="109"/>
      <c r="R12" s="82"/>
      <c r="S12" s="1079"/>
      <c r="T12" s="1080"/>
      <c r="U12" s="1081"/>
      <c r="V12" s="1081"/>
      <c r="W12" s="1081"/>
      <c r="X12" s="1081"/>
      <c r="Y12" s="1081"/>
      <c r="Z12" s="1081"/>
      <c r="AA12" s="1081"/>
      <c r="AB12" s="1081"/>
      <c r="AC12" s="1081"/>
      <c r="AD12" s="1081"/>
      <c r="AE12" s="1081"/>
      <c r="AF12" s="1081"/>
      <c r="AG12" s="1081"/>
      <c r="AH12" s="1081"/>
      <c r="AI12" s="1081"/>
      <c r="AJ12" s="1081"/>
      <c r="AK12" s="1081"/>
      <c r="AL12" s="1081"/>
      <c r="AM12" s="1123"/>
      <c r="AO12" s="151"/>
      <c r="AP12" s="151" t="str">
        <f t="shared" si="0"/>
        <v/>
      </c>
      <c r="AQ12" s="151"/>
      <c r="AR12" s="151"/>
      <c r="AS12" s="43">
        <v>0</v>
      </c>
    </row>
    <row r="13" s="44" customFormat="1" ht="0.75" hidden="1" customHeight="1" spans="1:45">
      <c r="A13" s="590"/>
      <c r="B13" s="590"/>
      <c r="C13" s="590"/>
      <c r="D13" s="590"/>
      <c r="E13" s="1053"/>
      <c r="F13" s="1053"/>
      <c r="G13" s="1052"/>
      <c r="H13" s="590"/>
      <c r="I13" s="590"/>
      <c r="J13" s="590"/>
      <c r="K13" s="590"/>
      <c r="L13" s="611"/>
      <c r="M13" s="283"/>
      <c r="N13" s="283"/>
      <c r="P13" s="152"/>
      <c r="Q13" s="1082"/>
      <c r="R13" s="152"/>
      <c r="S13" s="1166"/>
      <c r="T13" s="1167" t="s">
        <v>410</v>
      </c>
      <c r="U13" s="1168"/>
      <c r="V13" s="1168"/>
      <c r="W13" s="1168"/>
      <c r="X13" s="1168"/>
      <c r="Y13" s="1168"/>
      <c r="Z13" s="1168"/>
      <c r="AA13" s="1168"/>
      <c r="AB13" s="1168"/>
      <c r="AC13" s="1168"/>
      <c r="AD13" s="1168"/>
      <c r="AE13" s="1168"/>
      <c r="AF13" s="1168"/>
      <c r="AG13" s="1168"/>
      <c r="AH13" s="1168"/>
      <c r="AI13" s="1168"/>
      <c r="AJ13" s="1168"/>
      <c r="AK13" s="1168"/>
      <c r="AL13" s="1168"/>
      <c r="AM13" s="1168"/>
      <c r="AO13" s="151"/>
      <c r="AP13" s="151" t="str">
        <f t="shared" si="0"/>
        <v>Добавить источник для дифференциации</v>
      </c>
      <c r="AQ13" s="151"/>
      <c r="AR13" s="151"/>
      <c r="AS13" s="44">
        <v>0</v>
      </c>
    </row>
    <row r="14" s="44" customFormat="1" ht="0.75" hidden="1" customHeight="1" spans="1:45">
      <c r="A14" s="590"/>
      <c r="B14" s="590"/>
      <c r="C14" s="590"/>
      <c r="D14" s="590"/>
      <c r="E14" s="1053"/>
      <c r="F14" s="1052"/>
      <c r="G14" s="590"/>
      <c r="H14" s="590"/>
      <c r="I14" s="590"/>
      <c r="J14" s="590"/>
      <c r="K14" s="590"/>
      <c r="L14" s="611"/>
      <c r="M14" s="1059"/>
      <c r="N14" s="1059"/>
      <c r="P14" s="152"/>
      <c r="Q14" s="1082"/>
      <c r="R14" s="152"/>
      <c r="S14" s="1084"/>
      <c r="T14" s="1169" t="s">
        <v>411</v>
      </c>
      <c r="U14" s="307"/>
      <c r="V14" s="307"/>
      <c r="W14" s="307"/>
      <c r="X14" s="307"/>
      <c r="Y14" s="307"/>
      <c r="Z14" s="307"/>
      <c r="AA14" s="307"/>
      <c r="AB14" s="307"/>
      <c r="AC14" s="307"/>
      <c r="AD14" s="307"/>
      <c r="AE14" s="307"/>
      <c r="AF14" s="307"/>
      <c r="AG14" s="307"/>
      <c r="AH14" s="307"/>
      <c r="AI14" s="307"/>
      <c r="AJ14" s="307"/>
      <c r="AK14" s="307"/>
      <c r="AL14" s="307"/>
      <c r="AM14" s="307"/>
      <c r="AO14" s="151"/>
      <c r="AP14" s="151" t="str">
        <f t="shared" si="0"/>
        <v>Добавить централизованную систему для дифференциации</v>
      </c>
      <c r="AQ14" s="151"/>
      <c r="AR14" s="151"/>
      <c r="AS14" s="44">
        <v>0</v>
      </c>
    </row>
    <row r="15" s="44" customFormat="1" ht="0.75" hidden="1" customHeight="1" spans="1:45">
      <c r="A15" s="590"/>
      <c r="B15" s="590"/>
      <c r="C15" s="590"/>
      <c r="D15" s="590"/>
      <c r="E15" s="1052"/>
      <c r="F15" s="590"/>
      <c r="G15" s="590"/>
      <c r="H15" s="590"/>
      <c r="I15" s="590"/>
      <c r="J15" s="590"/>
      <c r="K15" s="590"/>
      <c r="L15" s="611"/>
      <c r="M15" s="1059"/>
      <c r="N15" s="1059"/>
      <c r="P15" s="152"/>
      <c r="Q15" s="1082"/>
      <c r="R15" s="152"/>
      <c r="S15" s="1084"/>
      <c r="T15" s="1085" t="s">
        <v>412</v>
      </c>
      <c r="U15" s="307"/>
      <c r="V15" s="307"/>
      <c r="W15" s="307"/>
      <c r="X15" s="307"/>
      <c r="Y15" s="307"/>
      <c r="Z15" s="307"/>
      <c r="AA15" s="307"/>
      <c r="AB15" s="307"/>
      <c r="AC15" s="307"/>
      <c r="AD15" s="307"/>
      <c r="AE15" s="307"/>
      <c r="AF15" s="307"/>
      <c r="AG15" s="307"/>
      <c r="AH15" s="307"/>
      <c r="AI15" s="307"/>
      <c r="AJ15" s="307"/>
      <c r="AK15" s="307"/>
      <c r="AL15" s="307"/>
      <c r="AM15" s="307"/>
      <c r="AO15" s="151"/>
      <c r="AP15" s="151" t="str">
        <f t="shared" si="0"/>
        <v>Добавить территорию для дифференциации</v>
      </c>
      <c r="AQ15" s="151"/>
      <c r="AR15" s="151"/>
      <c r="AS15" s="44">
        <v>0</v>
      </c>
    </row>
    <row r="16" hidden="1" customHeight="1" spans="45:45">
      <c r="AS16" s="43">
        <v>0</v>
      </c>
    </row>
    <row r="17" hidden="1" customHeight="1" spans="30:45">
      <c r="AD17" s="492"/>
      <c r="AE17" s="492"/>
      <c r="AF17" s="492"/>
      <c r="AG17" s="1132"/>
      <c r="AH17" s="1133"/>
      <c r="AI17" s="353" t="s">
        <v>66</v>
      </c>
      <c r="AJ17" s="1133"/>
      <c r="AK17" s="353" t="s">
        <v>66</v>
      </c>
      <c r="AS17" s="43">
        <v>0</v>
      </c>
    </row>
    <row r="18" hidden="1" customHeight="1" spans="30:45">
      <c r="AD18" s="492"/>
      <c r="AE18" s="492"/>
      <c r="AF18" s="492"/>
      <c r="AG18" s="142" t="str">
        <f>AH17&amp;"-"&amp;AJ17</f>
        <v>-</v>
      </c>
      <c r="AH18" s="353"/>
      <c r="AI18" s="353"/>
      <c r="AJ18" s="353"/>
      <c r="AK18" s="353"/>
      <c r="AS18" s="43">
        <v>0</v>
      </c>
    </row>
    <row r="19" hidden="1" customHeight="1" spans="45:45">
      <c r="AS19" s="43">
        <v>0</v>
      </c>
    </row>
    <row r="20" s="38" customFormat="1" ht="22.5" hidden="1" customHeight="1" spans="12:45">
      <c r="L20" s="48"/>
      <c r="M20" s="39"/>
      <c r="N20" s="39"/>
      <c r="O20" s="1060" t="s">
        <v>413</v>
      </c>
      <c r="P20" s="39"/>
      <c r="Q20" s="1051"/>
      <c r="R20" s="1051"/>
      <c r="S20" s="47"/>
      <c r="Z20" s="1060"/>
      <c r="AB20" s="1060"/>
      <c r="AH20" s="1060"/>
      <c r="AJ20" s="1060"/>
      <c r="AN20" s="44"/>
      <c r="AO20" s="44"/>
      <c r="AP20" s="44"/>
      <c r="AQ20" s="44"/>
      <c r="AR20" s="44"/>
      <c r="AS20" s="38">
        <v>0</v>
      </c>
    </row>
    <row r="21" s="38" customFormat="1" hidden="1" customHeight="1" spans="12:45">
      <c r="L21" s="48"/>
      <c r="M21" s="39"/>
      <c r="N21" s="39"/>
      <c r="O21" s="39"/>
      <c r="P21" s="39"/>
      <c r="Q21" s="1051"/>
      <c r="R21" s="1051"/>
      <c r="S21" s="47"/>
      <c r="AN21" s="44"/>
      <c r="AO21" s="44"/>
      <c r="AP21" s="44"/>
      <c r="AQ21" s="44"/>
      <c r="AR21" s="44"/>
      <c r="AS21" s="38">
        <v>0</v>
      </c>
    </row>
    <row r="22" s="38" customFormat="1" hidden="1" customHeight="1" spans="12:45">
      <c r="L22" s="48"/>
      <c r="M22" s="39"/>
      <c r="N22" s="39"/>
      <c r="O22" s="1054" t="s">
        <v>414</v>
      </c>
      <c r="P22" s="39"/>
      <c r="Q22" s="1051"/>
      <c r="R22" s="1051"/>
      <c r="S22" s="47"/>
      <c r="T22" s="38" t="s">
        <v>415</v>
      </c>
      <c r="AA22" s="45" t="s">
        <v>416</v>
      </c>
      <c r="AC22" s="45" t="s">
        <v>417</v>
      </c>
      <c r="AD22" s="38" t="s">
        <v>415</v>
      </c>
      <c r="AI22" s="45" t="s">
        <v>418</v>
      </c>
      <c r="AK22" s="45" t="s">
        <v>417</v>
      </c>
      <c r="AN22" s="44"/>
      <c r="AO22" s="44"/>
      <c r="AP22" s="44"/>
      <c r="AQ22" s="44"/>
      <c r="AR22" s="44"/>
      <c r="AS22" s="38">
        <v>0</v>
      </c>
    </row>
    <row r="23" hidden="1" customHeight="1" spans="15:45">
      <c r="O23" s="1054"/>
      <c r="AS23" s="43">
        <v>0</v>
      </c>
    </row>
    <row r="24" hidden="1" customHeight="1" spans="15:45">
      <c r="O24" s="1054"/>
      <c r="AS24" s="43">
        <v>0</v>
      </c>
    </row>
    <row r="25" ht="14.7" customHeight="1" spans="17:45">
      <c r="Q25" s="51"/>
      <c r="R25" s="51"/>
      <c r="S25" s="52"/>
      <c r="T25" s="53"/>
      <c r="U25" s="53"/>
      <c r="AS25" s="43">
        <v>14</v>
      </c>
    </row>
    <row r="26" ht="63" customHeight="1" spans="17:45">
      <c r="Q26" s="51"/>
      <c r="R26" s="51"/>
      <c r="S26" s="7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755"/>
      <c r="U26" s="755"/>
      <c r="V26" s="755"/>
      <c r="W26" s="755"/>
      <c r="X26" s="755"/>
      <c r="Y26" s="755"/>
      <c r="Z26" s="755"/>
      <c r="AA26" s="755"/>
      <c r="AB26" s="755"/>
      <c r="AC26" s="755"/>
      <c r="AD26" s="755"/>
      <c r="AE26" s="755"/>
      <c r="AF26" s="755"/>
      <c r="AG26" s="755"/>
      <c r="AH26" s="755"/>
      <c r="AI26" s="755"/>
      <c r="AJ26" s="755"/>
      <c r="AK26" s="121"/>
      <c r="AS26" s="43">
        <v>60</v>
      </c>
    </row>
    <row r="27" ht="14.7" customHeight="1" spans="17:45">
      <c r="Q27" s="51"/>
      <c r="R27" s="51"/>
      <c r="S27" s="660" t="str">
        <f>IF(org=0,"Не определено",org)</f>
        <v>АО "Теплокоммунэнерго"</v>
      </c>
      <c r="T27" s="660"/>
      <c r="U27" s="660"/>
      <c r="V27" s="660"/>
      <c r="W27" s="660"/>
      <c r="X27" s="660"/>
      <c r="Y27" s="660"/>
      <c r="Z27" s="660"/>
      <c r="AA27" s="660"/>
      <c r="AB27" s="660"/>
      <c r="AC27" s="660"/>
      <c r="AD27" s="660"/>
      <c r="AE27" s="660"/>
      <c r="AF27" s="660"/>
      <c r="AG27" s="660"/>
      <c r="AH27" s="660"/>
      <c r="AI27" s="660"/>
      <c r="AJ27" s="660"/>
      <c r="AK27" s="121"/>
      <c r="AS27" s="43">
        <v>14</v>
      </c>
    </row>
    <row r="28" hidden="1" customHeight="1" spans="17:45">
      <c r="Q28" s="51"/>
      <c r="R28" s="51"/>
      <c r="S28" s="52"/>
      <c r="T28" s="53"/>
      <c r="U28" s="53"/>
      <c r="V28" s="56"/>
      <c r="W28" s="56"/>
      <c r="X28" s="56"/>
      <c r="Y28" s="56"/>
      <c r="Z28" s="56"/>
      <c r="AA28" s="56"/>
      <c r="AB28" s="56"/>
      <c r="AC28" s="56"/>
      <c r="AD28" s="56"/>
      <c r="AE28" s="56"/>
      <c r="AF28" s="56"/>
      <c r="AG28" s="56"/>
      <c r="AH28" s="56"/>
      <c r="AI28" s="56"/>
      <c r="AJ28" s="56"/>
      <c r="AK28" s="56"/>
      <c r="AS28" s="43">
        <v>0</v>
      </c>
    </row>
    <row r="29" s="36" customFormat="1" ht="25.5" hidden="1" customHeight="1" spans="1:45">
      <c r="A29" s="45"/>
      <c r="B29" s="45"/>
      <c r="C29" s="45"/>
      <c r="D29" s="45"/>
      <c r="E29" s="45"/>
      <c r="F29" s="45"/>
      <c r="G29" s="45"/>
      <c r="H29" s="45"/>
      <c r="I29" s="45"/>
      <c r="J29" s="45"/>
      <c r="K29" s="45"/>
      <c r="L29" s="1054"/>
      <c r="M29" s="45"/>
      <c r="N29" s="45"/>
      <c r="O29" s="45"/>
      <c r="S29"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58"/>
      <c r="U29" s="1088"/>
      <c r="V29" s="60" t="str">
        <f>IF(TITLE_NAME_OR_PR_CHANGE="",IF(TITLE_NAME_OR_PR="","",TITLE_NAME_OR_PR),TITLE_NAME_OR_PR_CHANGE)</f>
        <v/>
      </c>
      <c r="W29" s="60"/>
      <c r="X29" s="60"/>
      <c r="Y29" s="60"/>
      <c r="Z29" s="60"/>
      <c r="AA29" s="60"/>
      <c r="AB29" s="60"/>
      <c r="AC29" s="43"/>
      <c r="AD29" s="60" t="str">
        <f>IF(TITLE_NAME_OR_PR_CHANGE="",IF(TITLE_NAME_OR_PR="","",TITLE_NAME_OR_PR),TITLE_NAME_OR_PR_CHANGE)</f>
        <v/>
      </c>
      <c r="AE29" s="60"/>
      <c r="AF29" s="60"/>
      <c r="AG29" s="60"/>
      <c r="AH29" s="60"/>
      <c r="AI29" s="60"/>
      <c r="AJ29" s="60"/>
      <c r="AK29" s="43"/>
      <c r="AL29" s="43"/>
      <c r="AM29" s="122"/>
      <c r="AN29" s="151"/>
      <c r="AO29" s="151"/>
      <c r="AP29" s="151"/>
      <c r="AQ29" s="151"/>
      <c r="AR29" s="151"/>
      <c r="AS29" s="36">
        <v>0</v>
      </c>
    </row>
    <row r="30" s="36" customFormat="1" ht="18.75" hidden="1" customHeight="1" spans="1:45">
      <c r="A30" s="45"/>
      <c r="B30" s="45"/>
      <c r="C30" s="45"/>
      <c r="D30" s="45"/>
      <c r="E30" s="45"/>
      <c r="F30" s="45"/>
      <c r="G30" s="45"/>
      <c r="H30" s="45"/>
      <c r="I30" s="45"/>
      <c r="J30" s="45"/>
      <c r="K30" s="45"/>
      <c r="L30" s="1054"/>
      <c r="M30" s="45"/>
      <c r="N30" s="45"/>
      <c r="O30" s="45"/>
      <c r="S30" s="58" t="str">
        <f>"Дата документа об "&amp;IF(TITLE_DATE_PR_CHANGE="","утверждении","изменении")&amp;" тарифов"</f>
        <v>Дата документа об утверждении тарифов</v>
      </c>
      <c r="T30" s="58"/>
      <c r="U30" s="1088"/>
      <c r="V30" s="793" t="str">
        <f>IF(TITLE_DATE_PR_CHANGE="",IF(TITLE_DATE_PR="","",TITLE_DATE_PR),TITLE_DATE_PR_CHANGE)</f>
        <v/>
      </c>
      <c r="W30" s="793"/>
      <c r="X30" s="793"/>
      <c r="Y30" s="793"/>
      <c r="Z30" s="793"/>
      <c r="AA30" s="793"/>
      <c r="AB30" s="793"/>
      <c r="AC30" s="43"/>
      <c r="AD30" s="793" t="str">
        <f>IF(TITLE_DATE_PR_CHANGE="",IF(TITLE_DATE_PR="","",TITLE_DATE_PR),TITLE_DATE_PR_CHANGE)</f>
        <v/>
      </c>
      <c r="AE30" s="793"/>
      <c r="AF30" s="793"/>
      <c r="AG30" s="793"/>
      <c r="AH30" s="793"/>
      <c r="AI30" s="793"/>
      <c r="AJ30" s="793"/>
      <c r="AK30" s="43"/>
      <c r="AL30" s="43"/>
      <c r="AM30" s="122"/>
      <c r="AN30" s="151"/>
      <c r="AO30" s="151"/>
      <c r="AP30" s="151"/>
      <c r="AQ30" s="151"/>
      <c r="AR30" s="151"/>
      <c r="AS30" s="36">
        <v>0</v>
      </c>
    </row>
    <row r="31" s="36" customFormat="1" ht="18.75" hidden="1" customHeight="1" spans="1:45">
      <c r="A31" s="45"/>
      <c r="B31" s="45"/>
      <c r="C31" s="45"/>
      <c r="D31" s="45"/>
      <c r="E31" s="45"/>
      <c r="F31" s="45"/>
      <c r="G31" s="45"/>
      <c r="H31" s="45"/>
      <c r="I31" s="45"/>
      <c r="J31" s="45"/>
      <c r="K31" s="45"/>
      <c r="L31" s="1054"/>
      <c r="M31" s="45"/>
      <c r="N31" s="45"/>
      <c r="O31" s="45"/>
      <c r="S31" s="58" t="str">
        <f>"Номер документа об "&amp;IF(TITLE_DATE_PR_CHANGE="","утверждении","изменении")&amp;" тарифов"</f>
        <v>Номер документа об утверждении тарифов</v>
      </c>
      <c r="T31" s="58"/>
      <c r="U31" s="1088"/>
      <c r="V31" s="60" t="str">
        <f>IF(TITLE_NUMBER_PR_CHANGE="",IF(TITLE_NUMBER_PR="","",TITLE_NUMBER_PR),TITLE_NUMBER_PR_CHANGE)</f>
        <v/>
      </c>
      <c r="W31" s="60"/>
      <c r="X31" s="60"/>
      <c r="Y31" s="60"/>
      <c r="Z31" s="60"/>
      <c r="AA31" s="60"/>
      <c r="AB31" s="60"/>
      <c r="AC31" s="43"/>
      <c r="AD31" s="60" t="str">
        <f>IF(TITLE_NUMBER_PR_CHANGE="",IF(TITLE_NUMBER_PR="","",TITLE_NUMBER_PR),TITLE_NUMBER_PR_CHANGE)</f>
        <v/>
      </c>
      <c r="AE31" s="60"/>
      <c r="AF31" s="60"/>
      <c r="AG31" s="60"/>
      <c r="AH31" s="60"/>
      <c r="AI31" s="60"/>
      <c r="AJ31" s="60"/>
      <c r="AK31" s="43"/>
      <c r="AL31" s="43"/>
      <c r="AM31" s="122"/>
      <c r="AN31" s="151"/>
      <c r="AO31" s="151"/>
      <c r="AP31" s="151"/>
      <c r="AQ31" s="151"/>
      <c r="AR31" s="151"/>
      <c r="AS31" s="36">
        <v>0</v>
      </c>
    </row>
    <row r="32" s="36" customFormat="1" ht="18.75" hidden="1" customHeight="1" spans="1:45">
      <c r="A32" s="45"/>
      <c r="B32" s="45"/>
      <c r="C32" s="45"/>
      <c r="D32" s="45"/>
      <c r="E32" s="45"/>
      <c r="F32" s="45"/>
      <c r="G32" s="45"/>
      <c r="H32" s="45"/>
      <c r="I32" s="45"/>
      <c r="J32" s="45"/>
      <c r="K32" s="45"/>
      <c r="L32" s="1054"/>
      <c r="M32" s="45"/>
      <c r="N32" s="45"/>
      <c r="O32" s="45"/>
      <c r="S32" s="58" t="s">
        <v>43</v>
      </c>
      <c r="T32" s="58"/>
      <c r="U32" s="1088"/>
      <c r="V32" s="60" t="str">
        <f>IF(TITLE_IST_PUB_CHANGE="",IF(TITLE_IST_PUB="","",TITLE_IST_PUB),TITLE_IST_PUB_CHANGE)</f>
        <v/>
      </c>
      <c r="W32" s="60"/>
      <c r="X32" s="60"/>
      <c r="Y32" s="60"/>
      <c r="Z32" s="60"/>
      <c r="AA32" s="60"/>
      <c r="AB32" s="60"/>
      <c r="AC32" s="43"/>
      <c r="AD32" s="60" t="str">
        <f>IF(TITLE_IST_PUB_CHANGE="",IF(TITLE_IST_PUB="","",TITLE_IST_PUB),TITLE_IST_PUB_CHANGE)</f>
        <v/>
      </c>
      <c r="AE32" s="60"/>
      <c r="AF32" s="60"/>
      <c r="AG32" s="60"/>
      <c r="AH32" s="60"/>
      <c r="AI32" s="60"/>
      <c r="AJ32" s="60"/>
      <c r="AK32" s="43"/>
      <c r="AL32" s="43"/>
      <c r="AM32" s="122"/>
      <c r="AN32" s="151"/>
      <c r="AO32" s="151"/>
      <c r="AP32" s="151"/>
      <c r="AQ32" s="151"/>
      <c r="AR32" s="151"/>
      <c r="AS32" s="36">
        <v>0</v>
      </c>
    </row>
    <row r="33" hidden="1" customHeight="1" spans="17:45">
      <c r="Q33" s="51"/>
      <c r="R33" s="51"/>
      <c r="S33" s="52"/>
      <c r="T33" s="53"/>
      <c r="U33" s="53"/>
      <c r="V33" s="56"/>
      <c r="W33" s="56"/>
      <c r="X33" s="56"/>
      <c r="Y33" s="56"/>
      <c r="Z33" s="56"/>
      <c r="AA33" s="56"/>
      <c r="AB33" s="56"/>
      <c r="AC33" s="56"/>
      <c r="AD33" s="56"/>
      <c r="AE33" s="56"/>
      <c r="AF33" s="56"/>
      <c r="AG33" s="56"/>
      <c r="AH33" s="56"/>
      <c r="AI33" s="56"/>
      <c r="AJ33" s="56"/>
      <c r="AK33" s="56"/>
      <c r="AS33" s="43">
        <v>0</v>
      </c>
    </row>
    <row r="34" s="36" customFormat="1" ht="18.75" hidden="1" customHeight="1" spans="1:45">
      <c r="A34" s="45"/>
      <c r="B34" s="45"/>
      <c r="C34" s="45"/>
      <c r="D34" s="45"/>
      <c r="E34" s="45"/>
      <c r="F34" s="45"/>
      <c r="G34" s="45"/>
      <c r="H34" s="45"/>
      <c r="I34" s="45"/>
      <c r="J34" s="45"/>
      <c r="K34" s="45"/>
      <c r="L34" s="1054"/>
      <c r="M34" s="45"/>
      <c r="N34" s="45"/>
      <c r="O34" s="45"/>
      <c r="S34" s="58" t="str">
        <f>"Дата подачи заявления об "&amp;IF(TITLE_DATE_PR_CHANGE="","утверждении","изменении")&amp;" тарифов"</f>
        <v>Дата подачи заявления об утверждении тарифов</v>
      </c>
      <c r="T34" s="58"/>
      <c r="U34" s="1088"/>
      <c r="V34" s="793" t="str">
        <f>IF(TITLE_DATE_PR_CHANGE="",IF(TITLE_DATE_PR="","",TITLE_DATE_PR),TITLE_DATE_PR_CHANGE)</f>
        <v/>
      </c>
      <c r="W34" s="793"/>
      <c r="X34" s="793"/>
      <c r="Y34" s="793"/>
      <c r="Z34" s="793"/>
      <c r="AA34" s="793"/>
      <c r="AB34" s="793"/>
      <c r="AC34" s="43"/>
      <c r="AD34" s="793" t="str">
        <f>IF(TITLE_DATE_PR_CHANGE="",IF(TITLE_DATE_PR="","",TITLE_DATE_PR),TITLE_DATE_PR_CHANGE)</f>
        <v/>
      </c>
      <c r="AE34" s="793"/>
      <c r="AF34" s="793"/>
      <c r="AG34" s="793"/>
      <c r="AH34" s="793"/>
      <c r="AI34" s="793"/>
      <c r="AJ34" s="793"/>
      <c r="AK34" s="43"/>
      <c r="AL34" s="43"/>
      <c r="AM34" s="122"/>
      <c r="AN34" s="151"/>
      <c r="AO34" s="151"/>
      <c r="AP34" s="151"/>
      <c r="AQ34" s="151"/>
      <c r="AR34" s="151"/>
      <c r="AS34" s="36">
        <v>0</v>
      </c>
    </row>
    <row r="35" s="36" customFormat="1" ht="18.75" hidden="1" customHeight="1" spans="1:45">
      <c r="A35" s="45"/>
      <c r="B35" s="45"/>
      <c r="C35" s="45"/>
      <c r="D35" s="45"/>
      <c r="E35" s="45"/>
      <c r="F35" s="45"/>
      <c r="G35" s="45"/>
      <c r="H35" s="45"/>
      <c r="I35" s="45"/>
      <c r="J35" s="45"/>
      <c r="K35" s="45"/>
      <c r="L35" s="1054"/>
      <c r="M35" s="45"/>
      <c r="N35" s="45"/>
      <c r="O35" s="45"/>
      <c r="S35" s="58" t="str">
        <f>"Номер подачи заявления об "&amp;IF(TITLE_DATE_PR_CHANGE="","утверждении","изменении")&amp;" тарифов"</f>
        <v>Номер подачи заявления об утверждении тарифов</v>
      </c>
      <c r="T35" s="58"/>
      <c r="U35" s="1088"/>
      <c r="V35" s="60" t="str">
        <f>IF(TITLE_NUMBER_PR_CHANGE="",IF(TITLE_NUMBER_PR="","",TITLE_NUMBER_PR),TITLE_NUMBER_PR_CHANGE)</f>
        <v/>
      </c>
      <c r="W35" s="60"/>
      <c r="X35" s="60"/>
      <c r="Y35" s="60"/>
      <c r="Z35" s="60"/>
      <c r="AA35" s="60"/>
      <c r="AB35" s="60"/>
      <c r="AC35" s="43"/>
      <c r="AD35" s="60" t="str">
        <f>IF(TITLE_NUMBER_PR_CHANGE="",IF(TITLE_NUMBER_PR="","",TITLE_NUMBER_PR),TITLE_NUMBER_PR_CHANGE)</f>
        <v/>
      </c>
      <c r="AE35" s="60"/>
      <c r="AF35" s="60"/>
      <c r="AG35" s="60"/>
      <c r="AH35" s="60"/>
      <c r="AI35" s="60"/>
      <c r="AJ35" s="60"/>
      <c r="AK35" s="43"/>
      <c r="AL35" s="43"/>
      <c r="AM35" s="122"/>
      <c r="AN35" s="151"/>
      <c r="AO35" s="151"/>
      <c r="AP35" s="151"/>
      <c r="AQ35" s="151"/>
      <c r="AR35" s="151"/>
      <c r="AS35" s="36">
        <v>0</v>
      </c>
    </row>
    <row r="36" s="36" customFormat="1" hidden="1" customHeight="1" spans="1:45">
      <c r="A36" s="45"/>
      <c r="B36" s="45"/>
      <c r="C36" s="45"/>
      <c r="D36" s="45"/>
      <c r="E36" s="45"/>
      <c r="F36" s="45"/>
      <c r="G36" s="45"/>
      <c r="H36" s="45"/>
      <c r="I36" s="45"/>
      <c r="J36" s="45"/>
      <c r="K36" s="45"/>
      <c r="L36" s="1054"/>
      <c r="M36" s="45"/>
      <c r="N36" s="45"/>
      <c r="O36" s="45"/>
      <c r="S36" s="43"/>
      <c r="T36" s="43"/>
      <c r="U36" s="61"/>
      <c r="V36" s="43"/>
      <c r="W36" s="43"/>
      <c r="X36" s="43"/>
      <c r="Y36" s="43"/>
      <c r="Z36" s="43"/>
      <c r="AA36" s="43"/>
      <c r="AB36" s="43"/>
      <c r="AC36" s="44" t="s">
        <v>419</v>
      </c>
      <c r="AD36" s="43"/>
      <c r="AE36" s="43"/>
      <c r="AF36" s="43"/>
      <c r="AG36" s="43"/>
      <c r="AH36" s="43"/>
      <c r="AI36" s="43"/>
      <c r="AJ36" s="43"/>
      <c r="AK36" s="44" t="s">
        <v>419</v>
      </c>
      <c r="AN36" s="151"/>
      <c r="AO36" s="151"/>
      <c r="AP36" s="151"/>
      <c r="AQ36" s="151"/>
      <c r="AR36" s="151"/>
      <c r="AS36" s="36">
        <v>0</v>
      </c>
    </row>
    <row r="37" ht="14.7" customHeight="1" spans="17:45">
      <c r="Q37" s="51"/>
      <c r="R37" s="51"/>
      <c r="S37" s="52"/>
      <c r="T37" s="53"/>
      <c r="U37" s="62"/>
      <c r="V37" s="63"/>
      <c r="W37" s="63"/>
      <c r="X37" s="63"/>
      <c r="Y37" s="63"/>
      <c r="Z37" s="63"/>
      <c r="AA37" s="63"/>
      <c r="AB37" s="63"/>
      <c r="AC37" s="63"/>
      <c r="AD37" s="63"/>
      <c r="AE37" s="63"/>
      <c r="AF37" s="63"/>
      <c r="AG37" s="63"/>
      <c r="AH37" s="63"/>
      <c r="AI37" s="63"/>
      <c r="AJ37" s="63"/>
      <c r="AK37" s="63"/>
      <c r="AS37" s="43">
        <v>14</v>
      </c>
    </row>
    <row r="38" ht="14.7" customHeight="1" spans="17:45">
      <c r="Q38" s="51"/>
      <c r="R38" s="51"/>
      <c r="S38" s="64" t="s">
        <v>296</v>
      </c>
      <c r="T38" s="64"/>
      <c r="U38" s="64"/>
      <c r="V38" s="64"/>
      <c r="W38" s="64"/>
      <c r="X38" s="64"/>
      <c r="Y38" s="64"/>
      <c r="Z38" s="64"/>
      <c r="AA38" s="64"/>
      <c r="AB38" s="64"/>
      <c r="AC38" s="64"/>
      <c r="AD38" s="64"/>
      <c r="AE38" s="64"/>
      <c r="AF38" s="64"/>
      <c r="AG38" s="64"/>
      <c r="AH38" s="64"/>
      <c r="AI38" s="64"/>
      <c r="AJ38" s="64"/>
      <c r="AK38" s="64"/>
      <c r="AL38" s="64"/>
      <c r="AM38" s="64" t="s">
        <v>297</v>
      </c>
      <c r="AS38" s="43">
        <v>14</v>
      </c>
    </row>
    <row r="39" ht="14.7" customHeight="1" spans="17:45">
      <c r="Q39" s="51"/>
      <c r="R39" s="51"/>
      <c r="S39" s="65" t="s">
        <v>89</v>
      </c>
      <c r="T39" s="66" t="s">
        <v>420</v>
      </c>
      <c r="U39" s="67"/>
      <c r="V39" s="68" t="s">
        <v>421</v>
      </c>
      <c r="W39" s="69"/>
      <c r="X39" s="69"/>
      <c r="Y39" s="69"/>
      <c r="Z39" s="69"/>
      <c r="AA39" s="69"/>
      <c r="AB39" s="123"/>
      <c r="AC39" s="124" t="s">
        <v>422</v>
      </c>
      <c r="AD39" s="68" t="s">
        <v>421</v>
      </c>
      <c r="AE39" s="69"/>
      <c r="AF39" s="69"/>
      <c r="AG39" s="69"/>
      <c r="AH39" s="69"/>
      <c r="AI39" s="69"/>
      <c r="AJ39" s="123"/>
      <c r="AK39" s="124" t="s">
        <v>423</v>
      </c>
      <c r="AL39" s="125" t="s">
        <v>424</v>
      </c>
      <c r="AM39" s="64"/>
      <c r="AS39" s="43">
        <v>14</v>
      </c>
    </row>
    <row r="40" ht="35.7" customHeight="1" spans="17:45">
      <c r="Q40" s="51"/>
      <c r="R40" s="51"/>
      <c r="S40" s="65"/>
      <c r="T40" s="66"/>
      <c r="U40" s="70"/>
      <c r="V40" s="71" t="s">
        <v>442</v>
      </c>
      <c r="W40" s="1181"/>
      <c r="X40" s="126" t="s">
        <v>427</v>
      </c>
      <c r="Y40" s="127"/>
      <c r="Z40" s="126" t="s">
        <v>428</v>
      </c>
      <c r="AA40" s="128"/>
      <c r="AB40" s="127"/>
      <c r="AC40" s="129"/>
      <c r="AD40" s="71" t="s">
        <v>442</v>
      </c>
      <c r="AE40" s="1181"/>
      <c r="AF40" s="126" t="s">
        <v>427</v>
      </c>
      <c r="AG40" s="127"/>
      <c r="AH40" s="126" t="s">
        <v>428</v>
      </c>
      <c r="AI40" s="128"/>
      <c r="AJ40" s="127"/>
      <c r="AK40" s="129"/>
      <c r="AL40" s="130"/>
      <c r="AM40" s="64"/>
      <c r="AS40" s="43">
        <v>34</v>
      </c>
    </row>
    <row r="41" ht="35.7" customHeight="1" spans="1:45">
      <c r="A41" s="45"/>
      <c r="B41" s="45" t="s">
        <v>133</v>
      </c>
      <c r="C41" s="45" t="s">
        <v>134</v>
      </c>
      <c r="D41" s="45" t="s">
        <v>135</v>
      </c>
      <c r="E41" s="1054" t="s">
        <v>429</v>
      </c>
      <c r="F41" s="1054" t="s">
        <v>430</v>
      </c>
      <c r="G41" s="1054" t="s">
        <v>431</v>
      </c>
      <c r="H41" s="1054" t="s">
        <v>432</v>
      </c>
      <c r="I41" s="1054" t="s">
        <v>433</v>
      </c>
      <c r="J41" s="1054" t="s">
        <v>434</v>
      </c>
      <c r="K41" s="1054" t="s">
        <v>435</v>
      </c>
      <c r="L41" s="1054" t="s">
        <v>414</v>
      </c>
      <c r="Q41" s="51"/>
      <c r="R41" s="51"/>
      <c r="S41" s="65"/>
      <c r="T41" s="66"/>
      <c r="U41" s="72"/>
      <c r="V41" s="73"/>
      <c r="W41" s="222"/>
      <c r="X41" s="131" t="s">
        <v>436</v>
      </c>
      <c r="Y41" s="131" t="s">
        <v>437</v>
      </c>
      <c r="Z41" s="131" t="s">
        <v>438</v>
      </c>
      <c r="AA41" s="132" t="s">
        <v>439</v>
      </c>
      <c r="AB41" s="133"/>
      <c r="AC41" s="134"/>
      <c r="AD41" s="73"/>
      <c r="AE41" s="222"/>
      <c r="AF41" s="131" t="s">
        <v>436</v>
      </c>
      <c r="AG41" s="131" t="s">
        <v>437</v>
      </c>
      <c r="AH41" s="131" t="s">
        <v>438</v>
      </c>
      <c r="AI41" s="132" t="s">
        <v>439</v>
      </c>
      <c r="AJ41" s="133"/>
      <c r="AK41" s="134"/>
      <c r="AL41" s="135"/>
      <c r="AM41" s="64"/>
      <c r="AS41" s="43">
        <v>34</v>
      </c>
    </row>
    <row r="42" s="37" customFormat="1" ht="11.25" hidden="1" customHeight="1" spans="1:45">
      <c r="A42" s="45"/>
      <c r="B42" s="45"/>
      <c r="C42" s="45"/>
      <c r="D42" s="45"/>
      <c r="E42" s="45"/>
      <c r="F42" s="45"/>
      <c r="G42" s="45"/>
      <c r="H42" s="45"/>
      <c r="I42" s="45"/>
      <c r="J42" s="45"/>
      <c r="K42" s="45"/>
      <c r="L42" s="1054"/>
      <c r="M42" s="39"/>
      <c r="N42" s="39"/>
      <c r="O42" s="39"/>
      <c r="P42" s="74"/>
      <c r="Q42" s="75"/>
      <c r="R42" s="76">
        <v>1</v>
      </c>
      <c r="S42" s="77" t="s">
        <v>107</v>
      </c>
      <c r="T42" s="78" t="s">
        <v>108</v>
      </c>
      <c r="U42" s="79" t="str">
        <f ca="1">OFFSET(U42,0,-1)</f>
        <v>2</v>
      </c>
      <c r="V42" s="80">
        <f ca="1">OFFSET(V42,0,-1)+1</f>
        <v>3</v>
      </c>
      <c r="W42" s="80"/>
      <c r="X42" s="80">
        <f ca="1">OFFSET(X42,0,-1)+1</f>
        <v>1</v>
      </c>
      <c r="Y42" s="80">
        <f ca="1">OFFSET(Y42,0,-1)+1</f>
        <v>2</v>
      </c>
      <c r="Z42" s="80">
        <f ca="1">OFFSET(Z42,0,-1)+1</f>
        <v>3</v>
      </c>
      <c r="AA42" s="80">
        <f ca="1">OFFSET(AA42,0,-1)+1</f>
        <v>4</v>
      </c>
      <c r="AB42" s="80"/>
      <c r="AC42" s="80">
        <f ca="1">OFFSET(AC42,0,-2)+1</f>
        <v>5</v>
      </c>
      <c r="AD42" s="80">
        <f ca="1">OFFSET(AD42,0,-1)+1</f>
        <v>6</v>
      </c>
      <c r="AE42" s="80"/>
      <c r="AF42" s="80">
        <f ca="1">OFFSET(AF42,0,-1)+1</f>
        <v>1</v>
      </c>
      <c r="AG42" s="80">
        <f ca="1">OFFSET(AG42,0,-1)+1</f>
        <v>2</v>
      </c>
      <c r="AH42" s="80">
        <f ca="1">OFFSET(AH42,0,-1)+1</f>
        <v>3</v>
      </c>
      <c r="AI42" s="80">
        <f ca="1">OFFSET(AI42,0,-1)+1</f>
        <v>4</v>
      </c>
      <c r="AJ42" s="80"/>
      <c r="AK42" s="80">
        <f ca="1">OFFSET(AK42,0,-2)+1</f>
        <v>5</v>
      </c>
      <c r="AL42" s="79">
        <f ca="1">OFFSET(AL42,0,-1)</f>
        <v>5</v>
      </c>
      <c r="AM42" s="80">
        <f ca="1">OFFSET(AM42,0,-1)+1</f>
        <v>6</v>
      </c>
      <c r="AN42" s="44"/>
      <c r="AO42" s="44"/>
      <c r="AP42" s="44"/>
      <c r="AQ42" s="44"/>
      <c r="AR42" s="44"/>
      <c r="AS42" s="37">
        <v>0</v>
      </c>
    </row>
    <row r="43" ht="22.05" customHeight="1" spans="1:45">
      <c r="A43" s="46" t="s">
        <v>166</v>
      </c>
      <c r="B43" s="46"/>
      <c r="C43" s="46"/>
      <c r="D43" s="46"/>
      <c r="E43" s="1052">
        <v>1</v>
      </c>
      <c r="F43" s="46"/>
      <c r="G43" s="46"/>
      <c r="H43" s="46"/>
      <c r="I43" s="46"/>
      <c r="J43" s="46"/>
      <c r="K43" s="46"/>
      <c r="L43" s="1054"/>
      <c r="M43" s="47"/>
      <c r="N43" s="47"/>
      <c r="O43" s="47"/>
      <c r="Q43" s="81"/>
      <c r="R43" s="82"/>
      <c r="S43" s="65">
        <f>INDEX(PT_DIFFERENTIATION_NUM_NTAR,MATCH(A43,PT_DIFFERENTIATION_NTAR_ID,0))</f>
        <v>0</v>
      </c>
      <c r="T43" s="83" t="s">
        <v>121</v>
      </c>
      <c r="U43" s="84"/>
      <c r="V43" s="1090"/>
      <c r="W43" s="1061"/>
      <c r="X43" s="1061"/>
      <c r="Y43" s="1061"/>
      <c r="Z43" s="1061"/>
      <c r="AA43" s="1061"/>
      <c r="AB43" s="1061"/>
      <c r="AC43" s="1089"/>
      <c r="AD43" s="1090" t="str">
        <f>INDEX(PT_DIFFERENTIATION_NTAR,MATCH(A43,PT_DIFFERENTIATION_NTAR_ID,0))</f>
        <v/>
      </c>
      <c r="AE43" s="1061"/>
      <c r="AF43" s="1061"/>
      <c r="AG43" s="1061"/>
      <c r="AH43" s="1061"/>
      <c r="AI43" s="1061"/>
      <c r="AJ43" s="1061"/>
      <c r="AK43" s="1061"/>
      <c r="AL43" s="1089"/>
      <c r="AM43" s="13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
      <c r="AP43" s="151" t="str">
        <f t="shared" ref="AP43:AP57" si="1">IF(T43="","",T43)</f>
        <v>Наименование тарифа</v>
      </c>
      <c r="AQ43" s="151"/>
      <c r="AR43" s="151"/>
      <c r="AS43" s="43">
        <v>21</v>
      </c>
    </row>
    <row r="44" ht="22.05" customHeight="1" spans="1:45">
      <c r="A44" s="46" t="s">
        <v>166</v>
      </c>
      <c r="B44" s="46" t="s">
        <v>167</v>
      </c>
      <c r="C44" s="46"/>
      <c r="D44" s="46"/>
      <c r="E44" s="1053"/>
      <c r="F44" s="1052">
        <v>1</v>
      </c>
      <c r="G44" s="46"/>
      <c r="H44" s="46"/>
      <c r="I44" s="46"/>
      <c r="J44" s="46"/>
      <c r="K44" s="46"/>
      <c r="L44" s="1054"/>
      <c r="M44" s="47"/>
      <c r="N44" s="47"/>
      <c r="O44" s="47"/>
      <c r="P44" s="86"/>
      <c r="Q44" s="87"/>
      <c r="R44" s="88"/>
      <c r="S44" s="65" t="str">
        <f>INDEX(PT_DIFFERENTIATION_NUM_TER,MATCH(B44,PT_DIFFERENTIATION_TER_ID,0))</f>
        <v>.</v>
      </c>
      <c r="T44" s="89" t="s">
        <v>393</v>
      </c>
      <c r="U44" s="84"/>
      <c r="V44" s="1090"/>
      <c r="W44" s="1061"/>
      <c r="X44" s="1061"/>
      <c r="Y44" s="1061"/>
      <c r="Z44" s="1061"/>
      <c r="AA44" s="1061"/>
      <c r="AB44" s="1061"/>
      <c r="AC44" s="1089"/>
      <c r="AD44" s="1090" t="str">
        <f>INDEX(PT_DIFFERENTIATION_TER,MATCH(B44,PT_DIFFERENTIATION_TER_ID,0))</f>
        <v/>
      </c>
      <c r="AE44" s="1061"/>
      <c r="AF44" s="1061"/>
      <c r="AG44" s="1061"/>
      <c r="AH44" s="1061"/>
      <c r="AI44" s="1061"/>
      <c r="AJ44" s="1061"/>
      <c r="AK44" s="1061"/>
      <c r="AL44" s="1089"/>
      <c r="AM44" s="136" t="s">
        <v>394</v>
      </c>
      <c r="AO44" s="151"/>
      <c r="AP44" s="151" t="str">
        <f t="shared" si="1"/>
        <v>Территория действия тарифа</v>
      </c>
      <c r="AQ44" s="151"/>
      <c r="AR44" s="151"/>
      <c r="AS44" s="43">
        <v>21</v>
      </c>
    </row>
    <row r="45" ht="24" customHeight="1" spans="1:45">
      <c r="A45" s="46" t="s">
        <v>166</v>
      </c>
      <c r="B45" s="46" t="s">
        <v>167</v>
      </c>
      <c r="C45" s="46" t="s">
        <v>168</v>
      </c>
      <c r="D45" s="46"/>
      <c r="E45" s="1053"/>
      <c r="F45" s="1053"/>
      <c r="G45" s="1052">
        <v>1</v>
      </c>
      <c r="H45" s="46"/>
      <c r="I45" s="46"/>
      <c r="J45" s="46"/>
      <c r="K45" s="46"/>
      <c r="L45" s="1054"/>
      <c r="M45" s="47"/>
      <c r="N45" s="47"/>
      <c r="O45" s="47"/>
      <c r="P45" s="90"/>
      <c r="Q45" s="87"/>
      <c r="R45" s="88"/>
      <c r="S45" s="65" t="str">
        <f>INDEX(PT_DIFFERENTIATION_NUM_CS,MATCH(C45,PT_DIFFERENTIATION_CS_ID,0))</f>
        <v>..</v>
      </c>
      <c r="T45" s="91" t="s">
        <v>395</v>
      </c>
      <c r="U45" s="84"/>
      <c r="V45" s="1090"/>
      <c r="W45" s="1061"/>
      <c r="X45" s="1061"/>
      <c r="Y45" s="1061"/>
      <c r="Z45" s="1061"/>
      <c r="AA45" s="1061"/>
      <c r="AB45" s="1061"/>
      <c r="AC45" s="1089"/>
      <c r="AD45" s="1090" t="str">
        <f>INDEX(PT_DIFFERENTIATION_CS,MATCH(C45,PT_DIFFERENTIATION_CS_ID,0))</f>
        <v/>
      </c>
      <c r="AE45" s="1061"/>
      <c r="AF45" s="1061"/>
      <c r="AG45" s="1061"/>
      <c r="AH45" s="1061"/>
      <c r="AI45" s="1061"/>
      <c r="AJ45" s="1061"/>
      <c r="AK45" s="1061"/>
      <c r="AL45" s="1089"/>
      <c r="AM45" s="136" t="s">
        <v>396</v>
      </c>
      <c r="AO45" s="151"/>
      <c r="AP45" s="151" t="str">
        <f t="shared" si="1"/>
        <v>Наименование системы теплоснабжения </v>
      </c>
      <c r="AQ45" s="151"/>
      <c r="AR45" s="151"/>
      <c r="AS45" s="43">
        <v>23</v>
      </c>
    </row>
    <row r="46" ht="22.05" customHeight="1" spans="1:45">
      <c r="A46" s="46" t="s">
        <v>166</v>
      </c>
      <c r="B46" s="46" t="s">
        <v>167</v>
      </c>
      <c r="C46" s="46" t="s">
        <v>168</v>
      </c>
      <c r="D46" s="46" t="s">
        <v>169</v>
      </c>
      <c r="E46" s="1053"/>
      <c r="F46" s="1053"/>
      <c r="G46" s="1053"/>
      <c r="H46" s="1052">
        <v>1</v>
      </c>
      <c r="I46" s="46"/>
      <c r="J46" s="46"/>
      <c r="K46" s="46"/>
      <c r="L46" s="1054"/>
      <c r="M46" s="47"/>
      <c r="N46" s="47"/>
      <c r="O46" s="47"/>
      <c r="P46" s="90"/>
      <c r="Q46" s="87"/>
      <c r="R46" s="88"/>
      <c r="S46" s="65" t="str">
        <f>INDEX(PT_DIFFERENTIATION_NUM_IST_TE,MATCH(D46,PT_DIFFERENTIATION_IST_TE_ID,0))</f>
        <v>...</v>
      </c>
      <c r="T46" s="92" t="s">
        <v>397</v>
      </c>
      <c r="U46" s="84"/>
      <c r="V46" s="1090"/>
      <c r="W46" s="1061"/>
      <c r="X46" s="1061"/>
      <c r="Y46" s="1061"/>
      <c r="Z46" s="1061"/>
      <c r="AA46" s="1061"/>
      <c r="AB46" s="1061"/>
      <c r="AC46" s="1089"/>
      <c r="AD46" s="1090" t="str">
        <f>INDEX(PT_DIFFERENTIATION_IST_TE,MATCH(D46,PT_DIFFERENTIATION_IST_TE_ID,0))</f>
        <v/>
      </c>
      <c r="AE46" s="1061"/>
      <c r="AF46" s="1061"/>
      <c r="AG46" s="1061"/>
      <c r="AH46" s="1061"/>
      <c r="AI46" s="1061"/>
      <c r="AJ46" s="1061"/>
      <c r="AK46" s="1061"/>
      <c r="AL46" s="1089"/>
      <c r="AM46" s="136" t="s">
        <v>398</v>
      </c>
      <c r="AO46" s="151"/>
      <c r="AP46" s="151" t="str">
        <f t="shared" si="1"/>
        <v>Источник тепловой энергии  </v>
      </c>
      <c r="AQ46" s="151"/>
      <c r="AR46" s="151"/>
      <c r="AS46" s="43">
        <v>21</v>
      </c>
    </row>
    <row r="47" s="44" customFormat="1" hidden="1" customHeight="1" spans="1:45">
      <c r="A47" s="590" t="s">
        <v>166</v>
      </c>
      <c r="B47" s="590" t="s">
        <v>167</v>
      </c>
      <c r="C47" s="590" t="s">
        <v>168</v>
      </c>
      <c r="D47" s="590" t="s">
        <v>169</v>
      </c>
      <c r="E47" s="1053"/>
      <c r="F47" s="1053"/>
      <c r="G47" s="1053"/>
      <c r="H47" s="1053"/>
      <c r="I47" s="229" t="str">
        <f>S46&amp;".1"</f>
        <v>....1</v>
      </c>
      <c r="J47" s="590"/>
      <c r="K47" s="590"/>
      <c r="L47" s="611" t="s">
        <v>399</v>
      </c>
      <c r="M47" s="1057"/>
      <c r="N47" s="1057"/>
      <c r="O47" s="1057"/>
      <c r="P47" s="93">
        <v>1</v>
      </c>
      <c r="Q47" s="93"/>
      <c r="R47" s="94"/>
      <c r="S47" s="330"/>
      <c r="T47" s="1067"/>
      <c r="U47" s="1065"/>
      <c r="V47" s="1092"/>
      <c r="W47" s="1066"/>
      <c r="X47" s="1066"/>
      <c r="Y47" s="1066"/>
      <c r="Z47" s="1066"/>
      <c r="AA47" s="1066"/>
      <c r="AB47" s="1066"/>
      <c r="AC47" s="1091"/>
      <c r="AD47" s="1092"/>
      <c r="AE47" s="1066"/>
      <c r="AF47" s="1066"/>
      <c r="AG47" s="1066"/>
      <c r="AH47" s="1066"/>
      <c r="AI47" s="1066"/>
      <c r="AJ47" s="1066"/>
      <c r="AK47" s="1066"/>
      <c r="AL47" s="1091"/>
      <c r="AM47" s="995"/>
      <c r="AO47" s="151"/>
      <c r="AP47" s="151" t="str">
        <f t="shared" si="1"/>
        <v/>
      </c>
      <c r="AQ47" s="151"/>
      <c r="AR47" s="151"/>
      <c r="AS47" s="44">
        <v>0</v>
      </c>
    </row>
    <row r="48" ht="22.05" customHeight="1" spans="1:45">
      <c r="A48" s="46" t="s">
        <v>166</v>
      </c>
      <c r="B48" s="46" t="s">
        <v>167</v>
      </c>
      <c r="C48" s="46" t="s">
        <v>168</v>
      </c>
      <c r="D48" s="46" t="s">
        <v>169</v>
      </c>
      <c r="E48" s="1053"/>
      <c r="F48" s="1053"/>
      <c r="G48" s="1053"/>
      <c r="H48" s="1053"/>
      <c r="I48" s="1058"/>
      <c r="J48" s="229" t="str">
        <f>S46&amp;".1"</f>
        <v>....1</v>
      </c>
      <c r="K48" s="46"/>
      <c r="L48" s="1054" t="s">
        <v>402</v>
      </c>
      <c r="P48" s="93"/>
      <c r="Q48" s="93">
        <v>1</v>
      </c>
      <c r="R48" s="97"/>
      <c r="S48" s="65" t="str">
        <f>$J48</f>
        <v>....1</v>
      </c>
      <c r="T48" s="98" t="s">
        <v>403</v>
      </c>
      <c r="U48" s="84"/>
      <c r="V48" s="99"/>
      <c r="W48" s="100"/>
      <c r="X48" s="100"/>
      <c r="Y48" s="100"/>
      <c r="Z48" s="100"/>
      <c r="AA48" s="100"/>
      <c r="AB48" s="100"/>
      <c r="AC48" s="137"/>
      <c r="AD48" s="99"/>
      <c r="AE48" s="100"/>
      <c r="AF48" s="100"/>
      <c r="AG48" s="100"/>
      <c r="AH48" s="100"/>
      <c r="AI48" s="100"/>
      <c r="AJ48" s="100"/>
      <c r="AK48" s="100"/>
      <c r="AL48" s="137"/>
      <c r="AM48" s="136" t="s">
        <v>404</v>
      </c>
      <c r="AO48" s="151"/>
      <c r="AP48" s="151" t="str">
        <f t="shared" si="1"/>
        <v>Группа потребителей</v>
      </c>
      <c r="AQ48" s="151"/>
      <c r="AR48" s="151"/>
      <c r="AS48" s="43">
        <v>21</v>
      </c>
    </row>
    <row r="49" ht="22.05" customHeight="1" spans="1:45">
      <c r="A49" s="46" t="s">
        <v>166</v>
      </c>
      <c r="B49" s="46" t="s">
        <v>167</v>
      </c>
      <c r="C49" s="46" t="s">
        <v>168</v>
      </c>
      <c r="D49" s="46" t="s">
        <v>169</v>
      </c>
      <c r="E49" s="1053"/>
      <c r="F49" s="1053"/>
      <c r="G49" s="1053"/>
      <c r="H49" s="1053"/>
      <c r="I49" s="1058"/>
      <c r="J49" s="1058"/>
      <c r="K49" s="229" t="str">
        <f>J48&amp;".1"</f>
        <v>....1.1</v>
      </c>
      <c r="L49" s="1054" t="s">
        <v>405</v>
      </c>
      <c r="P49" s="93"/>
      <c r="Q49" s="93"/>
      <c r="R49" s="97">
        <v>1</v>
      </c>
      <c r="S49" s="65" t="str">
        <f>$K49</f>
        <v>....1.1</v>
      </c>
      <c r="T49" s="101"/>
      <c r="U49" s="84"/>
      <c r="V49" s="102"/>
      <c r="W49" s="103"/>
      <c r="X49" s="102"/>
      <c r="Y49" s="138"/>
      <c r="Z49" s="139"/>
      <c r="AA49" s="140" t="s">
        <v>66</v>
      </c>
      <c r="AB49" s="139"/>
      <c r="AC49" s="140" t="s">
        <v>66</v>
      </c>
      <c r="AD49" s="102"/>
      <c r="AE49" s="103"/>
      <c r="AF49" s="102"/>
      <c r="AG49" s="138"/>
      <c r="AH49" s="139"/>
      <c r="AI49" s="140" t="s">
        <v>66</v>
      </c>
      <c r="AJ49" s="1137"/>
      <c r="AK49" s="140" t="s">
        <v>66</v>
      </c>
      <c r="AL49" s="1120"/>
      <c r="AM49" s="141" t="s">
        <v>443</v>
      </c>
      <c r="AN49" s="44" t="e">
        <f>STRCHECKDATE(V50:AL50)</f>
        <v>#NAME?</v>
      </c>
      <c r="AO49" s="151"/>
      <c r="AP49" s="151" t="str">
        <f t="shared" si="1"/>
        <v/>
      </c>
      <c r="AQ49" s="151"/>
      <c r="AR49" s="151"/>
      <c r="AS49" s="43">
        <v>21</v>
      </c>
    </row>
    <row r="50" ht="1.05" customHeight="1" spans="1:45">
      <c r="A50" s="46" t="s">
        <v>166</v>
      </c>
      <c r="B50" s="46" t="s">
        <v>167</v>
      </c>
      <c r="C50" s="46" t="s">
        <v>168</v>
      </c>
      <c r="D50" s="46" t="s">
        <v>169</v>
      </c>
      <c r="E50" s="1053"/>
      <c r="F50" s="1053"/>
      <c r="G50" s="1053"/>
      <c r="H50" s="1053"/>
      <c r="I50" s="1058"/>
      <c r="J50" s="1058"/>
      <c r="K50" s="229"/>
      <c r="L50" s="1054"/>
      <c r="P50" s="93"/>
      <c r="Q50" s="93"/>
      <c r="R50" s="97"/>
      <c r="S50" s="104"/>
      <c r="T50" s="84"/>
      <c r="U50" s="84"/>
      <c r="V50" s="103"/>
      <c r="W50" s="103"/>
      <c r="X50" s="103"/>
      <c r="Y50" s="142" t="str">
        <f>Z49&amp;"-"&amp;AB49</f>
        <v>-</v>
      </c>
      <c r="Z50" s="143"/>
      <c r="AA50" s="140"/>
      <c r="AB50" s="143"/>
      <c r="AC50" s="140"/>
      <c r="AD50" s="103"/>
      <c r="AE50" s="103"/>
      <c r="AF50" s="103"/>
      <c r="AG50" s="142" t="str">
        <f>AH49&amp;"-"&amp;AJ49</f>
        <v>-</v>
      </c>
      <c r="AH50" s="143"/>
      <c r="AI50" s="140"/>
      <c r="AJ50" s="1140"/>
      <c r="AK50" s="140"/>
      <c r="AL50" s="1163"/>
      <c r="AM50" s="144"/>
      <c r="AO50" s="151"/>
      <c r="AP50" s="151" t="str">
        <f t="shared" si="1"/>
        <v/>
      </c>
      <c r="AQ50" s="151"/>
      <c r="AR50" s="151"/>
      <c r="AS50" s="43">
        <v>1</v>
      </c>
    </row>
    <row r="51" ht="11.55" customHeight="1" spans="1:45">
      <c r="A51" s="46" t="s">
        <v>166</v>
      </c>
      <c r="B51" s="46" t="s">
        <v>167</v>
      </c>
      <c r="C51" s="46" t="s">
        <v>168</v>
      </c>
      <c r="D51" s="46" t="s">
        <v>169</v>
      </c>
      <c r="E51" s="1053"/>
      <c r="F51" s="1053"/>
      <c r="G51" s="1053"/>
      <c r="H51" s="1053"/>
      <c r="I51" s="1058"/>
      <c r="J51" s="229"/>
      <c r="K51" s="46"/>
      <c r="L51" s="1054"/>
      <c r="P51" s="93"/>
      <c r="Q51" s="93"/>
      <c r="R51" s="94"/>
      <c r="S51" s="105"/>
      <c r="T51" s="108" t="s">
        <v>407</v>
      </c>
      <c r="U51" s="107"/>
      <c r="V51" s="107"/>
      <c r="W51" s="107"/>
      <c r="X51" s="107"/>
      <c r="Y51" s="107"/>
      <c r="Z51" s="107"/>
      <c r="AA51" s="107"/>
      <c r="AB51" s="107"/>
      <c r="AC51" s="107"/>
      <c r="AD51" s="107"/>
      <c r="AE51" s="107"/>
      <c r="AF51" s="107"/>
      <c r="AG51" s="107"/>
      <c r="AH51" s="107"/>
      <c r="AI51" s="107"/>
      <c r="AJ51" s="107"/>
      <c r="AK51" s="107"/>
      <c r="AL51" s="145"/>
      <c r="AM51" s="146"/>
      <c r="AO51" s="151"/>
      <c r="AP51" s="151" t="str">
        <f t="shared" si="1"/>
        <v>Добавить вид теплоносителя (параметры теплоносителя)</v>
      </c>
      <c r="AQ51" s="151"/>
      <c r="AR51" s="151"/>
      <c r="AS51" s="43">
        <v>11</v>
      </c>
    </row>
    <row r="52" ht="11.55" customHeight="1" spans="1:45">
      <c r="A52" s="46" t="s">
        <v>166</v>
      </c>
      <c r="B52" s="46" t="s">
        <v>167</v>
      </c>
      <c r="C52" s="46" t="s">
        <v>168</v>
      </c>
      <c r="D52" s="46" t="s">
        <v>169</v>
      </c>
      <c r="E52" s="1053"/>
      <c r="F52" s="1053"/>
      <c r="G52" s="1053"/>
      <c r="H52" s="1053"/>
      <c r="I52" s="229"/>
      <c r="J52" s="46"/>
      <c r="K52" s="46"/>
      <c r="L52" s="1054"/>
      <c r="P52" s="93"/>
      <c r="Q52" s="93"/>
      <c r="R52" s="94"/>
      <c r="S52" s="105"/>
      <c r="T52" s="110" t="s">
        <v>408</v>
      </c>
      <c r="U52" s="107"/>
      <c r="V52" s="107"/>
      <c r="W52" s="107"/>
      <c r="X52" s="107"/>
      <c r="Y52" s="107"/>
      <c r="Z52" s="107"/>
      <c r="AA52" s="107"/>
      <c r="AB52" s="107"/>
      <c r="AC52" s="147"/>
      <c r="AD52" s="107"/>
      <c r="AE52" s="107"/>
      <c r="AF52" s="107"/>
      <c r="AG52" s="107"/>
      <c r="AH52" s="107"/>
      <c r="AI52" s="107"/>
      <c r="AJ52" s="107"/>
      <c r="AK52" s="147"/>
      <c r="AL52" s="107"/>
      <c r="AM52" s="148"/>
      <c r="AO52" s="151"/>
      <c r="AP52" s="151" t="str">
        <f t="shared" si="1"/>
        <v>Добавить группу потребителей</v>
      </c>
      <c r="AQ52" s="151"/>
      <c r="AR52" s="151"/>
      <c r="AS52" s="43">
        <v>11</v>
      </c>
    </row>
    <row r="53" hidden="1" customHeight="1" spans="1:45">
      <c r="A53" s="46" t="s">
        <v>166</v>
      </c>
      <c r="B53" s="46" t="s">
        <v>167</v>
      </c>
      <c r="C53" s="46" t="s">
        <v>168</v>
      </c>
      <c r="D53" s="46" t="s">
        <v>169</v>
      </c>
      <c r="E53" s="1053"/>
      <c r="F53" s="1053"/>
      <c r="G53" s="1053"/>
      <c r="H53" s="1052"/>
      <c r="I53" s="46"/>
      <c r="J53" s="46"/>
      <c r="K53" s="46"/>
      <c r="L53" s="1054"/>
      <c r="M53" s="47"/>
      <c r="N53" s="47"/>
      <c r="O53" s="38"/>
      <c r="P53" s="81"/>
      <c r="Q53" s="109"/>
      <c r="R53" s="82"/>
      <c r="S53" s="1079"/>
      <c r="T53" s="1080"/>
      <c r="U53" s="1081"/>
      <c r="V53" s="1081"/>
      <c r="W53" s="1081"/>
      <c r="X53" s="1081"/>
      <c r="Y53" s="1081"/>
      <c r="Z53" s="1081"/>
      <c r="AA53" s="1081"/>
      <c r="AB53" s="1081"/>
      <c r="AC53" s="1081"/>
      <c r="AD53" s="1081"/>
      <c r="AE53" s="1081"/>
      <c r="AF53" s="1081"/>
      <c r="AG53" s="1081"/>
      <c r="AH53" s="1081"/>
      <c r="AI53" s="1081"/>
      <c r="AJ53" s="1081"/>
      <c r="AK53" s="1081"/>
      <c r="AL53" s="1081"/>
      <c r="AM53" s="1123"/>
      <c r="AO53" s="151"/>
      <c r="AP53" s="151" t="str">
        <f t="shared" si="1"/>
        <v/>
      </c>
      <c r="AQ53" s="151"/>
      <c r="AR53" s="151"/>
      <c r="AS53" s="43">
        <v>0</v>
      </c>
    </row>
    <row r="54" s="44" customFormat="1" ht="1.05" customHeight="1" spans="1:45">
      <c r="A54" s="590" t="s">
        <v>166</v>
      </c>
      <c r="B54" s="590" t="s">
        <v>167</v>
      </c>
      <c r="C54" s="590" t="s">
        <v>168</v>
      </c>
      <c r="D54" s="590"/>
      <c r="E54" s="1053"/>
      <c r="F54" s="1053"/>
      <c r="G54" s="1052"/>
      <c r="H54" s="590"/>
      <c r="I54" s="590"/>
      <c r="J54" s="590"/>
      <c r="K54" s="590"/>
      <c r="L54" s="611"/>
      <c r="M54" s="283"/>
      <c r="N54" s="283"/>
      <c r="P54" s="152"/>
      <c r="Q54" s="1082"/>
      <c r="R54" s="152"/>
      <c r="S54" s="1084"/>
      <c r="T54" s="1085" t="s">
        <v>410</v>
      </c>
      <c r="U54" s="307"/>
      <c r="V54" s="307"/>
      <c r="W54" s="307"/>
      <c r="X54" s="307"/>
      <c r="Y54" s="307"/>
      <c r="Z54" s="307"/>
      <c r="AA54" s="307"/>
      <c r="AB54" s="307"/>
      <c r="AC54" s="307"/>
      <c r="AD54" s="307"/>
      <c r="AE54" s="307"/>
      <c r="AF54" s="307"/>
      <c r="AG54" s="307"/>
      <c r="AH54" s="307"/>
      <c r="AI54" s="307"/>
      <c r="AJ54" s="307"/>
      <c r="AK54" s="307"/>
      <c r="AL54" s="307"/>
      <c r="AM54" s="307"/>
      <c r="AO54" s="151"/>
      <c r="AP54" s="151" t="str">
        <f t="shared" si="1"/>
        <v>Добавить источник для дифференциации</v>
      </c>
      <c r="AQ54" s="151"/>
      <c r="AR54" s="151"/>
      <c r="AS54" s="44">
        <v>1</v>
      </c>
    </row>
    <row r="55" s="44" customFormat="1" ht="1.05" customHeight="1" spans="1:45">
      <c r="A55" s="590" t="s">
        <v>166</v>
      </c>
      <c r="B55" s="590" t="s">
        <v>167</v>
      </c>
      <c r="C55" s="590"/>
      <c r="D55" s="590"/>
      <c r="E55" s="1053"/>
      <c r="F55" s="1052"/>
      <c r="G55" s="590"/>
      <c r="H55" s="590"/>
      <c r="I55" s="590"/>
      <c r="J55" s="590"/>
      <c r="K55" s="590"/>
      <c r="L55" s="611"/>
      <c r="M55" s="1059"/>
      <c r="N55" s="1059"/>
      <c r="P55" s="152"/>
      <c r="Q55" s="1082"/>
      <c r="R55" s="152"/>
      <c r="S55" s="1084"/>
      <c r="T55" s="1085" t="s">
        <v>411</v>
      </c>
      <c r="U55" s="307"/>
      <c r="V55" s="307"/>
      <c r="W55" s="307"/>
      <c r="X55" s="307"/>
      <c r="Y55" s="307"/>
      <c r="Z55" s="307"/>
      <c r="AA55" s="307"/>
      <c r="AB55" s="307"/>
      <c r="AC55" s="307"/>
      <c r="AD55" s="307"/>
      <c r="AE55" s="307"/>
      <c r="AF55" s="307"/>
      <c r="AG55" s="307"/>
      <c r="AH55" s="307"/>
      <c r="AI55" s="307"/>
      <c r="AJ55" s="307"/>
      <c r="AK55" s="307"/>
      <c r="AL55" s="307"/>
      <c r="AM55" s="307"/>
      <c r="AO55" s="151"/>
      <c r="AP55" s="151" t="str">
        <f t="shared" si="1"/>
        <v>Добавить централизованную систему для дифференциации</v>
      </c>
      <c r="AQ55" s="151"/>
      <c r="AR55" s="151"/>
      <c r="AS55" s="44">
        <v>1</v>
      </c>
    </row>
    <row r="56" s="44" customFormat="1" ht="1.05" customHeight="1" spans="1:45">
      <c r="A56" s="590" t="s">
        <v>166</v>
      </c>
      <c r="B56" s="590"/>
      <c r="C56" s="590"/>
      <c r="D56" s="590"/>
      <c r="E56" s="1052"/>
      <c r="F56" s="590"/>
      <c r="G56" s="590"/>
      <c r="H56" s="590"/>
      <c r="I56" s="590"/>
      <c r="J56" s="590"/>
      <c r="K56" s="590"/>
      <c r="L56" s="611"/>
      <c r="M56" s="1059"/>
      <c r="N56" s="1059"/>
      <c r="P56" s="152"/>
      <c r="Q56" s="1082"/>
      <c r="R56" s="152"/>
      <c r="S56" s="1084"/>
      <c r="T56" s="1085" t="s">
        <v>412</v>
      </c>
      <c r="U56" s="307"/>
      <c r="V56" s="307"/>
      <c r="W56" s="307"/>
      <c r="X56" s="307"/>
      <c r="Y56" s="307"/>
      <c r="Z56" s="307"/>
      <c r="AA56" s="307"/>
      <c r="AB56" s="307"/>
      <c r="AC56" s="307"/>
      <c r="AD56" s="307"/>
      <c r="AE56" s="307"/>
      <c r="AF56" s="307"/>
      <c r="AG56" s="307"/>
      <c r="AH56" s="307"/>
      <c r="AI56" s="307"/>
      <c r="AJ56" s="307"/>
      <c r="AK56" s="307"/>
      <c r="AL56" s="307"/>
      <c r="AM56" s="307"/>
      <c r="AO56" s="151"/>
      <c r="AP56" s="151" t="str">
        <f t="shared" si="1"/>
        <v>Добавить территорию для дифференциации</v>
      </c>
      <c r="AQ56" s="151"/>
      <c r="AR56" s="151"/>
      <c r="AS56" s="44">
        <v>1</v>
      </c>
    </row>
    <row r="57" s="44" customFormat="1" ht="1.05" customHeight="1" spans="1:45">
      <c r="A57" s="590"/>
      <c r="B57" s="590"/>
      <c r="C57" s="590"/>
      <c r="D57" s="590"/>
      <c r="E57" s="590"/>
      <c r="F57" s="590"/>
      <c r="G57" s="590"/>
      <c r="H57" s="590"/>
      <c r="I57" s="590"/>
      <c r="J57" s="590"/>
      <c r="K57" s="590"/>
      <c r="L57" s="611"/>
      <c r="M57" s="1059"/>
      <c r="N57" s="1059"/>
      <c r="P57" s="152"/>
      <c r="Q57" s="1082"/>
      <c r="R57" s="152"/>
      <c r="S57" s="1084"/>
      <c r="T57" s="1085" t="s">
        <v>440</v>
      </c>
      <c r="U57" s="307"/>
      <c r="V57" s="307"/>
      <c r="W57" s="307"/>
      <c r="X57" s="307"/>
      <c r="Y57" s="307"/>
      <c r="Z57" s="307"/>
      <c r="AA57" s="307"/>
      <c r="AB57" s="307"/>
      <c r="AC57" s="307"/>
      <c r="AD57" s="307"/>
      <c r="AE57" s="307"/>
      <c r="AF57" s="307"/>
      <c r="AG57" s="307"/>
      <c r="AH57" s="307"/>
      <c r="AI57" s="307"/>
      <c r="AJ57" s="307"/>
      <c r="AK57" s="307"/>
      <c r="AL57" s="307"/>
      <c r="AM57" s="307"/>
      <c r="AO57" s="151"/>
      <c r="AP57" s="151" t="str">
        <f t="shared" si="1"/>
        <v>Добавить наименование тарифа</v>
      </c>
      <c r="AQ57" s="151"/>
      <c r="AR57" s="151"/>
      <c r="AS57" s="44">
        <v>1</v>
      </c>
    </row>
    <row r="58" ht="11.55" customHeight="1" spans="13:45">
      <c r="M58" s="38"/>
      <c r="N58" s="38"/>
      <c r="O58" s="38"/>
      <c r="P58" s="43"/>
      <c r="Q58" s="43"/>
      <c r="R58" s="43"/>
      <c r="S58" s="43"/>
      <c r="AN58" s="43"/>
      <c r="AO58" s="43"/>
      <c r="AP58" s="43"/>
      <c r="AQ58" s="43"/>
      <c r="AR58" s="43"/>
      <c r="AS58" s="43">
        <v>11</v>
      </c>
    </row>
    <row r="59" ht="19.95" customHeight="1" spans="15:45">
      <c r="O59" s="38"/>
      <c r="S59" s="786"/>
      <c r="T59" s="120"/>
      <c r="U59" s="120"/>
      <c r="V59" s="120"/>
      <c r="W59" s="120"/>
      <c r="X59" s="120"/>
      <c r="Y59" s="120"/>
      <c r="Z59" s="120"/>
      <c r="AA59" s="120"/>
      <c r="AB59" s="120"/>
      <c r="AC59" s="120"/>
      <c r="AD59" s="120"/>
      <c r="AE59" s="120"/>
      <c r="AF59" s="120"/>
      <c r="AG59" s="120"/>
      <c r="AH59" s="120"/>
      <c r="AI59" s="120"/>
      <c r="AJ59" s="120"/>
      <c r="AK59" s="120"/>
      <c r="AL59" s="120"/>
      <c r="AM59" s="120"/>
      <c r="AS59" s="43">
        <v>19</v>
      </c>
    </row>
    <row r="60" ht="29.25" customHeight="1" spans="15:45">
      <c r="O60" s="38"/>
      <c r="T60" s="120"/>
      <c r="U60" s="120"/>
      <c r="V60" s="120"/>
      <c r="W60" s="120"/>
      <c r="X60" s="120"/>
      <c r="Y60" s="120"/>
      <c r="Z60" s="120"/>
      <c r="AA60" s="120"/>
      <c r="AB60" s="120"/>
      <c r="AC60" s="120"/>
      <c r="AD60" s="120"/>
      <c r="AE60" s="120"/>
      <c r="AF60" s="120"/>
      <c r="AG60" s="120"/>
      <c r="AH60" s="120"/>
      <c r="AI60" s="120"/>
      <c r="AJ60" s="120"/>
      <c r="AK60" s="120"/>
      <c r="AL60" s="120"/>
      <c r="AM60" s="120"/>
      <c r="AS60" s="43">
        <v>28</v>
      </c>
    </row>
    <row r="61" ht="42" customHeight="1" spans="15:45">
      <c r="O61" s="38"/>
      <c r="T61" s="120"/>
      <c r="U61" s="120"/>
      <c r="V61" s="120"/>
      <c r="W61" s="120"/>
      <c r="X61" s="120"/>
      <c r="Y61" s="120"/>
      <c r="Z61" s="120"/>
      <c r="AA61" s="120"/>
      <c r="AB61" s="120"/>
      <c r="AC61" s="120"/>
      <c r="AD61" s="120"/>
      <c r="AE61" s="120"/>
      <c r="AF61" s="120"/>
      <c r="AG61" s="120"/>
      <c r="AH61" s="120"/>
      <c r="AI61" s="120"/>
      <c r="AJ61" s="120"/>
      <c r="AK61" s="120"/>
      <c r="AL61" s="120"/>
      <c r="AM61" s="120"/>
      <c r="AS61" s="43">
        <v>40</v>
      </c>
    </row>
    <row r="62" ht="14.7" customHeight="1" spans="15:45">
      <c r="O62" s="38"/>
      <c r="AS62" s="43">
        <v>14</v>
      </c>
    </row>
    <row r="63" ht="21" customHeight="1" spans="15:45">
      <c r="O63" s="38"/>
      <c r="S63" s="786"/>
      <c r="T63" s="1182"/>
      <c r="U63" s="120"/>
      <c r="V63" s="120"/>
      <c r="W63" s="120"/>
      <c r="X63" s="120"/>
      <c r="Y63" s="120"/>
      <c r="Z63" s="120"/>
      <c r="AA63" s="120"/>
      <c r="AB63" s="120"/>
      <c r="AC63" s="120"/>
      <c r="AD63" s="120"/>
      <c r="AE63" s="120"/>
      <c r="AF63" s="120"/>
      <c r="AG63" s="120"/>
      <c r="AH63" s="120"/>
      <c r="AI63" s="120"/>
      <c r="AJ63" s="120"/>
      <c r="AK63" s="120"/>
      <c r="AL63" s="120"/>
      <c r="AM63" s="120"/>
      <c r="AS63" s="43">
        <v>20</v>
      </c>
    </row>
    <row r="64" ht="29.25" customHeight="1" spans="15:45">
      <c r="O64" s="38"/>
      <c r="T64" s="120"/>
      <c r="U64" s="120"/>
      <c r="V64" s="120"/>
      <c r="W64" s="120"/>
      <c r="X64" s="120"/>
      <c r="Y64" s="120"/>
      <c r="Z64" s="120"/>
      <c r="AA64" s="120"/>
      <c r="AB64" s="120"/>
      <c r="AC64" s="120"/>
      <c r="AD64" s="120"/>
      <c r="AE64" s="120"/>
      <c r="AF64" s="120"/>
      <c r="AG64" s="120"/>
      <c r="AH64" s="120"/>
      <c r="AI64" s="120"/>
      <c r="AJ64" s="120"/>
      <c r="AK64" s="120"/>
      <c r="AL64" s="120"/>
      <c r="AM64" s="120"/>
      <c r="AS64" s="43">
        <v>28</v>
      </c>
    </row>
    <row r="65" ht="35.7" customHeight="1" spans="20:45">
      <c r="T65" s="120"/>
      <c r="U65" s="120"/>
      <c r="V65" s="120"/>
      <c r="W65" s="120"/>
      <c r="X65" s="120"/>
      <c r="Y65" s="120"/>
      <c r="Z65" s="120"/>
      <c r="AA65" s="120"/>
      <c r="AB65" s="120"/>
      <c r="AC65" s="120"/>
      <c r="AD65" s="120"/>
      <c r="AE65" s="120"/>
      <c r="AF65" s="120"/>
      <c r="AG65" s="120"/>
      <c r="AH65" s="120"/>
      <c r="AI65" s="120"/>
      <c r="AJ65" s="120"/>
      <c r="AK65" s="120"/>
      <c r="AL65" s="120"/>
      <c r="AM65" s="120"/>
      <c r="AS65" s="43">
        <v>34</v>
      </c>
    </row>
    <row r="66" ht="22.5" hidden="1" customHeight="1" spans="1:45">
      <c r="A66" s="38" t="s">
        <v>83</v>
      </c>
      <c r="B66" s="38">
        <v>0</v>
      </c>
      <c r="C66" s="38">
        <v>0</v>
      </c>
      <c r="D66" s="38">
        <v>0</v>
      </c>
      <c r="E66" s="38">
        <v>0</v>
      </c>
      <c r="F66" s="38">
        <v>0</v>
      </c>
      <c r="G66" s="38">
        <v>0</v>
      </c>
      <c r="H66" s="38">
        <v>0</v>
      </c>
      <c r="I66" s="38">
        <v>0</v>
      </c>
      <c r="J66" s="38">
        <v>0</v>
      </c>
      <c r="K66" s="38">
        <v>0</v>
      </c>
      <c r="L66" s="48">
        <v>0</v>
      </c>
      <c r="M66" s="39">
        <v>0</v>
      </c>
      <c r="N66" s="39">
        <v>0</v>
      </c>
      <c r="O66" s="39">
        <v>0</v>
      </c>
      <c r="P66" s="40">
        <v>0</v>
      </c>
      <c r="Q66" s="41">
        <v>3</v>
      </c>
      <c r="R66" s="41">
        <v>3</v>
      </c>
      <c r="S66" s="42">
        <v>12</v>
      </c>
      <c r="T66" s="43">
        <v>31</v>
      </c>
      <c r="U66" s="43">
        <v>0</v>
      </c>
      <c r="V66" s="43">
        <v>0</v>
      </c>
      <c r="W66" s="43">
        <v>0</v>
      </c>
      <c r="X66" s="43">
        <v>0</v>
      </c>
      <c r="Y66" s="43">
        <v>0</v>
      </c>
      <c r="Z66" s="43">
        <v>0</v>
      </c>
      <c r="AA66" s="43">
        <v>0</v>
      </c>
      <c r="AB66" s="43">
        <v>0</v>
      </c>
      <c r="AC66" s="43">
        <v>0</v>
      </c>
      <c r="AD66" s="43">
        <v>24</v>
      </c>
      <c r="AE66" s="43">
        <v>0</v>
      </c>
      <c r="AF66" s="43">
        <v>24</v>
      </c>
      <c r="AG66" s="43">
        <v>24</v>
      </c>
      <c r="AH66" s="43">
        <v>11</v>
      </c>
      <c r="AI66" s="43">
        <v>3</v>
      </c>
      <c r="AJ66" s="43">
        <v>11</v>
      </c>
      <c r="AK66" s="43">
        <v>0</v>
      </c>
      <c r="AL66" s="43">
        <v>4</v>
      </c>
      <c r="AM66" s="43">
        <v>115</v>
      </c>
      <c r="AN66" s="44">
        <v>10</v>
      </c>
      <c r="AO66" s="44">
        <v>10</v>
      </c>
      <c r="AP66" s="44">
        <v>10</v>
      </c>
      <c r="AQ66" s="44">
        <v>10</v>
      </c>
      <c r="AR66" s="44">
        <v>10</v>
      </c>
      <c r="AS66" s="43">
        <v>23</v>
      </c>
    </row>
  </sheetData>
  <sheetProtection formatColumns="0" formatRows="0" insertRows="0" deleteColumns="0" deleteRows="0" sort="0" autoFilter="0"/>
  <mergeCells count="113">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1:AM61"/>
    <mergeCell ref="T63:AM63"/>
    <mergeCell ref="T64:AM64"/>
    <mergeCell ref="T65:AM65"/>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6"/>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71428571428571" style="40" hidden="1" customWidth="1"/>
    <col min="17" max="18" width="3" style="41" customWidth="1"/>
    <col min="19" max="19" width="12" style="42" customWidth="1"/>
    <col min="20" max="20" width="31" style="43" customWidth="1"/>
    <col min="21" max="21" width="0.142857142857143" style="43" customWidth="1"/>
    <col min="22" max="22" width="24.7142857142857" style="43" hidden="1" customWidth="1"/>
    <col min="23" max="23" width="0.142857142857143" style="43" hidden="1" customWidth="1"/>
    <col min="24" max="25" width="24.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24.7142857142857" style="43" customWidth="1"/>
    <col min="31" max="31" width="0.142857142857143" style="43" customWidth="1"/>
    <col min="32" max="33" width="24" style="43" customWidth="1"/>
    <col min="34" max="34" width="11" style="43" customWidth="1"/>
    <col min="35" max="35" width="3.71428571428571" style="43" customWidth="1"/>
    <col min="36" max="36" width="11" style="43" customWidth="1"/>
    <col min="37" max="37" width="8.57142857142857" style="43" hidden="1" customWidth="1"/>
    <col min="38" max="38" width="4" style="43" customWidth="1"/>
    <col min="39" max="39" width="115" style="43" customWidth="1"/>
    <col min="40" max="44" width="10" style="44" customWidth="1"/>
    <col min="45" max="45" width="10.5714285714286" style="43" hidden="1"/>
  </cols>
  <sheetData>
    <row r="1" ht="22.5" hidden="1" customHeight="1" spans="1:45">
      <c r="A1" s="1183"/>
      <c r="AS1" s="43" t="s">
        <v>14</v>
      </c>
    </row>
    <row r="2" ht="21" hidden="1" customHeight="1" spans="1:45">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61"/>
      <c r="AC2" s="1089"/>
      <c r="AD2" s="1090" t="e">
        <f>INDEX(PT_DIFFERENTIATION_NTAR,MATCH(A2,PT_DIFFERENTIATION_NTAR_ID,0))</f>
        <v>#N/A</v>
      </c>
      <c r="AE2" s="1061"/>
      <c r="AF2" s="1061"/>
      <c r="AG2" s="1061"/>
      <c r="AH2" s="1061"/>
      <c r="AI2" s="1061"/>
      <c r="AJ2" s="1061"/>
      <c r="AK2" s="1061"/>
      <c r="AL2" s="1089"/>
      <c r="AM2" s="136" t="s">
        <v>392</v>
      </c>
      <c r="AO2" s="151"/>
      <c r="AP2" s="151" t="str">
        <f t="shared" ref="AP2:AP15" si="0">IF(T2="","",T2)</f>
        <v>Наименование тарифа</v>
      </c>
      <c r="AQ2" s="151"/>
      <c r="AR2" s="151"/>
      <c r="AS2" s="43">
        <v>0</v>
      </c>
    </row>
    <row r="3" ht="21" hidden="1" customHeight="1" spans="1:45">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61"/>
      <c r="AC3" s="1089"/>
      <c r="AD3" s="1090" t="e">
        <f>INDEX(PT_DIFFERENTIATION_TER,MATCH(B3,PT_DIFFERENTIATION_TER_ID,0))</f>
        <v>#N/A</v>
      </c>
      <c r="AE3" s="1061"/>
      <c r="AF3" s="1061"/>
      <c r="AG3" s="1061"/>
      <c r="AH3" s="1061"/>
      <c r="AI3" s="1061"/>
      <c r="AJ3" s="1061"/>
      <c r="AK3" s="1061"/>
      <c r="AL3" s="1089"/>
      <c r="AM3" s="136" t="s">
        <v>394</v>
      </c>
      <c r="AO3" s="151"/>
      <c r="AP3" s="151" t="str">
        <f t="shared" si="0"/>
        <v>Территория действия тарифа</v>
      </c>
      <c r="AQ3" s="151"/>
      <c r="AR3" s="151"/>
      <c r="AS3" s="43">
        <v>0</v>
      </c>
    </row>
    <row r="4" ht="23.25" hidden="1" customHeight="1" spans="1:45">
      <c r="A4" s="46"/>
      <c r="B4" s="46"/>
      <c r="C4" s="46"/>
      <c r="D4" s="46"/>
      <c r="E4" s="1053"/>
      <c r="F4" s="1053"/>
      <c r="G4" s="1052">
        <v>1</v>
      </c>
      <c r="H4" s="46"/>
      <c r="I4" s="46"/>
      <c r="J4" s="46"/>
      <c r="K4" s="46"/>
      <c r="L4" s="1054"/>
      <c r="M4" s="47"/>
      <c r="N4" s="47"/>
      <c r="O4" s="47"/>
      <c r="P4" s="90"/>
      <c r="Q4" s="87"/>
      <c r="R4" s="88"/>
      <c r="S4" s="1070" t="e">
        <f>INDEX(PT_DIFFERENTIATION_NUM_CS,MATCH(C4,PT_DIFFERENTIATION_CS_ID,0))</f>
        <v>#N/A</v>
      </c>
      <c r="T4" s="1184" t="s">
        <v>395</v>
      </c>
      <c r="U4" s="1185"/>
      <c r="V4" s="1186"/>
      <c r="W4" s="1187"/>
      <c r="X4" s="1187"/>
      <c r="Y4" s="1187"/>
      <c r="Z4" s="1187"/>
      <c r="AA4" s="1187"/>
      <c r="AB4" s="1187"/>
      <c r="AC4" s="1191"/>
      <c r="AD4" s="1186" t="e">
        <f>INDEX(PT_DIFFERENTIATION_CS,MATCH(C4,PT_DIFFERENTIATION_CS_ID,0))</f>
        <v>#N/A</v>
      </c>
      <c r="AE4" s="1187"/>
      <c r="AF4" s="1187"/>
      <c r="AG4" s="1187"/>
      <c r="AH4" s="1187"/>
      <c r="AI4" s="1187"/>
      <c r="AJ4" s="1187"/>
      <c r="AK4" s="1187"/>
      <c r="AL4" s="1191"/>
      <c r="AM4" s="136" t="s">
        <v>396</v>
      </c>
      <c r="AO4" s="151"/>
      <c r="AP4" s="151" t="str">
        <f t="shared" si="0"/>
        <v>Наименование системы теплоснабжения </v>
      </c>
      <c r="AQ4" s="151"/>
      <c r="AR4" s="151"/>
      <c r="AS4" s="43">
        <v>0</v>
      </c>
    </row>
    <row r="5" ht="21" hidden="1" customHeight="1" spans="1:45">
      <c r="A5" s="46"/>
      <c r="B5" s="46"/>
      <c r="C5" s="46"/>
      <c r="D5" s="46"/>
      <c r="E5" s="1053"/>
      <c r="F5" s="1053"/>
      <c r="G5" s="1053"/>
      <c r="H5" s="1052">
        <v>1</v>
      </c>
      <c r="I5" s="46"/>
      <c r="J5" s="46"/>
      <c r="K5" s="46"/>
      <c r="L5" s="1054"/>
      <c r="M5" s="47"/>
      <c r="N5" s="47"/>
      <c r="O5" s="47"/>
      <c r="P5" s="90"/>
      <c r="Q5" s="87"/>
      <c r="R5" s="43"/>
      <c r="S5" s="65" t="e">
        <f>INDEX(PT_DIFFERENTIATION_NUM_IST_TE,MATCH(D5,PT_DIFFERENTIATION_IST_TE_ID,0))</f>
        <v>#N/A</v>
      </c>
      <c r="T5" s="92" t="s">
        <v>397</v>
      </c>
      <c r="U5" s="84"/>
      <c r="V5" s="587"/>
      <c r="W5" s="587"/>
      <c r="X5" s="587"/>
      <c r="Y5" s="587"/>
      <c r="Z5" s="587"/>
      <c r="AA5" s="587"/>
      <c r="AB5" s="587"/>
      <c r="AC5" s="587"/>
      <c r="AD5" s="587" t="e">
        <f>INDEX(PT_DIFFERENTIATION_IST_TE,MATCH(D5,PT_DIFFERENTIATION_IST_TE_ID,0))</f>
        <v>#N/A</v>
      </c>
      <c r="AE5" s="587"/>
      <c r="AF5" s="587"/>
      <c r="AG5" s="587"/>
      <c r="AH5" s="587"/>
      <c r="AI5" s="587"/>
      <c r="AJ5" s="587"/>
      <c r="AK5" s="587"/>
      <c r="AL5" s="587"/>
      <c r="AM5" s="1194" t="s">
        <v>398</v>
      </c>
      <c r="AO5" s="151"/>
      <c r="AP5" s="151" t="str">
        <f t="shared" si="0"/>
        <v>Источник тепловой энергии  </v>
      </c>
      <c r="AQ5" s="151"/>
      <c r="AR5" s="151"/>
      <c r="AS5" s="43">
        <v>0</v>
      </c>
    </row>
    <row r="6" ht="0.75" hidden="1" customHeight="1" spans="1:45">
      <c r="A6" s="46"/>
      <c r="B6" s="46"/>
      <c r="C6" s="46"/>
      <c r="D6" s="46"/>
      <c r="E6" s="1053"/>
      <c r="F6" s="1053"/>
      <c r="G6" s="1053"/>
      <c r="H6" s="1053"/>
      <c r="I6" s="229" t="e">
        <f>S5&amp;".1"</f>
        <v>#N/A</v>
      </c>
      <c r="J6" s="46"/>
      <c r="K6" s="46"/>
      <c r="L6" s="1054" t="s">
        <v>399</v>
      </c>
      <c r="M6" s="38"/>
      <c r="P6" s="93">
        <v>1</v>
      </c>
      <c r="Q6" s="93"/>
      <c r="R6" s="93"/>
      <c r="S6" s="330"/>
      <c r="T6" s="1067"/>
      <c r="U6" s="1065"/>
      <c r="V6" s="330"/>
      <c r="W6" s="330"/>
      <c r="X6" s="330"/>
      <c r="Y6" s="330"/>
      <c r="Z6" s="330"/>
      <c r="AA6" s="330"/>
      <c r="AB6" s="330"/>
      <c r="AC6" s="330"/>
      <c r="AD6" s="330"/>
      <c r="AE6" s="330"/>
      <c r="AF6" s="330"/>
      <c r="AG6" s="330"/>
      <c r="AH6" s="330"/>
      <c r="AI6" s="330"/>
      <c r="AJ6" s="330"/>
      <c r="AK6" s="330"/>
      <c r="AL6" s="330"/>
      <c r="AM6" s="1195"/>
      <c r="AO6" s="151"/>
      <c r="AP6" s="151" t="str">
        <f t="shared" si="0"/>
        <v/>
      </c>
      <c r="AQ6" s="151"/>
      <c r="AR6" s="151"/>
      <c r="AS6" s="43">
        <v>0</v>
      </c>
    </row>
    <row r="7" ht="84" hidden="1" customHeight="1" spans="1:45">
      <c r="A7" s="46"/>
      <c r="B7" s="46"/>
      <c r="C7" s="46"/>
      <c r="D7" s="46"/>
      <c r="E7" s="1053"/>
      <c r="F7" s="1053"/>
      <c r="G7" s="1053"/>
      <c r="H7" s="1053"/>
      <c r="I7" s="1058"/>
      <c r="J7" s="229" t="e">
        <f>I6&amp;".1"</f>
        <v>#N/A</v>
      </c>
      <c r="K7" s="46"/>
      <c r="L7" s="1054" t="s">
        <v>402</v>
      </c>
      <c r="M7" s="38"/>
      <c r="N7" s="38"/>
      <c r="P7" s="93"/>
      <c r="Q7" s="93">
        <v>1</v>
      </c>
      <c r="R7" s="44"/>
      <c r="S7" s="65" t="e">
        <f>$J7</f>
        <v>#N/A</v>
      </c>
      <c r="T7" s="98" t="s">
        <v>403</v>
      </c>
      <c r="U7" s="84"/>
      <c r="V7" s="96"/>
      <c r="W7" s="96"/>
      <c r="X7" s="96"/>
      <c r="Y7" s="96"/>
      <c r="Z7" s="96"/>
      <c r="AA7" s="96"/>
      <c r="AB7" s="96"/>
      <c r="AC7" s="96"/>
      <c r="AD7" s="96"/>
      <c r="AE7" s="96"/>
      <c r="AF7" s="96"/>
      <c r="AG7" s="96"/>
      <c r="AH7" s="96"/>
      <c r="AI7" s="96"/>
      <c r="AJ7" s="96"/>
      <c r="AK7" s="96"/>
      <c r="AL7" s="96"/>
      <c r="AM7" s="1194" t="s">
        <v>404</v>
      </c>
      <c r="AO7" s="151"/>
      <c r="AP7" s="151" t="str">
        <f t="shared" si="0"/>
        <v>Группа потребителей</v>
      </c>
      <c r="AQ7" s="151"/>
      <c r="AR7" s="151"/>
      <c r="AS7" s="43">
        <v>0</v>
      </c>
    </row>
    <row r="8" ht="11.25" hidden="1" customHeight="1" spans="1:45">
      <c r="A8" s="46"/>
      <c r="B8" s="46"/>
      <c r="C8" s="46"/>
      <c r="D8" s="46"/>
      <c r="E8" s="1053"/>
      <c r="F8" s="1053"/>
      <c r="G8" s="1053"/>
      <c r="H8" s="1053"/>
      <c r="I8" s="1058"/>
      <c r="J8" s="1058"/>
      <c r="K8" s="229" t="e">
        <f>J7&amp;".1"</f>
        <v>#N/A</v>
      </c>
      <c r="L8" s="1054" t="s">
        <v>405</v>
      </c>
      <c r="M8" s="38"/>
      <c r="N8" s="38"/>
      <c r="O8" s="38"/>
      <c r="P8" s="93"/>
      <c r="Q8" s="93"/>
      <c r="R8" s="97">
        <v>1</v>
      </c>
      <c r="S8" s="1076" t="e">
        <f>$K8</f>
        <v>#N/A</v>
      </c>
      <c r="T8" s="1188"/>
      <c r="U8" s="1189"/>
      <c r="V8" s="1190"/>
      <c r="W8" s="1163"/>
      <c r="X8" s="1190"/>
      <c r="Y8" s="1192"/>
      <c r="Z8" s="1193"/>
      <c r="AA8" s="480" t="s">
        <v>66</v>
      </c>
      <c r="AB8" s="1193"/>
      <c r="AC8" s="480" t="s">
        <v>66</v>
      </c>
      <c r="AD8" s="1190"/>
      <c r="AE8" s="1163"/>
      <c r="AF8" s="1190"/>
      <c r="AG8" s="1192"/>
      <c r="AH8" s="1193"/>
      <c r="AI8" s="480" t="s">
        <v>66</v>
      </c>
      <c r="AJ8" s="1193"/>
      <c r="AK8" s="480" t="s">
        <v>66</v>
      </c>
      <c r="AL8" s="1163"/>
      <c r="AM8" s="141" t="s">
        <v>406</v>
      </c>
      <c r="AN8" s="44" t="e">
        <f>STRCHECKDATE(V9:AL9)</f>
        <v>#NAME?</v>
      </c>
      <c r="AO8" s="151"/>
      <c r="AP8" s="151" t="str">
        <f t="shared" si="0"/>
        <v/>
      </c>
      <c r="AQ8" s="151"/>
      <c r="AR8" s="151"/>
      <c r="AS8" s="43">
        <v>0</v>
      </c>
    </row>
    <row r="9" ht="0.75" hidden="1" customHeight="1" spans="1:45">
      <c r="A9" s="46"/>
      <c r="B9" s="46"/>
      <c r="C9" s="46"/>
      <c r="D9" s="46"/>
      <c r="E9" s="1053"/>
      <c r="F9" s="1053"/>
      <c r="G9" s="1053"/>
      <c r="H9" s="1053"/>
      <c r="I9" s="1058"/>
      <c r="J9" s="1058"/>
      <c r="K9" s="229"/>
      <c r="L9" s="1054"/>
      <c r="M9" s="38"/>
      <c r="N9" s="38"/>
      <c r="O9" s="38"/>
      <c r="P9" s="93"/>
      <c r="Q9" s="93"/>
      <c r="R9" s="97"/>
      <c r="S9" s="104"/>
      <c r="T9" s="84"/>
      <c r="U9" s="84"/>
      <c r="V9" s="103"/>
      <c r="W9" s="103"/>
      <c r="X9" s="103"/>
      <c r="Y9" s="142" t="str">
        <f>Z8&amp;"-"&amp;AB8</f>
        <v>-</v>
      </c>
      <c r="Z9" s="143"/>
      <c r="AA9" s="140"/>
      <c r="AB9" s="143"/>
      <c r="AC9" s="140"/>
      <c r="AD9" s="103"/>
      <c r="AE9" s="103"/>
      <c r="AF9" s="103"/>
      <c r="AG9" s="142" t="str">
        <f>AH8&amp;"-"&amp;AJ8</f>
        <v>-</v>
      </c>
      <c r="AH9" s="143"/>
      <c r="AI9" s="140"/>
      <c r="AJ9" s="143"/>
      <c r="AK9" s="140"/>
      <c r="AL9" s="103"/>
      <c r="AM9" s="144"/>
      <c r="AO9" s="151"/>
      <c r="AP9" s="151" t="str">
        <f t="shared" si="0"/>
        <v/>
      </c>
      <c r="AQ9" s="151"/>
      <c r="AR9" s="151"/>
      <c r="AS9" s="43">
        <v>0</v>
      </c>
    </row>
    <row r="10" ht="11.25" hidden="1" customHeight="1" spans="1:45">
      <c r="A10" s="46"/>
      <c r="B10" s="46"/>
      <c r="C10" s="46"/>
      <c r="D10" s="46"/>
      <c r="E10" s="1053"/>
      <c r="F10" s="1053"/>
      <c r="G10" s="1053"/>
      <c r="H10" s="1053"/>
      <c r="I10" s="1058"/>
      <c r="J10" s="229"/>
      <c r="K10" s="46"/>
      <c r="L10" s="1054"/>
      <c r="M10" s="38"/>
      <c r="N10" s="38"/>
      <c r="P10" s="93"/>
      <c r="Q10" s="93"/>
      <c r="R10" s="94"/>
      <c r="S10" s="105"/>
      <c r="T10" s="108" t="s">
        <v>407</v>
      </c>
      <c r="U10" s="107"/>
      <c r="V10" s="107"/>
      <c r="W10" s="107"/>
      <c r="X10" s="107"/>
      <c r="Y10" s="107"/>
      <c r="Z10" s="107"/>
      <c r="AA10" s="107"/>
      <c r="AB10" s="107"/>
      <c r="AC10" s="107"/>
      <c r="AD10" s="107"/>
      <c r="AE10" s="107"/>
      <c r="AF10" s="107"/>
      <c r="AG10" s="107"/>
      <c r="AH10" s="107"/>
      <c r="AI10" s="107"/>
      <c r="AJ10" s="107"/>
      <c r="AK10" s="107"/>
      <c r="AL10" s="145"/>
      <c r="AM10" s="146"/>
      <c r="AO10" s="151"/>
      <c r="AP10" s="151" t="str">
        <f t="shared" si="0"/>
        <v>Добавить вид теплоносителя (параметры теплоносителя)</v>
      </c>
      <c r="AQ10" s="151"/>
      <c r="AR10" s="151"/>
      <c r="AS10" s="43">
        <v>0</v>
      </c>
    </row>
    <row r="11" ht="11.25" hidden="1" customHeight="1" spans="1:45">
      <c r="A11" s="46"/>
      <c r="B11" s="46"/>
      <c r="C11" s="46"/>
      <c r="D11" s="46"/>
      <c r="E11" s="1053"/>
      <c r="F11" s="1053"/>
      <c r="G11" s="1053"/>
      <c r="H11" s="1053"/>
      <c r="I11" s="229"/>
      <c r="J11" s="46"/>
      <c r="K11" s="46"/>
      <c r="L11" s="1054"/>
      <c r="M11" s="38"/>
      <c r="P11" s="93"/>
      <c r="Q11" s="93"/>
      <c r="R11" s="94"/>
      <c r="S11" s="105"/>
      <c r="T11" s="110" t="s">
        <v>408</v>
      </c>
      <c r="U11" s="107"/>
      <c r="V11" s="107"/>
      <c r="W11" s="107"/>
      <c r="X11" s="107"/>
      <c r="Y11" s="107"/>
      <c r="Z11" s="107"/>
      <c r="AA11" s="107"/>
      <c r="AB11" s="107"/>
      <c r="AC11" s="147"/>
      <c r="AD11" s="107"/>
      <c r="AE11" s="107"/>
      <c r="AF11" s="107"/>
      <c r="AG11" s="107"/>
      <c r="AH11" s="107"/>
      <c r="AI11" s="107"/>
      <c r="AJ11" s="107"/>
      <c r="AK11" s="147"/>
      <c r="AL11" s="107"/>
      <c r="AM11" s="148"/>
      <c r="AO11" s="151"/>
      <c r="AP11" s="151" t="str">
        <f t="shared" si="0"/>
        <v>Добавить группу потребителей</v>
      </c>
      <c r="AQ11" s="151"/>
      <c r="AR11" s="151"/>
      <c r="AS11" s="43">
        <v>0</v>
      </c>
    </row>
    <row r="12" ht="0.75" hidden="1" customHeight="1" spans="1:45">
      <c r="A12" s="46"/>
      <c r="B12" s="46"/>
      <c r="C12" s="46"/>
      <c r="D12" s="46"/>
      <c r="E12" s="1053"/>
      <c r="F12" s="1053"/>
      <c r="G12" s="1053"/>
      <c r="H12" s="1052"/>
      <c r="I12" s="46"/>
      <c r="J12" s="46"/>
      <c r="K12" s="46"/>
      <c r="L12" s="1054"/>
      <c r="M12" s="47"/>
      <c r="N12" s="47"/>
      <c r="O12" s="38"/>
      <c r="P12" s="81"/>
      <c r="Q12" s="109"/>
      <c r="R12" s="82"/>
      <c r="S12" s="1079"/>
      <c r="T12" s="1080"/>
      <c r="U12" s="1081"/>
      <c r="V12" s="1081"/>
      <c r="W12" s="1081"/>
      <c r="X12" s="1081"/>
      <c r="Y12" s="1081"/>
      <c r="Z12" s="1081"/>
      <c r="AA12" s="1081"/>
      <c r="AB12" s="1081"/>
      <c r="AC12" s="1081"/>
      <c r="AD12" s="1081"/>
      <c r="AE12" s="1081"/>
      <c r="AF12" s="1081"/>
      <c r="AG12" s="1081"/>
      <c r="AH12" s="1081"/>
      <c r="AI12" s="1081"/>
      <c r="AJ12" s="1081"/>
      <c r="AK12" s="1081"/>
      <c r="AL12" s="1081"/>
      <c r="AM12" s="1123"/>
      <c r="AO12" s="151"/>
      <c r="AP12" s="151" t="str">
        <f t="shared" si="0"/>
        <v/>
      </c>
      <c r="AQ12" s="151"/>
      <c r="AR12" s="151"/>
      <c r="AS12" s="43">
        <v>0</v>
      </c>
    </row>
    <row r="13" s="44" customFormat="1" ht="0.75" hidden="1" customHeight="1" spans="1:45">
      <c r="A13" s="590"/>
      <c r="B13" s="590"/>
      <c r="C13" s="590"/>
      <c r="D13" s="590"/>
      <c r="E13" s="1053"/>
      <c r="F13" s="1053"/>
      <c r="G13" s="1052"/>
      <c r="H13" s="590"/>
      <c r="I13" s="590"/>
      <c r="J13" s="590"/>
      <c r="K13" s="590"/>
      <c r="L13" s="611"/>
      <c r="M13" s="283"/>
      <c r="N13" s="283"/>
      <c r="P13" s="152"/>
      <c r="Q13" s="1082"/>
      <c r="R13" s="152"/>
      <c r="S13" s="1166"/>
      <c r="T13" s="1167" t="s">
        <v>410</v>
      </c>
      <c r="U13" s="1168"/>
      <c r="V13" s="1168"/>
      <c r="W13" s="1168"/>
      <c r="X13" s="1168"/>
      <c r="Y13" s="1168"/>
      <c r="Z13" s="1168"/>
      <c r="AA13" s="1168"/>
      <c r="AB13" s="1168"/>
      <c r="AC13" s="1168"/>
      <c r="AD13" s="1168"/>
      <c r="AE13" s="1168"/>
      <c r="AF13" s="1168"/>
      <c r="AG13" s="1168"/>
      <c r="AH13" s="1168"/>
      <c r="AI13" s="1168"/>
      <c r="AJ13" s="1168"/>
      <c r="AK13" s="1168"/>
      <c r="AL13" s="1168"/>
      <c r="AM13" s="1168"/>
      <c r="AO13" s="151"/>
      <c r="AP13" s="151" t="str">
        <f t="shared" si="0"/>
        <v>Добавить источник для дифференциации</v>
      </c>
      <c r="AQ13" s="151"/>
      <c r="AR13" s="151"/>
      <c r="AS13" s="44">
        <v>0</v>
      </c>
    </row>
    <row r="14" s="44" customFormat="1" ht="0.75" hidden="1" customHeight="1" spans="1:45">
      <c r="A14" s="590"/>
      <c r="B14" s="590"/>
      <c r="C14" s="590"/>
      <c r="D14" s="590"/>
      <c r="E14" s="1053"/>
      <c r="F14" s="1052"/>
      <c r="G14" s="590"/>
      <c r="H14" s="590"/>
      <c r="I14" s="590"/>
      <c r="J14" s="590"/>
      <c r="K14" s="590"/>
      <c r="L14" s="611"/>
      <c r="M14" s="1059"/>
      <c r="N14" s="1059"/>
      <c r="P14" s="152"/>
      <c r="Q14" s="1082"/>
      <c r="R14" s="152"/>
      <c r="S14" s="1084"/>
      <c r="T14" s="1169" t="s">
        <v>411</v>
      </c>
      <c r="U14" s="307"/>
      <c r="V14" s="307"/>
      <c r="W14" s="307"/>
      <c r="X14" s="307"/>
      <c r="Y14" s="307"/>
      <c r="Z14" s="307"/>
      <c r="AA14" s="307"/>
      <c r="AB14" s="307"/>
      <c r="AC14" s="307"/>
      <c r="AD14" s="307"/>
      <c r="AE14" s="307"/>
      <c r="AF14" s="307"/>
      <c r="AG14" s="307"/>
      <c r="AH14" s="307"/>
      <c r="AI14" s="307"/>
      <c r="AJ14" s="307"/>
      <c r="AK14" s="307"/>
      <c r="AL14" s="307"/>
      <c r="AM14" s="307"/>
      <c r="AO14" s="151"/>
      <c r="AP14" s="151" t="str">
        <f t="shared" si="0"/>
        <v>Добавить централизованную систему для дифференциации</v>
      </c>
      <c r="AQ14" s="151"/>
      <c r="AR14" s="151"/>
      <c r="AS14" s="44">
        <v>0</v>
      </c>
    </row>
    <row r="15" s="44" customFormat="1" ht="0.75" hidden="1" customHeight="1" spans="1:45">
      <c r="A15" s="590"/>
      <c r="B15" s="590"/>
      <c r="C15" s="590"/>
      <c r="D15" s="590"/>
      <c r="E15" s="1052"/>
      <c r="F15" s="590"/>
      <c r="G15" s="590"/>
      <c r="H15" s="590"/>
      <c r="I15" s="590"/>
      <c r="J15" s="590"/>
      <c r="K15" s="590"/>
      <c r="L15" s="611"/>
      <c r="M15" s="1059"/>
      <c r="N15" s="1059"/>
      <c r="P15" s="152"/>
      <c r="Q15" s="1082"/>
      <c r="R15" s="152"/>
      <c r="S15" s="1084"/>
      <c r="T15" s="1085" t="s">
        <v>412</v>
      </c>
      <c r="U15" s="307"/>
      <c r="V15" s="307"/>
      <c r="W15" s="307"/>
      <c r="X15" s="307"/>
      <c r="Y15" s="307"/>
      <c r="Z15" s="307"/>
      <c r="AA15" s="307"/>
      <c r="AB15" s="307"/>
      <c r="AC15" s="307"/>
      <c r="AD15" s="307"/>
      <c r="AE15" s="307"/>
      <c r="AF15" s="307"/>
      <c r="AG15" s="307"/>
      <c r="AH15" s="307"/>
      <c r="AI15" s="307"/>
      <c r="AJ15" s="307"/>
      <c r="AK15" s="307"/>
      <c r="AL15" s="307"/>
      <c r="AM15" s="307"/>
      <c r="AO15" s="151"/>
      <c r="AP15" s="151" t="str">
        <f t="shared" si="0"/>
        <v>Добавить территорию для дифференциации</v>
      </c>
      <c r="AQ15" s="151"/>
      <c r="AR15" s="151"/>
      <c r="AS15" s="44">
        <v>0</v>
      </c>
    </row>
    <row r="16" hidden="1" customHeight="1" spans="45:45">
      <c r="AS16" s="43">
        <v>0</v>
      </c>
    </row>
    <row r="17" hidden="1" customHeight="1" spans="30:45">
      <c r="AD17" s="492"/>
      <c r="AE17" s="492"/>
      <c r="AF17" s="492"/>
      <c r="AG17" s="1132"/>
      <c r="AH17" s="1133"/>
      <c r="AI17" s="353" t="s">
        <v>66</v>
      </c>
      <c r="AJ17" s="1133"/>
      <c r="AK17" s="353" t="s">
        <v>66</v>
      </c>
      <c r="AS17" s="43">
        <v>0</v>
      </c>
    </row>
    <row r="18" hidden="1" customHeight="1" spans="30:45">
      <c r="AD18" s="492"/>
      <c r="AE18" s="492"/>
      <c r="AF18" s="492"/>
      <c r="AG18" s="142" t="str">
        <f>AH17&amp;"-"&amp;AJ17</f>
        <v>-</v>
      </c>
      <c r="AH18" s="353"/>
      <c r="AI18" s="353"/>
      <c r="AJ18" s="353"/>
      <c r="AK18" s="353"/>
      <c r="AS18" s="43">
        <v>0</v>
      </c>
    </row>
    <row r="19" hidden="1" customHeight="1" spans="45:45">
      <c r="AS19" s="43">
        <v>0</v>
      </c>
    </row>
    <row r="20" s="38" customFormat="1" ht="22.5" hidden="1" customHeight="1" spans="12:45">
      <c r="L20" s="48"/>
      <c r="M20" s="39"/>
      <c r="N20" s="39"/>
      <c r="O20" s="1060" t="s">
        <v>413</v>
      </c>
      <c r="P20" s="39"/>
      <c r="Q20" s="1051"/>
      <c r="R20" s="1051"/>
      <c r="S20" s="47"/>
      <c r="Z20" s="1060"/>
      <c r="AB20" s="1060"/>
      <c r="AH20" s="1060"/>
      <c r="AJ20" s="1060"/>
      <c r="AN20" s="44"/>
      <c r="AO20" s="44"/>
      <c r="AP20" s="44"/>
      <c r="AQ20" s="44"/>
      <c r="AR20" s="44"/>
      <c r="AS20" s="38">
        <v>0</v>
      </c>
    </row>
    <row r="21" s="38" customFormat="1" hidden="1" customHeight="1" spans="12:45">
      <c r="L21" s="48"/>
      <c r="M21" s="39"/>
      <c r="N21" s="39"/>
      <c r="O21" s="39"/>
      <c r="P21" s="39"/>
      <c r="Q21" s="1051"/>
      <c r="R21" s="1051"/>
      <c r="S21" s="47"/>
      <c r="AN21" s="44"/>
      <c r="AO21" s="44"/>
      <c r="AP21" s="44"/>
      <c r="AQ21" s="44"/>
      <c r="AR21" s="44"/>
      <c r="AS21" s="38">
        <v>0</v>
      </c>
    </row>
    <row r="22" s="38" customFormat="1" hidden="1" customHeight="1" spans="12:45">
      <c r="L22" s="48"/>
      <c r="M22" s="39"/>
      <c r="N22" s="39"/>
      <c r="O22" s="1054" t="s">
        <v>414</v>
      </c>
      <c r="P22" s="39"/>
      <c r="Q22" s="1051"/>
      <c r="R22" s="1051"/>
      <c r="S22" s="47"/>
      <c r="T22" s="38" t="s">
        <v>415</v>
      </c>
      <c r="AA22" s="45" t="s">
        <v>416</v>
      </c>
      <c r="AC22" s="45" t="s">
        <v>417</v>
      </c>
      <c r="AD22" s="38" t="s">
        <v>415</v>
      </c>
      <c r="AI22" s="45" t="s">
        <v>418</v>
      </c>
      <c r="AK22" s="45" t="s">
        <v>417</v>
      </c>
      <c r="AN22" s="44"/>
      <c r="AO22" s="44"/>
      <c r="AP22" s="44"/>
      <c r="AQ22" s="44"/>
      <c r="AR22" s="44"/>
      <c r="AS22" s="38">
        <v>0</v>
      </c>
    </row>
    <row r="23" hidden="1" customHeight="1" spans="15:45">
      <c r="O23" s="1054"/>
      <c r="AS23" s="43">
        <v>0</v>
      </c>
    </row>
    <row r="24" hidden="1" customHeight="1" spans="15:45">
      <c r="O24" s="1054"/>
      <c r="AS24" s="43">
        <v>0</v>
      </c>
    </row>
    <row r="25" ht="14.7" customHeight="1" spans="17:45">
      <c r="Q25" s="51"/>
      <c r="R25" s="51"/>
      <c r="S25" s="52"/>
      <c r="T25" s="53"/>
      <c r="U25" s="53"/>
      <c r="AS25" s="43">
        <v>14</v>
      </c>
    </row>
    <row r="26" ht="54.75" customHeight="1" spans="17:45">
      <c r="Q26" s="51"/>
      <c r="R26" s="51"/>
      <c r="S26" s="9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981"/>
      <c r="U26" s="981"/>
      <c r="V26" s="981"/>
      <c r="W26" s="981"/>
      <c r="X26" s="981"/>
      <c r="Y26" s="981"/>
      <c r="Z26" s="981"/>
      <c r="AA26" s="981"/>
      <c r="AB26" s="981"/>
      <c r="AC26" s="981"/>
      <c r="AD26" s="981"/>
      <c r="AE26" s="981"/>
      <c r="AF26" s="981"/>
      <c r="AG26" s="981"/>
      <c r="AH26" s="981"/>
      <c r="AI26" s="981"/>
      <c r="AJ26" s="981"/>
      <c r="AK26" s="121"/>
      <c r="AS26" s="43">
        <v>52</v>
      </c>
    </row>
    <row r="27" ht="14.7" customHeight="1" spans="17:45">
      <c r="Q27" s="51"/>
      <c r="R27" s="51"/>
      <c r="S27" s="660" t="str">
        <f>IF(org=0,"Не определено",org)</f>
        <v>АО "Теплокоммунэнерго"</v>
      </c>
      <c r="T27" s="660"/>
      <c r="U27" s="660"/>
      <c r="V27" s="660"/>
      <c r="W27" s="660"/>
      <c r="X27" s="660"/>
      <c r="Y27" s="660"/>
      <c r="Z27" s="660"/>
      <c r="AA27" s="660"/>
      <c r="AB27" s="660"/>
      <c r="AC27" s="660"/>
      <c r="AD27" s="660"/>
      <c r="AE27" s="660"/>
      <c r="AF27" s="660"/>
      <c r="AG27" s="660"/>
      <c r="AH27" s="660"/>
      <c r="AI27" s="660"/>
      <c r="AJ27" s="660"/>
      <c r="AK27" s="121"/>
      <c r="AS27" s="43">
        <v>14</v>
      </c>
    </row>
    <row r="28" hidden="1" customHeight="1" spans="17:45">
      <c r="Q28" s="51"/>
      <c r="R28" s="51"/>
      <c r="S28" s="52"/>
      <c r="T28" s="53"/>
      <c r="U28" s="53"/>
      <c r="V28" s="56"/>
      <c r="W28" s="56"/>
      <c r="X28" s="56"/>
      <c r="Y28" s="56"/>
      <c r="Z28" s="56"/>
      <c r="AA28" s="56"/>
      <c r="AB28" s="56"/>
      <c r="AC28" s="56"/>
      <c r="AD28" s="56"/>
      <c r="AE28" s="56"/>
      <c r="AF28" s="56"/>
      <c r="AG28" s="56"/>
      <c r="AH28" s="56"/>
      <c r="AI28" s="56"/>
      <c r="AJ28" s="56"/>
      <c r="AK28" s="56"/>
      <c r="AS28" s="43">
        <v>0</v>
      </c>
    </row>
    <row r="29" s="36" customFormat="1" ht="25.5" hidden="1" customHeight="1" spans="1:45">
      <c r="A29" s="45"/>
      <c r="B29" s="45"/>
      <c r="C29" s="45"/>
      <c r="D29" s="45"/>
      <c r="E29" s="45"/>
      <c r="F29" s="45"/>
      <c r="G29" s="45"/>
      <c r="H29" s="45"/>
      <c r="I29" s="45"/>
      <c r="J29" s="45"/>
      <c r="K29" s="45"/>
      <c r="L29" s="1054"/>
      <c r="M29" s="45"/>
      <c r="N29" s="45"/>
      <c r="O29" s="45"/>
      <c r="S29"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58"/>
      <c r="U29" s="1088"/>
      <c r="V29" s="60" t="str">
        <f>IF(TITLE_NAME_OR_PR_CHANGE="",IF(TITLE_NAME_OR_PR="","",TITLE_NAME_OR_PR),TITLE_NAME_OR_PR_CHANGE)</f>
        <v/>
      </c>
      <c r="W29" s="60"/>
      <c r="X29" s="60"/>
      <c r="Y29" s="60"/>
      <c r="Z29" s="60"/>
      <c r="AA29" s="60"/>
      <c r="AB29" s="60"/>
      <c r="AC29" s="43"/>
      <c r="AD29" s="60" t="str">
        <f>IF(TITLE_NAME_OR_PR_CHANGE="",IF(TITLE_NAME_OR_PR="","",TITLE_NAME_OR_PR),TITLE_NAME_OR_PR_CHANGE)</f>
        <v/>
      </c>
      <c r="AE29" s="60"/>
      <c r="AF29" s="60"/>
      <c r="AG29" s="60"/>
      <c r="AH29" s="60"/>
      <c r="AI29" s="60"/>
      <c r="AJ29" s="60"/>
      <c r="AK29" s="43"/>
      <c r="AL29" s="43"/>
      <c r="AM29" s="122"/>
      <c r="AN29" s="151"/>
      <c r="AO29" s="151"/>
      <c r="AP29" s="151"/>
      <c r="AQ29" s="151"/>
      <c r="AR29" s="151"/>
      <c r="AS29" s="36">
        <v>0</v>
      </c>
    </row>
    <row r="30" s="36" customFormat="1" ht="18.75" hidden="1" customHeight="1" spans="1:45">
      <c r="A30" s="45"/>
      <c r="B30" s="45"/>
      <c r="C30" s="45"/>
      <c r="D30" s="45"/>
      <c r="E30" s="45"/>
      <c r="F30" s="45"/>
      <c r="G30" s="45"/>
      <c r="H30" s="45"/>
      <c r="I30" s="45"/>
      <c r="J30" s="45"/>
      <c r="K30" s="45"/>
      <c r="L30" s="1054"/>
      <c r="M30" s="45"/>
      <c r="N30" s="45"/>
      <c r="O30" s="45"/>
      <c r="S30" s="58" t="str">
        <f>"Дата документа об "&amp;IF(TITLE_DATE_PR_CHANGE="","утверждении","изменении")&amp;" тарифов"</f>
        <v>Дата документа об утверждении тарифов</v>
      </c>
      <c r="T30" s="58"/>
      <c r="U30" s="1088"/>
      <c r="V30" s="793" t="str">
        <f>IF(TITLE_DATE_PR_CHANGE="",IF(TITLE_DATE_PR="","",TITLE_DATE_PR),TITLE_DATE_PR_CHANGE)</f>
        <v/>
      </c>
      <c r="W30" s="793"/>
      <c r="X30" s="793"/>
      <c r="Y30" s="793"/>
      <c r="Z30" s="793"/>
      <c r="AA30" s="793"/>
      <c r="AB30" s="793"/>
      <c r="AC30" s="43"/>
      <c r="AD30" s="793" t="str">
        <f>IF(TITLE_DATE_PR_CHANGE="",IF(TITLE_DATE_PR="","",TITLE_DATE_PR),TITLE_DATE_PR_CHANGE)</f>
        <v/>
      </c>
      <c r="AE30" s="793"/>
      <c r="AF30" s="793"/>
      <c r="AG30" s="793"/>
      <c r="AH30" s="793"/>
      <c r="AI30" s="793"/>
      <c r="AJ30" s="793"/>
      <c r="AK30" s="43"/>
      <c r="AL30" s="43"/>
      <c r="AM30" s="122"/>
      <c r="AN30" s="151"/>
      <c r="AO30" s="151"/>
      <c r="AP30" s="151"/>
      <c r="AQ30" s="151"/>
      <c r="AR30" s="151"/>
      <c r="AS30" s="36">
        <v>0</v>
      </c>
    </row>
    <row r="31" s="36" customFormat="1" ht="18.75" hidden="1" customHeight="1" spans="1:45">
      <c r="A31" s="45"/>
      <c r="B31" s="45"/>
      <c r="C31" s="45"/>
      <c r="D31" s="45"/>
      <c r="E31" s="45"/>
      <c r="F31" s="45"/>
      <c r="G31" s="45"/>
      <c r="H31" s="45"/>
      <c r="I31" s="45"/>
      <c r="J31" s="45"/>
      <c r="K31" s="45"/>
      <c r="L31" s="1054"/>
      <c r="M31" s="45"/>
      <c r="N31" s="45"/>
      <c r="O31" s="45"/>
      <c r="S31" s="58" t="str">
        <f>"Номер документа об "&amp;IF(TITLE_DATE_PR_CHANGE="","утверждении","изменении")&amp;" тарифов"</f>
        <v>Номер документа об утверждении тарифов</v>
      </c>
      <c r="T31" s="58"/>
      <c r="U31" s="1088"/>
      <c r="V31" s="60" t="str">
        <f>IF(TITLE_NUMBER_PR_CHANGE="",IF(TITLE_NUMBER_PR="","",TITLE_NUMBER_PR),TITLE_NUMBER_PR_CHANGE)</f>
        <v/>
      </c>
      <c r="W31" s="60"/>
      <c r="X31" s="60"/>
      <c r="Y31" s="60"/>
      <c r="Z31" s="60"/>
      <c r="AA31" s="60"/>
      <c r="AB31" s="60"/>
      <c r="AC31" s="43"/>
      <c r="AD31" s="60" t="str">
        <f>IF(TITLE_NUMBER_PR_CHANGE="",IF(TITLE_NUMBER_PR="","",TITLE_NUMBER_PR),TITLE_NUMBER_PR_CHANGE)</f>
        <v/>
      </c>
      <c r="AE31" s="60"/>
      <c r="AF31" s="60"/>
      <c r="AG31" s="60"/>
      <c r="AH31" s="60"/>
      <c r="AI31" s="60"/>
      <c r="AJ31" s="60"/>
      <c r="AK31" s="43"/>
      <c r="AL31" s="43"/>
      <c r="AM31" s="122"/>
      <c r="AN31" s="151"/>
      <c r="AO31" s="151"/>
      <c r="AP31" s="151"/>
      <c r="AQ31" s="151"/>
      <c r="AR31" s="151"/>
      <c r="AS31" s="36">
        <v>0</v>
      </c>
    </row>
    <row r="32" s="36" customFormat="1" ht="18.75" hidden="1" customHeight="1" spans="1:45">
      <c r="A32" s="45"/>
      <c r="B32" s="45"/>
      <c r="C32" s="45"/>
      <c r="D32" s="45"/>
      <c r="E32" s="45"/>
      <c r="F32" s="45"/>
      <c r="G32" s="45"/>
      <c r="H32" s="45"/>
      <c r="I32" s="45"/>
      <c r="J32" s="45"/>
      <c r="K32" s="45"/>
      <c r="L32" s="1054"/>
      <c r="M32" s="45"/>
      <c r="N32" s="45"/>
      <c r="O32" s="45"/>
      <c r="S32" s="58" t="s">
        <v>43</v>
      </c>
      <c r="T32" s="58"/>
      <c r="U32" s="1088"/>
      <c r="V32" s="60" t="str">
        <f>IF(TITLE_IST_PUB_CHANGE="",IF(TITLE_IST_PUB="","",TITLE_IST_PUB),TITLE_IST_PUB_CHANGE)</f>
        <v/>
      </c>
      <c r="W32" s="60"/>
      <c r="X32" s="60"/>
      <c r="Y32" s="60"/>
      <c r="Z32" s="60"/>
      <c r="AA32" s="60"/>
      <c r="AB32" s="60"/>
      <c r="AC32" s="43"/>
      <c r="AD32" s="60" t="str">
        <f>IF(TITLE_IST_PUB_CHANGE="",IF(TITLE_IST_PUB="","",TITLE_IST_PUB),TITLE_IST_PUB_CHANGE)</f>
        <v/>
      </c>
      <c r="AE32" s="60"/>
      <c r="AF32" s="60"/>
      <c r="AG32" s="60"/>
      <c r="AH32" s="60"/>
      <c r="AI32" s="60"/>
      <c r="AJ32" s="60"/>
      <c r="AK32" s="43"/>
      <c r="AL32" s="43"/>
      <c r="AM32" s="122"/>
      <c r="AN32" s="151"/>
      <c r="AO32" s="151"/>
      <c r="AP32" s="151"/>
      <c r="AQ32" s="151"/>
      <c r="AR32" s="151"/>
      <c r="AS32" s="36">
        <v>0</v>
      </c>
    </row>
    <row r="33" hidden="1" customHeight="1" spans="17:45">
      <c r="Q33" s="51"/>
      <c r="R33" s="51"/>
      <c r="S33" s="52"/>
      <c r="T33" s="53"/>
      <c r="U33" s="53"/>
      <c r="V33" s="56"/>
      <c r="W33" s="56"/>
      <c r="X33" s="56"/>
      <c r="Y33" s="56"/>
      <c r="Z33" s="56"/>
      <c r="AA33" s="56"/>
      <c r="AB33" s="56"/>
      <c r="AC33" s="56"/>
      <c r="AD33" s="56"/>
      <c r="AE33" s="56"/>
      <c r="AF33" s="56"/>
      <c r="AG33" s="56"/>
      <c r="AH33" s="56"/>
      <c r="AI33" s="56"/>
      <c r="AJ33" s="56"/>
      <c r="AK33" s="56"/>
      <c r="AS33" s="43">
        <v>0</v>
      </c>
    </row>
    <row r="34" s="36" customFormat="1" ht="18.75" hidden="1" customHeight="1" spans="1:45">
      <c r="A34" s="45"/>
      <c r="B34" s="45"/>
      <c r="C34" s="45"/>
      <c r="D34" s="45"/>
      <c r="E34" s="45"/>
      <c r="F34" s="45"/>
      <c r="G34" s="45"/>
      <c r="H34" s="45"/>
      <c r="I34" s="45"/>
      <c r="J34" s="45"/>
      <c r="K34" s="45"/>
      <c r="L34" s="1054"/>
      <c r="M34" s="45"/>
      <c r="N34" s="45"/>
      <c r="O34" s="45"/>
      <c r="S34" s="58" t="str">
        <f>"Дата подачи заявления об "&amp;IF(TITLE_DATE_PR_CHANGE="","утверждении","изменении")&amp;" тарифов"</f>
        <v>Дата подачи заявления об утверждении тарифов</v>
      </c>
      <c r="T34" s="58"/>
      <c r="U34" s="1088"/>
      <c r="V34" s="793" t="str">
        <f>IF(TITLE_DATE_PR_CHANGE="",IF(TITLE_DATE_PR="","",TITLE_DATE_PR),TITLE_DATE_PR_CHANGE)</f>
        <v/>
      </c>
      <c r="W34" s="793"/>
      <c r="X34" s="793"/>
      <c r="Y34" s="793"/>
      <c r="Z34" s="793"/>
      <c r="AA34" s="793"/>
      <c r="AB34" s="793"/>
      <c r="AC34" s="43"/>
      <c r="AD34" s="793" t="str">
        <f>IF(TITLE_DATE_PR_CHANGE="",IF(TITLE_DATE_PR="","",TITLE_DATE_PR),TITLE_DATE_PR_CHANGE)</f>
        <v/>
      </c>
      <c r="AE34" s="793"/>
      <c r="AF34" s="793"/>
      <c r="AG34" s="793"/>
      <c r="AH34" s="793"/>
      <c r="AI34" s="793"/>
      <c r="AJ34" s="793"/>
      <c r="AK34" s="43"/>
      <c r="AL34" s="43"/>
      <c r="AM34" s="122"/>
      <c r="AN34" s="151"/>
      <c r="AO34" s="151"/>
      <c r="AP34" s="151"/>
      <c r="AQ34" s="151"/>
      <c r="AR34" s="151"/>
      <c r="AS34" s="36">
        <v>0</v>
      </c>
    </row>
    <row r="35" s="36" customFormat="1" ht="18.75" hidden="1" customHeight="1" spans="1:45">
      <c r="A35" s="45"/>
      <c r="B35" s="45"/>
      <c r="C35" s="45"/>
      <c r="D35" s="45"/>
      <c r="E35" s="45"/>
      <c r="F35" s="45"/>
      <c r="G35" s="45"/>
      <c r="H35" s="45"/>
      <c r="I35" s="45"/>
      <c r="J35" s="45"/>
      <c r="K35" s="45"/>
      <c r="L35" s="1054"/>
      <c r="M35" s="45"/>
      <c r="N35" s="45"/>
      <c r="O35" s="45"/>
      <c r="S35" s="58" t="str">
        <f>"Номер подачи заявления об "&amp;IF(TITLE_DATE_PR_CHANGE="","утверждении","изменении")&amp;" тарифов"</f>
        <v>Номер подачи заявления об утверждении тарифов</v>
      </c>
      <c r="T35" s="58"/>
      <c r="U35" s="1088"/>
      <c r="V35" s="60" t="str">
        <f>IF(TITLE_NUMBER_PR_CHANGE="",IF(TITLE_NUMBER_PR="","",TITLE_NUMBER_PR),TITLE_NUMBER_PR_CHANGE)</f>
        <v/>
      </c>
      <c r="W35" s="60"/>
      <c r="X35" s="60"/>
      <c r="Y35" s="60"/>
      <c r="Z35" s="60"/>
      <c r="AA35" s="60"/>
      <c r="AB35" s="60"/>
      <c r="AC35" s="43"/>
      <c r="AD35" s="60" t="str">
        <f>IF(TITLE_NUMBER_PR_CHANGE="",IF(TITLE_NUMBER_PR="","",TITLE_NUMBER_PR),TITLE_NUMBER_PR_CHANGE)</f>
        <v/>
      </c>
      <c r="AE35" s="60"/>
      <c r="AF35" s="60"/>
      <c r="AG35" s="60"/>
      <c r="AH35" s="60"/>
      <c r="AI35" s="60"/>
      <c r="AJ35" s="60"/>
      <c r="AK35" s="43"/>
      <c r="AL35" s="43"/>
      <c r="AM35" s="122"/>
      <c r="AN35" s="151"/>
      <c r="AO35" s="151"/>
      <c r="AP35" s="151"/>
      <c r="AQ35" s="151"/>
      <c r="AR35" s="151"/>
      <c r="AS35" s="36">
        <v>0</v>
      </c>
    </row>
    <row r="36" s="36" customFormat="1" hidden="1" customHeight="1" spans="1:45">
      <c r="A36" s="45"/>
      <c r="B36" s="45"/>
      <c r="C36" s="45"/>
      <c r="D36" s="45"/>
      <c r="E36" s="45"/>
      <c r="F36" s="45"/>
      <c r="G36" s="45"/>
      <c r="H36" s="45"/>
      <c r="I36" s="45"/>
      <c r="J36" s="45"/>
      <c r="K36" s="45"/>
      <c r="L36" s="1054"/>
      <c r="M36" s="45"/>
      <c r="N36" s="45"/>
      <c r="O36" s="45"/>
      <c r="S36" s="43"/>
      <c r="T36" s="43"/>
      <c r="U36" s="61"/>
      <c r="V36" s="43"/>
      <c r="W36" s="43"/>
      <c r="X36" s="43"/>
      <c r="Y36" s="43"/>
      <c r="Z36" s="43"/>
      <c r="AA36" s="43"/>
      <c r="AB36" s="43"/>
      <c r="AC36" s="44" t="s">
        <v>419</v>
      </c>
      <c r="AD36" s="43"/>
      <c r="AE36" s="43"/>
      <c r="AF36" s="43"/>
      <c r="AG36" s="43"/>
      <c r="AH36" s="43"/>
      <c r="AI36" s="43"/>
      <c r="AJ36" s="43"/>
      <c r="AK36" s="44" t="s">
        <v>419</v>
      </c>
      <c r="AN36" s="151"/>
      <c r="AO36" s="151"/>
      <c r="AP36" s="151"/>
      <c r="AQ36" s="151"/>
      <c r="AR36" s="151"/>
      <c r="AS36" s="36">
        <v>0</v>
      </c>
    </row>
    <row r="37" ht="14.7" customHeight="1" spans="17:45">
      <c r="Q37" s="51"/>
      <c r="R37" s="51"/>
      <c r="S37" s="52"/>
      <c r="T37" s="53"/>
      <c r="U37" s="62"/>
      <c r="V37" s="63"/>
      <c r="W37" s="63"/>
      <c r="X37" s="63"/>
      <c r="Y37" s="63"/>
      <c r="Z37" s="63"/>
      <c r="AA37" s="63"/>
      <c r="AB37" s="63"/>
      <c r="AC37" s="63"/>
      <c r="AD37" s="63"/>
      <c r="AE37" s="63"/>
      <c r="AF37" s="63"/>
      <c r="AG37" s="63"/>
      <c r="AH37" s="63"/>
      <c r="AI37" s="63"/>
      <c r="AJ37" s="63"/>
      <c r="AK37" s="63"/>
      <c r="AS37" s="43">
        <v>14</v>
      </c>
    </row>
    <row r="38" ht="14.7" customHeight="1" spans="17:45">
      <c r="Q38" s="51"/>
      <c r="R38" s="51"/>
      <c r="S38" s="64" t="s">
        <v>296</v>
      </c>
      <c r="T38" s="64"/>
      <c r="U38" s="64"/>
      <c r="V38" s="64"/>
      <c r="W38" s="64"/>
      <c r="X38" s="64"/>
      <c r="Y38" s="64"/>
      <c r="Z38" s="64"/>
      <c r="AA38" s="64"/>
      <c r="AB38" s="64"/>
      <c r="AC38" s="64"/>
      <c r="AD38" s="64"/>
      <c r="AE38" s="64"/>
      <c r="AF38" s="64"/>
      <c r="AG38" s="64"/>
      <c r="AH38" s="64"/>
      <c r="AI38" s="64"/>
      <c r="AJ38" s="64"/>
      <c r="AK38" s="64"/>
      <c r="AL38" s="64"/>
      <c r="AM38" s="64" t="s">
        <v>297</v>
      </c>
      <c r="AS38" s="43">
        <v>14</v>
      </c>
    </row>
    <row r="39" ht="14.7" customHeight="1" spans="17:45">
      <c r="Q39" s="51"/>
      <c r="R39" s="51"/>
      <c r="S39" s="65" t="s">
        <v>89</v>
      </c>
      <c r="T39" s="66" t="s">
        <v>420</v>
      </c>
      <c r="U39" s="67"/>
      <c r="V39" s="68" t="s">
        <v>421</v>
      </c>
      <c r="W39" s="69"/>
      <c r="X39" s="69"/>
      <c r="Y39" s="69"/>
      <c r="Z39" s="69"/>
      <c r="AA39" s="69"/>
      <c r="AB39" s="123"/>
      <c r="AC39" s="124" t="s">
        <v>422</v>
      </c>
      <c r="AD39" s="68" t="s">
        <v>421</v>
      </c>
      <c r="AE39" s="69"/>
      <c r="AF39" s="69"/>
      <c r="AG39" s="69"/>
      <c r="AH39" s="69"/>
      <c r="AI39" s="69"/>
      <c r="AJ39" s="123"/>
      <c r="AK39" s="124" t="s">
        <v>423</v>
      </c>
      <c r="AL39" s="125" t="s">
        <v>424</v>
      </c>
      <c r="AM39" s="64"/>
      <c r="AS39" s="43">
        <v>14</v>
      </c>
    </row>
    <row r="40" ht="35.7" customHeight="1" spans="17:45">
      <c r="Q40" s="51"/>
      <c r="R40" s="51"/>
      <c r="S40" s="65"/>
      <c r="T40" s="66"/>
      <c r="U40" s="70"/>
      <c r="V40" s="71" t="s">
        <v>425</v>
      </c>
      <c r="W40" s="1181"/>
      <c r="X40" s="126" t="s">
        <v>427</v>
      </c>
      <c r="Y40" s="127"/>
      <c r="Z40" s="126" t="s">
        <v>428</v>
      </c>
      <c r="AA40" s="128"/>
      <c r="AB40" s="127"/>
      <c r="AC40" s="129"/>
      <c r="AD40" s="71" t="s">
        <v>425</v>
      </c>
      <c r="AE40" s="1181"/>
      <c r="AF40" s="126" t="s">
        <v>427</v>
      </c>
      <c r="AG40" s="127"/>
      <c r="AH40" s="126" t="s">
        <v>428</v>
      </c>
      <c r="AI40" s="128"/>
      <c r="AJ40" s="127"/>
      <c r="AK40" s="129"/>
      <c r="AL40" s="130"/>
      <c r="AM40" s="64"/>
      <c r="AS40" s="43">
        <v>34</v>
      </c>
    </row>
    <row r="41" ht="35.7" customHeight="1" spans="1:45">
      <c r="A41" s="45"/>
      <c r="B41" s="45" t="s">
        <v>133</v>
      </c>
      <c r="C41" s="45" t="s">
        <v>134</v>
      </c>
      <c r="D41" s="45" t="s">
        <v>135</v>
      </c>
      <c r="E41" s="1054" t="s">
        <v>429</v>
      </c>
      <c r="F41" s="1054" t="s">
        <v>430</v>
      </c>
      <c r="G41" s="1054" t="s">
        <v>431</v>
      </c>
      <c r="H41" s="1054" t="s">
        <v>432</v>
      </c>
      <c r="I41" s="1054" t="s">
        <v>433</v>
      </c>
      <c r="J41" s="1054" t="s">
        <v>434</v>
      </c>
      <c r="K41" s="1054" t="s">
        <v>435</v>
      </c>
      <c r="L41" s="1054" t="s">
        <v>414</v>
      </c>
      <c r="Q41" s="51"/>
      <c r="R41" s="51"/>
      <c r="S41" s="65"/>
      <c r="T41" s="66"/>
      <c r="U41" s="72"/>
      <c r="V41" s="73"/>
      <c r="W41" s="222"/>
      <c r="X41" s="131" t="s">
        <v>436</v>
      </c>
      <c r="Y41" s="131" t="s">
        <v>437</v>
      </c>
      <c r="Z41" s="131" t="s">
        <v>438</v>
      </c>
      <c r="AA41" s="132" t="s">
        <v>439</v>
      </c>
      <c r="AB41" s="133"/>
      <c r="AC41" s="134"/>
      <c r="AD41" s="73"/>
      <c r="AE41" s="222"/>
      <c r="AF41" s="131" t="s">
        <v>436</v>
      </c>
      <c r="AG41" s="131" t="s">
        <v>437</v>
      </c>
      <c r="AH41" s="131" t="s">
        <v>438</v>
      </c>
      <c r="AI41" s="132" t="s">
        <v>439</v>
      </c>
      <c r="AJ41" s="133"/>
      <c r="AK41" s="134"/>
      <c r="AL41" s="135"/>
      <c r="AM41" s="64"/>
      <c r="AS41" s="43">
        <v>34</v>
      </c>
    </row>
    <row r="42" s="37" customFormat="1" ht="11.25" hidden="1" customHeight="1" spans="1:45">
      <c r="A42" s="45"/>
      <c r="B42" s="45"/>
      <c r="C42" s="45"/>
      <c r="D42" s="45"/>
      <c r="E42" s="45"/>
      <c r="F42" s="45"/>
      <c r="G42" s="45"/>
      <c r="H42" s="45"/>
      <c r="I42" s="45"/>
      <c r="J42" s="45"/>
      <c r="K42" s="45"/>
      <c r="L42" s="1054"/>
      <c r="M42" s="39"/>
      <c r="N42" s="39"/>
      <c r="O42" s="39"/>
      <c r="P42" s="74"/>
      <c r="Q42" s="75"/>
      <c r="R42" s="76">
        <v>1</v>
      </c>
      <c r="S42" s="77" t="s">
        <v>107</v>
      </c>
      <c r="T42" s="78" t="s">
        <v>108</v>
      </c>
      <c r="U42" s="79" t="str">
        <f ca="1">OFFSET(U42,0,-1)</f>
        <v>2</v>
      </c>
      <c r="V42" s="80">
        <f ca="1">OFFSET(V42,0,-1)+1</f>
        <v>3</v>
      </c>
      <c r="W42" s="80"/>
      <c r="X42" s="80">
        <f ca="1">OFFSET(X42,0,-1)+1</f>
        <v>1</v>
      </c>
      <c r="Y42" s="80">
        <f ca="1">OFFSET(Y42,0,-1)+1</f>
        <v>2</v>
      </c>
      <c r="Z42" s="80">
        <f ca="1">OFFSET(Z42,0,-1)+1</f>
        <v>3</v>
      </c>
      <c r="AA42" s="80">
        <f ca="1">OFFSET(AA42,0,-1)+1</f>
        <v>4</v>
      </c>
      <c r="AB42" s="80"/>
      <c r="AC42" s="80">
        <f ca="1">OFFSET(AC42,0,-2)+1</f>
        <v>5</v>
      </c>
      <c r="AD42" s="80">
        <f ca="1">OFFSET(AD42,0,-1)+1</f>
        <v>6</v>
      </c>
      <c r="AE42" s="80"/>
      <c r="AF42" s="80">
        <f ca="1">OFFSET(AF42,0,-1)+1</f>
        <v>1</v>
      </c>
      <c r="AG42" s="80">
        <f ca="1">OFFSET(AG42,0,-1)+1</f>
        <v>2</v>
      </c>
      <c r="AH42" s="80">
        <f ca="1">OFFSET(AH42,0,-1)+1</f>
        <v>3</v>
      </c>
      <c r="AI42" s="80">
        <f ca="1">OFFSET(AI42,0,-1)+1</f>
        <v>4</v>
      </c>
      <c r="AJ42" s="80"/>
      <c r="AK42" s="80">
        <f ca="1">OFFSET(AK42,0,-2)+1</f>
        <v>5</v>
      </c>
      <c r="AL42" s="79">
        <f ca="1">OFFSET(AL42,0,-1)</f>
        <v>5</v>
      </c>
      <c r="AM42" s="80">
        <f ca="1">OFFSET(AM42,0,-1)+1</f>
        <v>6</v>
      </c>
      <c r="AN42" s="44"/>
      <c r="AO42" s="44"/>
      <c r="AP42" s="44"/>
      <c r="AQ42" s="44"/>
      <c r="AR42" s="44"/>
      <c r="AS42" s="37">
        <v>0</v>
      </c>
    </row>
    <row r="43" ht="22.05" customHeight="1" spans="1:45">
      <c r="A43" s="46" t="s">
        <v>178</v>
      </c>
      <c r="B43" s="46"/>
      <c r="C43" s="46"/>
      <c r="D43" s="46"/>
      <c r="E43" s="1052">
        <v>1</v>
      </c>
      <c r="F43" s="46"/>
      <c r="G43" s="46"/>
      <c r="H43" s="46"/>
      <c r="I43" s="46"/>
      <c r="J43" s="46"/>
      <c r="K43" s="46"/>
      <c r="L43" s="1054"/>
      <c r="M43" s="47"/>
      <c r="N43" s="47"/>
      <c r="O43" s="47"/>
      <c r="Q43" s="81"/>
      <c r="R43" s="82"/>
      <c r="S43" s="65">
        <f>INDEX(PT_DIFFERENTIATION_NUM_NTAR,MATCH(A43,PT_DIFFERENTIATION_NTAR_ID,0))</f>
        <v>0</v>
      </c>
      <c r="T43" s="83" t="s">
        <v>121</v>
      </c>
      <c r="U43" s="84"/>
      <c r="V43" s="1090"/>
      <c r="W43" s="1061"/>
      <c r="X43" s="1061"/>
      <c r="Y43" s="1061"/>
      <c r="Z43" s="1061"/>
      <c r="AA43" s="1061"/>
      <c r="AB43" s="1061"/>
      <c r="AC43" s="1089"/>
      <c r="AD43" s="1090" t="str">
        <f>INDEX(PT_DIFFERENTIATION_NTAR,MATCH(A43,PT_DIFFERENTIATION_NTAR_ID,0))</f>
        <v/>
      </c>
      <c r="AE43" s="1061"/>
      <c r="AF43" s="1061"/>
      <c r="AG43" s="1061"/>
      <c r="AH43" s="1061"/>
      <c r="AI43" s="1061"/>
      <c r="AJ43" s="1061"/>
      <c r="AK43" s="1061"/>
      <c r="AL43" s="1089"/>
      <c r="AM43" s="13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
      <c r="AP43" s="151" t="str">
        <f t="shared" ref="AP43:AP57" si="1">IF(T43="","",T43)</f>
        <v>Наименование тарифа</v>
      </c>
      <c r="AQ43" s="151"/>
      <c r="AR43" s="151"/>
      <c r="AS43" s="43">
        <v>21</v>
      </c>
    </row>
    <row r="44" ht="22.05" customHeight="1" spans="1:45">
      <c r="A44" s="46" t="s">
        <v>178</v>
      </c>
      <c r="B44" s="46" t="s">
        <v>179</v>
      </c>
      <c r="C44" s="46"/>
      <c r="D44" s="46"/>
      <c r="E44" s="1053"/>
      <c r="F44" s="1052">
        <v>1</v>
      </c>
      <c r="G44" s="46"/>
      <c r="H44" s="46"/>
      <c r="I44" s="46"/>
      <c r="J44" s="46"/>
      <c r="K44" s="46"/>
      <c r="L44" s="1054"/>
      <c r="M44" s="47"/>
      <c r="N44" s="47"/>
      <c r="O44" s="47"/>
      <c r="P44" s="86"/>
      <c r="Q44" s="87"/>
      <c r="R44" s="88"/>
      <c r="S44" s="65" t="str">
        <f>INDEX(PT_DIFFERENTIATION_NUM_TER,MATCH(B44,PT_DIFFERENTIATION_TER_ID,0))</f>
        <v>.</v>
      </c>
      <c r="T44" s="89" t="s">
        <v>393</v>
      </c>
      <c r="U44" s="84"/>
      <c r="V44" s="1090"/>
      <c r="W44" s="1061"/>
      <c r="X44" s="1061"/>
      <c r="Y44" s="1061"/>
      <c r="Z44" s="1061"/>
      <c r="AA44" s="1061"/>
      <c r="AB44" s="1061"/>
      <c r="AC44" s="1089"/>
      <c r="AD44" s="1090" t="str">
        <f>INDEX(PT_DIFFERENTIATION_TER,MATCH(B44,PT_DIFFERENTIATION_TER_ID,0))</f>
        <v/>
      </c>
      <c r="AE44" s="1061"/>
      <c r="AF44" s="1061"/>
      <c r="AG44" s="1061"/>
      <c r="AH44" s="1061"/>
      <c r="AI44" s="1061"/>
      <c r="AJ44" s="1061"/>
      <c r="AK44" s="1061"/>
      <c r="AL44" s="1089"/>
      <c r="AM44" s="136" t="s">
        <v>394</v>
      </c>
      <c r="AO44" s="151"/>
      <c r="AP44" s="151" t="str">
        <f t="shared" si="1"/>
        <v>Территория действия тарифа</v>
      </c>
      <c r="AQ44" s="151"/>
      <c r="AR44" s="151"/>
      <c r="AS44" s="43">
        <v>21</v>
      </c>
    </row>
    <row r="45" ht="24" customHeight="1" spans="1:45">
      <c r="A45" s="46" t="s">
        <v>178</v>
      </c>
      <c r="B45" s="46" t="s">
        <v>179</v>
      </c>
      <c r="C45" s="46" t="s">
        <v>180</v>
      </c>
      <c r="D45" s="46"/>
      <c r="E45" s="1053"/>
      <c r="F45" s="1053"/>
      <c r="G45" s="1052">
        <v>1</v>
      </c>
      <c r="H45" s="46"/>
      <c r="I45" s="46"/>
      <c r="J45" s="46"/>
      <c r="K45" s="46"/>
      <c r="L45" s="1054"/>
      <c r="M45" s="47"/>
      <c r="N45" s="47"/>
      <c r="O45" s="47"/>
      <c r="P45" s="90"/>
      <c r="Q45" s="87"/>
      <c r="R45" s="88"/>
      <c r="S45" s="65" t="str">
        <f>INDEX(PT_DIFFERENTIATION_NUM_CS,MATCH(C45,PT_DIFFERENTIATION_CS_ID,0))</f>
        <v>..</v>
      </c>
      <c r="T45" s="91" t="s">
        <v>395</v>
      </c>
      <c r="U45" s="84"/>
      <c r="V45" s="1090"/>
      <c r="W45" s="1061"/>
      <c r="X45" s="1061"/>
      <c r="Y45" s="1061"/>
      <c r="Z45" s="1061"/>
      <c r="AA45" s="1061"/>
      <c r="AB45" s="1061"/>
      <c r="AC45" s="1089"/>
      <c r="AD45" s="1090" t="str">
        <f>INDEX(PT_DIFFERENTIATION_CS,MATCH(C45,PT_DIFFERENTIATION_CS_ID,0))</f>
        <v/>
      </c>
      <c r="AE45" s="1061"/>
      <c r="AF45" s="1061"/>
      <c r="AG45" s="1061"/>
      <c r="AH45" s="1061"/>
      <c r="AI45" s="1061"/>
      <c r="AJ45" s="1061"/>
      <c r="AK45" s="1061"/>
      <c r="AL45" s="1089"/>
      <c r="AM45" s="136" t="s">
        <v>396</v>
      </c>
      <c r="AO45" s="151"/>
      <c r="AP45" s="151" t="str">
        <f t="shared" si="1"/>
        <v>Наименование системы теплоснабжения </v>
      </c>
      <c r="AQ45" s="151"/>
      <c r="AR45" s="151"/>
      <c r="AS45" s="43">
        <v>23</v>
      </c>
    </row>
    <row r="46" ht="22.05" customHeight="1" spans="1:45">
      <c r="A46" s="46" t="s">
        <v>178</v>
      </c>
      <c r="B46" s="46" t="s">
        <v>179</v>
      </c>
      <c r="C46" s="46" t="s">
        <v>180</v>
      </c>
      <c r="D46" s="46" t="s">
        <v>181</v>
      </c>
      <c r="E46" s="1053"/>
      <c r="F46" s="1053"/>
      <c r="G46" s="1053"/>
      <c r="H46" s="1052">
        <v>1</v>
      </c>
      <c r="I46" s="46"/>
      <c r="J46" s="46"/>
      <c r="K46" s="46"/>
      <c r="L46" s="1054"/>
      <c r="M46" s="47"/>
      <c r="N46" s="47"/>
      <c r="O46" s="47"/>
      <c r="P46" s="90"/>
      <c r="Q46" s="87"/>
      <c r="R46" s="88"/>
      <c r="S46" s="65" t="str">
        <f>INDEX(PT_DIFFERENTIATION_NUM_IST_TE,MATCH(D46,PT_DIFFERENTIATION_IST_TE_ID,0))</f>
        <v>...</v>
      </c>
      <c r="T46" s="92" t="s">
        <v>397</v>
      </c>
      <c r="U46" s="84"/>
      <c r="V46" s="1090"/>
      <c r="W46" s="1061"/>
      <c r="X46" s="1061"/>
      <c r="Y46" s="1061"/>
      <c r="Z46" s="1061"/>
      <c r="AA46" s="1061"/>
      <c r="AB46" s="1061"/>
      <c r="AC46" s="1089"/>
      <c r="AD46" s="1090" t="str">
        <f>INDEX(PT_DIFFERENTIATION_IST_TE,MATCH(D46,PT_DIFFERENTIATION_IST_TE_ID,0))</f>
        <v/>
      </c>
      <c r="AE46" s="1061"/>
      <c r="AF46" s="1061"/>
      <c r="AG46" s="1061"/>
      <c r="AH46" s="1061"/>
      <c r="AI46" s="1061"/>
      <c r="AJ46" s="1061"/>
      <c r="AK46" s="1061"/>
      <c r="AL46" s="1089"/>
      <c r="AM46" s="136" t="s">
        <v>398</v>
      </c>
      <c r="AO46" s="151"/>
      <c r="AP46" s="151" t="str">
        <f t="shared" si="1"/>
        <v>Источник тепловой энергии  </v>
      </c>
      <c r="AQ46" s="151"/>
      <c r="AR46" s="151"/>
      <c r="AS46" s="43">
        <v>21</v>
      </c>
    </row>
    <row r="47" s="44" customFormat="1" hidden="1" customHeight="1" spans="1:45">
      <c r="A47" s="590" t="s">
        <v>178</v>
      </c>
      <c r="B47" s="590" t="s">
        <v>179</v>
      </c>
      <c r="C47" s="590" t="s">
        <v>180</v>
      </c>
      <c r="D47" s="590" t="s">
        <v>181</v>
      </c>
      <c r="E47" s="1053"/>
      <c r="F47" s="1053"/>
      <c r="G47" s="1053"/>
      <c r="H47" s="1053"/>
      <c r="I47" s="229" t="str">
        <f>S46&amp;".1"</f>
        <v>....1</v>
      </c>
      <c r="J47" s="590"/>
      <c r="K47" s="590"/>
      <c r="L47" s="611" t="s">
        <v>399</v>
      </c>
      <c r="M47" s="1057"/>
      <c r="N47" s="1057"/>
      <c r="O47" s="1057"/>
      <c r="P47" s="93">
        <v>1</v>
      </c>
      <c r="Q47" s="93"/>
      <c r="R47" s="94"/>
      <c r="S47" s="330"/>
      <c r="T47" s="1067"/>
      <c r="U47" s="1065"/>
      <c r="V47" s="1092"/>
      <c r="W47" s="1066"/>
      <c r="X47" s="1066"/>
      <c r="Y47" s="1066"/>
      <c r="Z47" s="1066"/>
      <c r="AA47" s="1066"/>
      <c r="AB47" s="1066"/>
      <c r="AC47" s="1091"/>
      <c r="AD47" s="1092"/>
      <c r="AE47" s="1066"/>
      <c r="AF47" s="1066"/>
      <c r="AG47" s="1066"/>
      <c r="AH47" s="1066"/>
      <c r="AI47" s="1066"/>
      <c r="AJ47" s="1066"/>
      <c r="AK47" s="1066"/>
      <c r="AL47" s="1091"/>
      <c r="AM47" s="995"/>
      <c r="AO47" s="151"/>
      <c r="AP47" s="151" t="str">
        <f t="shared" si="1"/>
        <v/>
      </c>
      <c r="AQ47" s="151"/>
      <c r="AR47" s="151"/>
      <c r="AS47" s="44">
        <v>0</v>
      </c>
    </row>
    <row r="48" ht="22.05" customHeight="1" spans="1:45">
      <c r="A48" s="46" t="s">
        <v>178</v>
      </c>
      <c r="B48" s="46" t="s">
        <v>179</v>
      </c>
      <c r="C48" s="46" t="s">
        <v>180</v>
      </c>
      <c r="D48" s="46" t="s">
        <v>181</v>
      </c>
      <c r="E48" s="1053"/>
      <c r="F48" s="1053"/>
      <c r="G48" s="1053"/>
      <c r="H48" s="1053"/>
      <c r="I48" s="1058"/>
      <c r="J48" s="229" t="str">
        <f>S46&amp;".1"</f>
        <v>....1</v>
      </c>
      <c r="K48" s="46"/>
      <c r="L48" s="1054" t="s">
        <v>402</v>
      </c>
      <c r="P48" s="93"/>
      <c r="Q48" s="93">
        <v>1</v>
      </c>
      <c r="R48" s="97"/>
      <c r="S48" s="65" t="str">
        <f>$J48</f>
        <v>....1</v>
      </c>
      <c r="T48" s="98" t="s">
        <v>403</v>
      </c>
      <c r="U48" s="84"/>
      <c r="V48" s="99"/>
      <c r="W48" s="100"/>
      <c r="X48" s="100"/>
      <c r="Y48" s="100"/>
      <c r="Z48" s="100"/>
      <c r="AA48" s="100"/>
      <c r="AB48" s="100"/>
      <c r="AC48" s="137"/>
      <c r="AD48" s="99"/>
      <c r="AE48" s="100"/>
      <c r="AF48" s="100"/>
      <c r="AG48" s="100"/>
      <c r="AH48" s="100"/>
      <c r="AI48" s="100"/>
      <c r="AJ48" s="100"/>
      <c r="AK48" s="100"/>
      <c r="AL48" s="137"/>
      <c r="AM48" s="136" t="s">
        <v>404</v>
      </c>
      <c r="AO48" s="151"/>
      <c r="AP48" s="151" t="str">
        <f t="shared" si="1"/>
        <v>Группа потребителей</v>
      </c>
      <c r="AQ48" s="151"/>
      <c r="AR48" s="151"/>
      <c r="AS48" s="43">
        <v>21</v>
      </c>
    </row>
    <row r="49" ht="22.05" customHeight="1" spans="1:45">
      <c r="A49" s="46" t="s">
        <v>178</v>
      </c>
      <c r="B49" s="46" t="s">
        <v>179</v>
      </c>
      <c r="C49" s="46" t="s">
        <v>180</v>
      </c>
      <c r="D49" s="46" t="s">
        <v>181</v>
      </c>
      <c r="E49" s="1053"/>
      <c r="F49" s="1053"/>
      <c r="G49" s="1053"/>
      <c r="H49" s="1053"/>
      <c r="I49" s="1058"/>
      <c r="J49" s="1058"/>
      <c r="K49" s="229" t="str">
        <f>J48&amp;".1"</f>
        <v>....1.1</v>
      </c>
      <c r="L49" s="1054" t="s">
        <v>405</v>
      </c>
      <c r="P49" s="93"/>
      <c r="Q49" s="93"/>
      <c r="R49" s="97">
        <v>1</v>
      </c>
      <c r="S49" s="65" t="str">
        <f>$K49</f>
        <v>....1.1</v>
      </c>
      <c r="T49" s="101"/>
      <c r="U49" s="84"/>
      <c r="V49" s="102"/>
      <c r="W49" s="103"/>
      <c r="X49" s="102"/>
      <c r="Y49" s="138"/>
      <c r="Z49" s="139"/>
      <c r="AA49" s="140" t="s">
        <v>66</v>
      </c>
      <c r="AB49" s="139"/>
      <c r="AC49" s="140" t="s">
        <v>66</v>
      </c>
      <c r="AD49" s="102"/>
      <c r="AE49" s="103"/>
      <c r="AF49" s="102"/>
      <c r="AG49" s="138"/>
      <c r="AH49" s="139"/>
      <c r="AI49" s="140" t="s">
        <v>66</v>
      </c>
      <c r="AJ49" s="1137"/>
      <c r="AK49" s="140" t="s">
        <v>66</v>
      </c>
      <c r="AL49" s="1120"/>
      <c r="AM49" s="141" t="s">
        <v>443</v>
      </c>
      <c r="AN49" s="44" t="e">
        <f>STRCHECKDATE(V50:AL50)</f>
        <v>#NAME?</v>
      </c>
      <c r="AO49" s="151"/>
      <c r="AP49" s="151" t="str">
        <f t="shared" si="1"/>
        <v/>
      </c>
      <c r="AQ49" s="151"/>
      <c r="AR49" s="151"/>
      <c r="AS49" s="43">
        <v>21</v>
      </c>
    </row>
    <row r="50" ht="1.05" customHeight="1" spans="1:45">
      <c r="A50" s="46" t="s">
        <v>178</v>
      </c>
      <c r="B50" s="46" t="s">
        <v>179</v>
      </c>
      <c r="C50" s="46" t="s">
        <v>180</v>
      </c>
      <c r="D50" s="46" t="s">
        <v>181</v>
      </c>
      <c r="E50" s="1053"/>
      <c r="F50" s="1053"/>
      <c r="G50" s="1053"/>
      <c r="H50" s="1053"/>
      <c r="I50" s="1058"/>
      <c r="J50" s="1058"/>
      <c r="K50" s="229"/>
      <c r="L50" s="1054"/>
      <c r="P50" s="93"/>
      <c r="Q50" s="93"/>
      <c r="R50" s="97"/>
      <c r="S50" s="104"/>
      <c r="T50" s="84"/>
      <c r="U50" s="84"/>
      <c r="V50" s="103"/>
      <c r="W50" s="103"/>
      <c r="X50" s="103"/>
      <c r="Y50" s="142" t="str">
        <f>Z49&amp;"-"&amp;AB49</f>
        <v>-</v>
      </c>
      <c r="Z50" s="143"/>
      <c r="AA50" s="140"/>
      <c r="AB50" s="143"/>
      <c r="AC50" s="140"/>
      <c r="AD50" s="103"/>
      <c r="AE50" s="103"/>
      <c r="AF50" s="103"/>
      <c r="AG50" s="142" t="str">
        <f>AH49&amp;"-"&amp;AJ49</f>
        <v>-</v>
      </c>
      <c r="AH50" s="143"/>
      <c r="AI50" s="140"/>
      <c r="AJ50" s="1140"/>
      <c r="AK50" s="140"/>
      <c r="AL50" s="1163"/>
      <c r="AM50" s="144"/>
      <c r="AO50" s="151"/>
      <c r="AP50" s="151" t="str">
        <f t="shared" si="1"/>
        <v/>
      </c>
      <c r="AQ50" s="151"/>
      <c r="AR50" s="151"/>
      <c r="AS50" s="43">
        <v>1</v>
      </c>
    </row>
    <row r="51" ht="11.55" customHeight="1" spans="1:45">
      <c r="A51" s="46" t="s">
        <v>178</v>
      </c>
      <c r="B51" s="46" t="s">
        <v>179</v>
      </c>
      <c r="C51" s="46" t="s">
        <v>180</v>
      </c>
      <c r="D51" s="46" t="s">
        <v>181</v>
      </c>
      <c r="E51" s="1053"/>
      <c r="F51" s="1053"/>
      <c r="G51" s="1053"/>
      <c r="H51" s="1053"/>
      <c r="I51" s="1058"/>
      <c r="J51" s="229"/>
      <c r="K51" s="46"/>
      <c r="L51" s="1054"/>
      <c r="P51" s="93"/>
      <c r="Q51" s="93"/>
      <c r="R51" s="94"/>
      <c r="S51" s="105"/>
      <c r="T51" s="108" t="s">
        <v>407</v>
      </c>
      <c r="U51" s="107"/>
      <c r="V51" s="107"/>
      <c r="W51" s="107"/>
      <c r="X51" s="107"/>
      <c r="Y51" s="107"/>
      <c r="Z51" s="107"/>
      <c r="AA51" s="107"/>
      <c r="AB51" s="107"/>
      <c r="AC51" s="107"/>
      <c r="AD51" s="107"/>
      <c r="AE51" s="107"/>
      <c r="AF51" s="107"/>
      <c r="AG51" s="107"/>
      <c r="AH51" s="107"/>
      <c r="AI51" s="107"/>
      <c r="AJ51" s="107"/>
      <c r="AK51" s="107"/>
      <c r="AL51" s="145"/>
      <c r="AM51" s="146"/>
      <c r="AO51" s="151"/>
      <c r="AP51" s="151" t="str">
        <f t="shared" si="1"/>
        <v>Добавить вид теплоносителя (параметры теплоносителя)</v>
      </c>
      <c r="AQ51" s="151"/>
      <c r="AR51" s="151"/>
      <c r="AS51" s="43">
        <v>11</v>
      </c>
    </row>
    <row r="52" ht="11.55" customHeight="1" spans="1:45">
      <c r="A52" s="46" t="s">
        <v>178</v>
      </c>
      <c r="B52" s="46" t="s">
        <v>179</v>
      </c>
      <c r="C52" s="46" t="s">
        <v>180</v>
      </c>
      <c r="D52" s="46" t="s">
        <v>181</v>
      </c>
      <c r="E52" s="1053"/>
      <c r="F52" s="1053"/>
      <c r="G52" s="1053"/>
      <c r="H52" s="1053"/>
      <c r="I52" s="229"/>
      <c r="J52" s="46"/>
      <c r="K52" s="46"/>
      <c r="L52" s="1054"/>
      <c r="P52" s="93"/>
      <c r="Q52" s="93"/>
      <c r="R52" s="94"/>
      <c r="S52" s="105"/>
      <c r="T52" s="110" t="s">
        <v>408</v>
      </c>
      <c r="U52" s="107"/>
      <c r="V52" s="107"/>
      <c r="W52" s="107"/>
      <c r="X52" s="107"/>
      <c r="Y52" s="107"/>
      <c r="Z52" s="107"/>
      <c r="AA52" s="107"/>
      <c r="AB52" s="107"/>
      <c r="AC52" s="147"/>
      <c r="AD52" s="107"/>
      <c r="AE52" s="107"/>
      <c r="AF52" s="107"/>
      <c r="AG52" s="107"/>
      <c r="AH52" s="107"/>
      <c r="AI52" s="107"/>
      <c r="AJ52" s="107"/>
      <c r="AK52" s="147"/>
      <c r="AL52" s="107"/>
      <c r="AM52" s="148"/>
      <c r="AO52" s="151"/>
      <c r="AP52" s="151" t="str">
        <f t="shared" si="1"/>
        <v>Добавить группу потребителей</v>
      </c>
      <c r="AQ52" s="151"/>
      <c r="AR52" s="151"/>
      <c r="AS52" s="43">
        <v>11</v>
      </c>
    </row>
    <row r="53" hidden="1" customHeight="1" spans="1:45">
      <c r="A53" s="46" t="s">
        <v>178</v>
      </c>
      <c r="B53" s="46" t="s">
        <v>179</v>
      </c>
      <c r="C53" s="46" t="s">
        <v>180</v>
      </c>
      <c r="D53" s="46" t="s">
        <v>181</v>
      </c>
      <c r="E53" s="1053"/>
      <c r="F53" s="1053"/>
      <c r="G53" s="1053"/>
      <c r="H53" s="1052"/>
      <c r="I53" s="46"/>
      <c r="J53" s="46"/>
      <c r="K53" s="46"/>
      <c r="L53" s="1054"/>
      <c r="M53" s="47"/>
      <c r="N53" s="47"/>
      <c r="O53" s="38"/>
      <c r="P53" s="81"/>
      <c r="Q53" s="109"/>
      <c r="R53" s="82"/>
      <c r="S53" s="1079"/>
      <c r="T53" s="1080"/>
      <c r="U53" s="1081"/>
      <c r="V53" s="1081"/>
      <c r="W53" s="1081"/>
      <c r="X53" s="1081"/>
      <c r="Y53" s="1081"/>
      <c r="Z53" s="1081"/>
      <c r="AA53" s="1081"/>
      <c r="AB53" s="1081"/>
      <c r="AC53" s="1081"/>
      <c r="AD53" s="1081"/>
      <c r="AE53" s="1081"/>
      <c r="AF53" s="1081"/>
      <c r="AG53" s="1081"/>
      <c r="AH53" s="1081"/>
      <c r="AI53" s="1081"/>
      <c r="AJ53" s="1081"/>
      <c r="AK53" s="1081"/>
      <c r="AL53" s="1081"/>
      <c r="AM53" s="1123"/>
      <c r="AO53" s="151"/>
      <c r="AP53" s="151" t="str">
        <f t="shared" si="1"/>
        <v/>
      </c>
      <c r="AQ53" s="151"/>
      <c r="AR53" s="151"/>
      <c r="AS53" s="43">
        <v>0</v>
      </c>
    </row>
    <row r="54" s="44" customFormat="1" ht="1.05" customHeight="1" spans="1:45">
      <c r="A54" s="590" t="s">
        <v>178</v>
      </c>
      <c r="B54" s="590" t="s">
        <v>179</v>
      </c>
      <c r="C54" s="590" t="s">
        <v>180</v>
      </c>
      <c r="D54" s="590"/>
      <c r="E54" s="1053"/>
      <c r="F54" s="1053"/>
      <c r="G54" s="1052"/>
      <c r="H54" s="590"/>
      <c r="I54" s="590"/>
      <c r="J54" s="590"/>
      <c r="K54" s="590"/>
      <c r="L54" s="611"/>
      <c r="M54" s="283"/>
      <c r="N54" s="283"/>
      <c r="P54" s="152"/>
      <c r="Q54" s="1082"/>
      <c r="R54" s="152"/>
      <c r="S54" s="1084"/>
      <c r="T54" s="1085" t="s">
        <v>410</v>
      </c>
      <c r="U54" s="307"/>
      <c r="V54" s="307"/>
      <c r="W54" s="307"/>
      <c r="X54" s="307"/>
      <c r="Y54" s="307"/>
      <c r="Z54" s="307"/>
      <c r="AA54" s="307"/>
      <c r="AB54" s="307"/>
      <c r="AC54" s="307"/>
      <c r="AD54" s="307"/>
      <c r="AE54" s="307"/>
      <c r="AF54" s="307"/>
      <c r="AG54" s="307"/>
      <c r="AH54" s="307"/>
      <c r="AI54" s="307"/>
      <c r="AJ54" s="307"/>
      <c r="AK54" s="307"/>
      <c r="AL54" s="307"/>
      <c r="AM54" s="307"/>
      <c r="AO54" s="151"/>
      <c r="AP54" s="151" t="str">
        <f t="shared" si="1"/>
        <v>Добавить источник для дифференциации</v>
      </c>
      <c r="AQ54" s="151"/>
      <c r="AR54" s="151"/>
      <c r="AS54" s="44">
        <v>1</v>
      </c>
    </row>
    <row r="55" s="44" customFormat="1" ht="1.05" customHeight="1" spans="1:45">
      <c r="A55" s="590" t="s">
        <v>178</v>
      </c>
      <c r="B55" s="590" t="s">
        <v>179</v>
      </c>
      <c r="C55" s="590"/>
      <c r="D55" s="590"/>
      <c r="E55" s="1053"/>
      <c r="F55" s="1052"/>
      <c r="G55" s="590"/>
      <c r="H55" s="590"/>
      <c r="I55" s="590"/>
      <c r="J55" s="590"/>
      <c r="K55" s="590"/>
      <c r="L55" s="611"/>
      <c r="M55" s="1059"/>
      <c r="N55" s="1059"/>
      <c r="P55" s="152"/>
      <c r="Q55" s="1082"/>
      <c r="R55" s="152"/>
      <c r="S55" s="1084"/>
      <c r="T55" s="1085" t="s">
        <v>411</v>
      </c>
      <c r="U55" s="307"/>
      <c r="V55" s="307"/>
      <c r="W55" s="307"/>
      <c r="X55" s="307"/>
      <c r="Y55" s="307"/>
      <c r="Z55" s="307"/>
      <c r="AA55" s="307"/>
      <c r="AB55" s="307"/>
      <c r="AC55" s="307"/>
      <c r="AD55" s="307"/>
      <c r="AE55" s="307"/>
      <c r="AF55" s="307"/>
      <c r="AG55" s="307"/>
      <c r="AH55" s="307"/>
      <c r="AI55" s="307"/>
      <c r="AJ55" s="307"/>
      <c r="AK55" s="307"/>
      <c r="AL55" s="307"/>
      <c r="AM55" s="307"/>
      <c r="AO55" s="151"/>
      <c r="AP55" s="151" t="str">
        <f t="shared" si="1"/>
        <v>Добавить централизованную систему для дифференциации</v>
      </c>
      <c r="AQ55" s="151"/>
      <c r="AR55" s="151"/>
      <c r="AS55" s="44">
        <v>1</v>
      </c>
    </row>
    <row r="56" s="44" customFormat="1" ht="1.05" customHeight="1" spans="1:45">
      <c r="A56" s="590" t="s">
        <v>178</v>
      </c>
      <c r="B56" s="590"/>
      <c r="C56" s="590"/>
      <c r="D56" s="590"/>
      <c r="E56" s="1052"/>
      <c r="F56" s="590"/>
      <c r="G56" s="590"/>
      <c r="H56" s="590"/>
      <c r="I56" s="590"/>
      <c r="J56" s="590"/>
      <c r="K56" s="590"/>
      <c r="L56" s="611"/>
      <c r="M56" s="1059"/>
      <c r="N56" s="1059"/>
      <c r="P56" s="152"/>
      <c r="Q56" s="1082"/>
      <c r="R56" s="152"/>
      <c r="S56" s="1084"/>
      <c r="T56" s="1085" t="s">
        <v>412</v>
      </c>
      <c r="U56" s="307"/>
      <c r="V56" s="307"/>
      <c r="W56" s="307"/>
      <c r="X56" s="307"/>
      <c r="Y56" s="307"/>
      <c r="Z56" s="307"/>
      <c r="AA56" s="307"/>
      <c r="AB56" s="307"/>
      <c r="AC56" s="307"/>
      <c r="AD56" s="307"/>
      <c r="AE56" s="307"/>
      <c r="AF56" s="307"/>
      <c r="AG56" s="307"/>
      <c r="AH56" s="307"/>
      <c r="AI56" s="307"/>
      <c r="AJ56" s="307"/>
      <c r="AK56" s="307"/>
      <c r="AL56" s="307"/>
      <c r="AM56" s="307"/>
      <c r="AO56" s="151"/>
      <c r="AP56" s="151" t="str">
        <f t="shared" si="1"/>
        <v>Добавить территорию для дифференциации</v>
      </c>
      <c r="AQ56" s="151"/>
      <c r="AR56" s="151"/>
      <c r="AS56" s="44">
        <v>1</v>
      </c>
    </row>
    <row r="57" s="44" customFormat="1" ht="1.05" customHeight="1" spans="1:45">
      <c r="A57" s="590"/>
      <c r="B57" s="590"/>
      <c r="C57" s="590"/>
      <c r="D57" s="590"/>
      <c r="E57" s="590"/>
      <c r="F57" s="590"/>
      <c r="G57" s="590"/>
      <c r="H57" s="590"/>
      <c r="I57" s="590"/>
      <c r="J57" s="590"/>
      <c r="K57" s="590"/>
      <c r="L57" s="611"/>
      <c r="M57" s="1059"/>
      <c r="N57" s="1059"/>
      <c r="P57" s="152"/>
      <c r="Q57" s="1082"/>
      <c r="R57" s="152"/>
      <c r="S57" s="1084"/>
      <c r="T57" s="1085" t="s">
        <v>440</v>
      </c>
      <c r="U57" s="307"/>
      <c r="V57" s="307"/>
      <c r="W57" s="307"/>
      <c r="X57" s="307"/>
      <c r="Y57" s="307"/>
      <c r="Z57" s="307"/>
      <c r="AA57" s="307"/>
      <c r="AB57" s="307"/>
      <c r="AC57" s="307"/>
      <c r="AD57" s="307"/>
      <c r="AE57" s="307"/>
      <c r="AF57" s="307"/>
      <c r="AG57" s="307"/>
      <c r="AH57" s="307"/>
      <c r="AI57" s="307"/>
      <c r="AJ57" s="307"/>
      <c r="AK57" s="307"/>
      <c r="AL57" s="307"/>
      <c r="AM57" s="307"/>
      <c r="AO57" s="151"/>
      <c r="AP57" s="151" t="str">
        <f t="shared" si="1"/>
        <v>Добавить наименование тарифа</v>
      </c>
      <c r="AQ57" s="151"/>
      <c r="AR57" s="151"/>
      <c r="AS57" s="44">
        <v>1</v>
      </c>
    </row>
    <row r="58" ht="11.55" customHeight="1" spans="13:45">
      <c r="M58" s="38"/>
      <c r="N58" s="38"/>
      <c r="O58" s="38"/>
      <c r="P58" s="43"/>
      <c r="Q58" s="43"/>
      <c r="R58" s="43"/>
      <c r="S58" s="43"/>
      <c r="AN58" s="43"/>
      <c r="AO58" s="43"/>
      <c r="AP58" s="43"/>
      <c r="AQ58" s="43"/>
      <c r="AR58" s="43"/>
      <c r="AS58" s="43">
        <v>11</v>
      </c>
    </row>
    <row r="59" ht="23.25" customHeight="1" spans="15:45">
      <c r="O59" s="38"/>
      <c r="S59" s="786"/>
      <c r="T59" s="120"/>
      <c r="U59" s="120"/>
      <c r="V59" s="120"/>
      <c r="W59" s="120"/>
      <c r="X59" s="120"/>
      <c r="Y59" s="120"/>
      <c r="Z59" s="120"/>
      <c r="AA59" s="120"/>
      <c r="AB59" s="120"/>
      <c r="AC59" s="120"/>
      <c r="AD59" s="120"/>
      <c r="AE59" s="120"/>
      <c r="AF59" s="120"/>
      <c r="AG59" s="120"/>
      <c r="AH59" s="120"/>
      <c r="AI59" s="120"/>
      <c r="AJ59" s="120"/>
      <c r="AK59" s="120"/>
      <c r="AL59" s="120"/>
      <c r="AM59" s="120"/>
      <c r="AS59" s="43">
        <v>22</v>
      </c>
    </row>
    <row r="60" ht="30.45" customHeight="1" spans="15:45">
      <c r="O60" s="38"/>
      <c r="T60" s="120"/>
      <c r="U60" s="120"/>
      <c r="V60" s="120"/>
      <c r="W60" s="120"/>
      <c r="X60" s="120"/>
      <c r="Y60" s="120"/>
      <c r="Z60" s="120"/>
      <c r="AA60" s="120"/>
      <c r="AB60" s="120"/>
      <c r="AC60" s="120"/>
      <c r="AD60" s="120"/>
      <c r="AE60" s="120"/>
      <c r="AF60" s="120"/>
      <c r="AG60" s="120"/>
      <c r="AH60" s="120"/>
      <c r="AI60" s="120"/>
      <c r="AJ60" s="120"/>
      <c r="AK60" s="120"/>
      <c r="AL60" s="120"/>
      <c r="AM60" s="120"/>
      <c r="AS60" s="43">
        <v>29</v>
      </c>
    </row>
    <row r="61" ht="42" customHeight="1" spans="15:45">
      <c r="O61" s="38"/>
      <c r="T61" s="120"/>
      <c r="U61" s="120"/>
      <c r="V61" s="120"/>
      <c r="W61" s="120"/>
      <c r="X61" s="120"/>
      <c r="Y61" s="120"/>
      <c r="Z61" s="120"/>
      <c r="AA61" s="120"/>
      <c r="AB61" s="120"/>
      <c r="AC61" s="120"/>
      <c r="AD61" s="120"/>
      <c r="AE61" s="120"/>
      <c r="AF61" s="120"/>
      <c r="AG61" s="120"/>
      <c r="AH61" s="120"/>
      <c r="AI61" s="120"/>
      <c r="AJ61" s="120"/>
      <c r="AK61" s="120"/>
      <c r="AL61" s="120"/>
      <c r="AM61" s="120"/>
      <c r="AS61" s="43">
        <v>40</v>
      </c>
    </row>
    <row r="62" ht="14.7" customHeight="1" spans="15:45">
      <c r="O62" s="38"/>
      <c r="AS62" s="43">
        <v>14</v>
      </c>
    </row>
    <row r="63" ht="21" customHeight="1" spans="15:45">
      <c r="O63" s="38"/>
      <c r="S63" s="786"/>
      <c r="T63" s="1182"/>
      <c r="U63" s="120"/>
      <c r="V63" s="120"/>
      <c r="W63" s="120"/>
      <c r="X63" s="120"/>
      <c r="Y63" s="120"/>
      <c r="Z63" s="120"/>
      <c r="AA63" s="120"/>
      <c r="AB63" s="120"/>
      <c r="AC63" s="120"/>
      <c r="AD63" s="120"/>
      <c r="AE63" s="120"/>
      <c r="AF63" s="120"/>
      <c r="AG63" s="120"/>
      <c r="AH63" s="120"/>
      <c r="AI63" s="120"/>
      <c r="AJ63" s="120"/>
      <c r="AK63" s="120"/>
      <c r="AL63" s="120"/>
      <c r="AM63" s="120"/>
      <c r="AS63" s="43">
        <v>20</v>
      </c>
    </row>
    <row r="64" ht="29.25" customHeight="1" spans="15:45">
      <c r="O64" s="38"/>
      <c r="T64" s="120"/>
      <c r="U64" s="120"/>
      <c r="V64" s="120"/>
      <c r="W64" s="120"/>
      <c r="X64" s="120"/>
      <c r="Y64" s="120"/>
      <c r="Z64" s="120"/>
      <c r="AA64" s="120"/>
      <c r="AB64" s="120"/>
      <c r="AC64" s="120"/>
      <c r="AD64" s="120"/>
      <c r="AE64" s="120"/>
      <c r="AF64" s="120"/>
      <c r="AG64" s="120"/>
      <c r="AH64" s="120"/>
      <c r="AI64" s="120"/>
      <c r="AJ64" s="120"/>
      <c r="AK64" s="120"/>
      <c r="AL64" s="120"/>
      <c r="AM64" s="120"/>
      <c r="AS64" s="43">
        <v>28</v>
      </c>
    </row>
    <row r="65" ht="35.7" customHeight="1" spans="20:45">
      <c r="T65" s="120"/>
      <c r="U65" s="120"/>
      <c r="V65" s="120"/>
      <c r="W65" s="120"/>
      <c r="X65" s="120"/>
      <c r="Y65" s="120"/>
      <c r="Z65" s="120"/>
      <c r="AA65" s="120"/>
      <c r="AB65" s="120"/>
      <c r="AC65" s="120"/>
      <c r="AD65" s="120"/>
      <c r="AE65" s="120"/>
      <c r="AF65" s="120"/>
      <c r="AG65" s="120"/>
      <c r="AH65" s="120"/>
      <c r="AI65" s="120"/>
      <c r="AJ65" s="120"/>
      <c r="AK65" s="120"/>
      <c r="AL65" s="120"/>
      <c r="AM65" s="120"/>
      <c r="AS65" s="43">
        <v>34</v>
      </c>
    </row>
    <row r="66" ht="22.5" hidden="1" customHeight="1" spans="1:45">
      <c r="A66" s="38" t="s">
        <v>83</v>
      </c>
      <c r="B66" s="38">
        <v>0</v>
      </c>
      <c r="C66" s="38">
        <v>0</v>
      </c>
      <c r="D66" s="38">
        <v>0</v>
      </c>
      <c r="E66" s="38">
        <v>0</v>
      </c>
      <c r="F66" s="38">
        <v>0</v>
      </c>
      <c r="G66" s="38">
        <v>0</v>
      </c>
      <c r="H66" s="38">
        <v>0</v>
      </c>
      <c r="I66" s="38">
        <v>0</v>
      </c>
      <c r="J66" s="38">
        <v>0</v>
      </c>
      <c r="K66" s="38">
        <v>0</v>
      </c>
      <c r="L66" s="48">
        <v>0</v>
      </c>
      <c r="M66" s="39">
        <v>0</v>
      </c>
      <c r="N66" s="39">
        <v>0</v>
      </c>
      <c r="O66" s="39">
        <v>0</v>
      </c>
      <c r="P66" s="40">
        <v>0</v>
      </c>
      <c r="Q66" s="41">
        <v>3</v>
      </c>
      <c r="R66" s="41">
        <v>3</v>
      </c>
      <c r="S66" s="42">
        <v>12</v>
      </c>
      <c r="T66" s="43">
        <v>31</v>
      </c>
      <c r="U66" s="43">
        <v>0</v>
      </c>
      <c r="V66" s="43">
        <v>0</v>
      </c>
      <c r="W66" s="43">
        <v>0</v>
      </c>
      <c r="X66" s="43">
        <v>0</v>
      </c>
      <c r="Y66" s="43">
        <v>0</v>
      </c>
      <c r="Z66" s="43">
        <v>0</v>
      </c>
      <c r="AA66" s="43">
        <v>0</v>
      </c>
      <c r="AB66" s="43">
        <v>0</v>
      </c>
      <c r="AC66" s="43">
        <v>0</v>
      </c>
      <c r="AD66" s="43">
        <v>24</v>
      </c>
      <c r="AE66" s="43">
        <v>0</v>
      </c>
      <c r="AF66" s="43">
        <v>24</v>
      </c>
      <c r="AG66" s="43">
        <v>24</v>
      </c>
      <c r="AH66" s="43">
        <v>11</v>
      </c>
      <c r="AI66" s="43">
        <v>3</v>
      </c>
      <c r="AJ66" s="43">
        <v>11</v>
      </c>
      <c r="AK66" s="43">
        <v>0</v>
      </c>
      <c r="AL66" s="43">
        <v>4</v>
      </c>
      <c r="AM66" s="43">
        <v>115</v>
      </c>
      <c r="AN66" s="44">
        <v>10</v>
      </c>
      <c r="AO66" s="44">
        <v>10</v>
      </c>
      <c r="AP66" s="44">
        <v>10</v>
      </c>
      <c r="AQ66" s="44">
        <v>10</v>
      </c>
      <c r="AR66" s="44">
        <v>10</v>
      </c>
      <c r="AS66" s="43">
        <v>23</v>
      </c>
    </row>
  </sheetData>
  <sheetProtection formatColumns="0" formatRows="0" insertRows="0" deleteColumns="0" deleteRows="0" sort="0" autoFilter="0"/>
  <mergeCells count="113">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1:AM61"/>
    <mergeCell ref="T63:AM63"/>
    <mergeCell ref="T64:AM64"/>
    <mergeCell ref="T65:AM65"/>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6"/>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71428571428571" style="40" hidden="1" customWidth="1"/>
    <col min="17" max="18" width="3" style="41" customWidth="1"/>
    <col min="19" max="19" width="12" style="42" customWidth="1"/>
    <col min="20" max="20" width="31" style="43" customWidth="1"/>
    <col min="21" max="21" width="0.142857142857143" style="43" customWidth="1"/>
    <col min="22" max="22" width="24.7142857142857" style="43" hidden="1" customWidth="1"/>
    <col min="23" max="23" width="0.142857142857143" style="43" hidden="1" customWidth="1"/>
    <col min="24" max="25" width="24.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24.7142857142857" style="43" customWidth="1"/>
    <col min="31" max="31" width="0.142857142857143" style="43" customWidth="1"/>
    <col min="32" max="33" width="24" style="43" customWidth="1"/>
    <col min="34" max="34" width="11" style="43" customWidth="1"/>
    <col min="35" max="35" width="3.71428571428571" style="43" customWidth="1"/>
    <col min="36" max="36" width="11" style="43" customWidth="1"/>
    <col min="37" max="37" width="8.57142857142857" style="43" hidden="1" customWidth="1"/>
    <col min="38" max="38" width="4" style="43" customWidth="1"/>
    <col min="39" max="39" width="115" style="43" customWidth="1"/>
    <col min="40" max="44" width="10" style="44" customWidth="1"/>
    <col min="45" max="45" width="10.5714285714286" style="43" hidden="1"/>
  </cols>
  <sheetData>
    <row r="1" ht="22.5" hidden="1" customHeight="1" spans="45:45">
      <c r="AS1" s="43" t="s">
        <v>14</v>
      </c>
    </row>
    <row r="2" ht="21" hidden="1" customHeight="1" spans="1:45">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61"/>
      <c r="AC2" s="1089"/>
      <c r="AD2" s="1090" t="e">
        <f>INDEX(PT_DIFFERENTIATION_NTAR,MATCH(A2,PT_DIFFERENTIATION_NTAR_ID,0))</f>
        <v>#N/A</v>
      </c>
      <c r="AE2" s="1061"/>
      <c r="AF2" s="1061"/>
      <c r="AG2" s="1061"/>
      <c r="AH2" s="1061"/>
      <c r="AI2" s="1061"/>
      <c r="AJ2" s="1061"/>
      <c r="AK2" s="1061"/>
      <c r="AL2" s="1089"/>
      <c r="AM2" s="136" t="s">
        <v>392</v>
      </c>
      <c r="AO2" s="151"/>
      <c r="AP2" s="151" t="str">
        <f t="shared" ref="AP2:AP15" si="0">IF(T2="","",T2)</f>
        <v>Наименование тарифа</v>
      </c>
      <c r="AQ2" s="151"/>
      <c r="AR2" s="151"/>
      <c r="AS2" s="43">
        <v>0</v>
      </c>
    </row>
    <row r="3" ht="21" hidden="1" customHeight="1" spans="1:45">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61"/>
      <c r="AC3" s="1089"/>
      <c r="AD3" s="1090" t="e">
        <f>INDEX(PT_DIFFERENTIATION_TER,MATCH(B3,PT_DIFFERENTIATION_TER_ID,0))</f>
        <v>#N/A</v>
      </c>
      <c r="AE3" s="1061"/>
      <c r="AF3" s="1061"/>
      <c r="AG3" s="1061"/>
      <c r="AH3" s="1061"/>
      <c r="AI3" s="1061"/>
      <c r="AJ3" s="1061"/>
      <c r="AK3" s="1061"/>
      <c r="AL3" s="1089"/>
      <c r="AM3" s="136" t="s">
        <v>394</v>
      </c>
      <c r="AO3" s="151"/>
      <c r="AP3" s="151" t="str">
        <f t="shared" si="0"/>
        <v>Территория действия тарифа</v>
      </c>
      <c r="AQ3" s="151"/>
      <c r="AR3" s="151"/>
      <c r="AS3" s="43">
        <v>0</v>
      </c>
    </row>
    <row r="4" ht="23.25" hidden="1" customHeight="1" spans="1:45">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395</v>
      </c>
      <c r="U4" s="84"/>
      <c r="V4" s="1090"/>
      <c r="W4" s="1061"/>
      <c r="X4" s="1061"/>
      <c r="Y4" s="1061"/>
      <c r="Z4" s="1061"/>
      <c r="AA4" s="1061"/>
      <c r="AB4" s="1061"/>
      <c r="AC4" s="1089"/>
      <c r="AD4" s="1090" t="e">
        <f>INDEX(PT_DIFFERENTIATION_CS,MATCH(C4,PT_DIFFERENTIATION_CS_ID,0))</f>
        <v>#N/A</v>
      </c>
      <c r="AE4" s="1061"/>
      <c r="AF4" s="1061"/>
      <c r="AG4" s="1061"/>
      <c r="AH4" s="1061"/>
      <c r="AI4" s="1061"/>
      <c r="AJ4" s="1061"/>
      <c r="AK4" s="1061"/>
      <c r="AL4" s="1089"/>
      <c r="AM4" s="136" t="s">
        <v>396</v>
      </c>
      <c r="AO4" s="151"/>
      <c r="AP4" s="151" t="str">
        <f t="shared" si="0"/>
        <v>Наименование системы теплоснабжения </v>
      </c>
      <c r="AQ4" s="151"/>
      <c r="AR4" s="151"/>
      <c r="AS4" s="43">
        <v>0</v>
      </c>
    </row>
    <row r="5" ht="21" hidden="1" customHeight="1" spans="1:45">
      <c r="A5" s="46"/>
      <c r="B5" s="46"/>
      <c r="C5" s="46"/>
      <c r="D5" s="46"/>
      <c r="E5" s="1053"/>
      <c r="F5" s="1053"/>
      <c r="G5" s="1053"/>
      <c r="H5" s="1052">
        <v>1</v>
      </c>
      <c r="I5" s="46"/>
      <c r="J5" s="46"/>
      <c r="K5" s="46"/>
      <c r="L5" s="1054"/>
      <c r="M5" s="47"/>
      <c r="N5" s="47"/>
      <c r="O5" s="47"/>
      <c r="P5" s="90"/>
      <c r="Q5" s="87"/>
      <c r="R5" s="88"/>
      <c r="S5" s="65" t="e">
        <f>INDEX(PT_DIFFERENTIATION_NUM_IST_TE,MATCH(D5,PT_DIFFERENTIATION_IST_TE_ID,0))</f>
        <v>#N/A</v>
      </c>
      <c r="T5" s="92" t="s">
        <v>397</v>
      </c>
      <c r="U5" s="84"/>
      <c r="V5" s="1090"/>
      <c r="W5" s="1061"/>
      <c r="X5" s="1061"/>
      <c r="Y5" s="1061"/>
      <c r="Z5" s="1061"/>
      <c r="AA5" s="1061"/>
      <c r="AB5" s="1061"/>
      <c r="AC5" s="1089"/>
      <c r="AD5" s="1090" t="e">
        <f>INDEX(PT_DIFFERENTIATION_IST_TE,MATCH(D5,PT_DIFFERENTIATION_IST_TE_ID,0))</f>
        <v>#N/A</v>
      </c>
      <c r="AE5" s="1061"/>
      <c r="AF5" s="1061"/>
      <c r="AG5" s="1061"/>
      <c r="AH5" s="1061"/>
      <c r="AI5" s="1061"/>
      <c r="AJ5" s="1061"/>
      <c r="AK5" s="1061"/>
      <c r="AL5" s="1089"/>
      <c r="AM5" s="136" t="s">
        <v>398</v>
      </c>
      <c r="AO5" s="151"/>
      <c r="AP5" s="151" t="str">
        <f t="shared" si="0"/>
        <v>Источник тепловой энергии  </v>
      </c>
      <c r="AQ5" s="151"/>
      <c r="AR5" s="151"/>
      <c r="AS5" s="43">
        <v>0</v>
      </c>
    </row>
    <row r="6" hidden="1" customHeight="1" spans="1:45">
      <c r="A6" s="46"/>
      <c r="B6" s="46"/>
      <c r="C6" s="46"/>
      <c r="D6" s="46"/>
      <c r="E6" s="1053"/>
      <c r="F6" s="1053"/>
      <c r="G6" s="1053"/>
      <c r="H6" s="1053"/>
      <c r="I6" s="229" t="e">
        <f>S5&amp;".1"</f>
        <v>#N/A</v>
      </c>
      <c r="J6" s="46"/>
      <c r="K6" s="46"/>
      <c r="L6" s="1054" t="s">
        <v>399</v>
      </c>
      <c r="M6" s="38"/>
      <c r="P6" s="93">
        <v>1</v>
      </c>
      <c r="Q6" s="93"/>
      <c r="R6" s="94"/>
      <c r="S6" s="330"/>
      <c r="T6" s="1067"/>
      <c r="U6" s="1065"/>
      <c r="V6" s="1092"/>
      <c r="W6" s="1066"/>
      <c r="X6" s="1066"/>
      <c r="Y6" s="1066"/>
      <c r="Z6" s="1066"/>
      <c r="AA6" s="1066"/>
      <c r="AB6" s="1066"/>
      <c r="AC6" s="1091"/>
      <c r="AD6" s="1092"/>
      <c r="AE6" s="1066"/>
      <c r="AF6" s="1066"/>
      <c r="AG6" s="1066"/>
      <c r="AH6" s="1066"/>
      <c r="AI6" s="1066"/>
      <c r="AJ6" s="1066"/>
      <c r="AK6" s="1066"/>
      <c r="AL6" s="1091"/>
      <c r="AM6" s="995"/>
      <c r="AO6" s="151"/>
      <c r="AP6" s="151" t="str">
        <f t="shared" si="0"/>
        <v/>
      </c>
      <c r="AQ6" s="151"/>
      <c r="AR6" s="151"/>
      <c r="AS6" s="43">
        <v>0</v>
      </c>
    </row>
    <row r="7" ht="21" hidden="1" customHeight="1" spans="1:45">
      <c r="A7" s="46"/>
      <c r="B7" s="46"/>
      <c r="C7" s="46"/>
      <c r="D7" s="46"/>
      <c r="E7" s="1053"/>
      <c r="F7" s="1053"/>
      <c r="G7" s="1053"/>
      <c r="H7" s="1053"/>
      <c r="I7" s="1058"/>
      <c r="J7" s="229" t="e">
        <f>I6&amp;".1"</f>
        <v>#N/A</v>
      </c>
      <c r="K7" s="46"/>
      <c r="L7" s="1054" t="s">
        <v>402</v>
      </c>
      <c r="M7" s="38"/>
      <c r="N7" s="38"/>
      <c r="P7" s="93"/>
      <c r="Q7" s="93">
        <v>1</v>
      </c>
      <c r="R7" s="97"/>
      <c r="S7" s="65" t="e">
        <f>$J7</f>
        <v>#N/A</v>
      </c>
      <c r="T7" s="98" t="s">
        <v>403</v>
      </c>
      <c r="U7" s="84"/>
      <c r="V7" s="99"/>
      <c r="W7" s="100"/>
      <c r="X7" s="100"/>
      <c r="Y7" s="100"/>
      <c r="Z7" s="100"/>
      <c r="AA7" s="100"/>
      <c r="AB7" s="100"/>
      <c r="AC7" s="137"/>
      <c r="AD7" s="99"/>
      <c r="AE7" s="100"/>
      <c r="AF7" s="100"/>
      <c r="AG7" s="100"/>
      <c r="AH7" s="100"/>
      <c r="AI7" s="100"/>
      <c r="AJ7" s="100"/>
      <c r="AK7" s="100"/>
      <c r="AL7" s="137"/>
      <c r="AM7" s="136" t="s">
        <v>404</v>
      </c>
      <c r="AO7" s="151"/>
      <c r="AP7" s="151" t="str">
        <f t="shared" si="0"/>
        <v>Группа потребителей</v>
      </c>
      <c r="AQ7" s="151"/>
      <c r="AR7" s="151"/>
      <c r="AS7" s="43">
        <v>0</v>
      </c>
    </row>
    <row r="8" ht="21" hidden="1" customHeight="1" spans="1:45">
      <c r="A8" s="46"/>
      <c r="B8" s="46"/>
      <c r="C8" s="46"/>
      <c r="D8" s="46"/>
      <c r="E8" s="1053"/>
      <c r="F8" s="1053"/>
      <c r="G8" s="1053"/>
      <c r="H8" s="1053"/>
      <c r="I8" s="1058"/>
      <c r="J8" s="1058"/>
      <c r="K8" s="229" t="e">
        <f>J7&amp;".1"</f>
        <v>#N/A</v>
      </c>
      <c r="L8" s="1054" t="s">
        <v>405</v>
      </c>
      <c r="M8" s="38"/>
      <c r="N8" s="38"/>
      <c r="O8" s="38"/>
      <c r="P8" s="93"/>
      <c r="Q8" s="93"/>
      <c r="R8" s="97">
        <v>1</v>
      </c>
      <c r="S8" s="65" t="e">
        <f>$K8</f>
        <v>#N/A</v>
      </c>
      <c r="T8" s="101"/>
      <c r="U8" s="84"/>
      <c r="V8" s="102"/>
      <c r="W8" s="103"/>
      <c r="X8" s="102"/>
      <c r="Y8" s="138"/>
      <c r="Z8" s="139"/>
      <c r="AA8" s="140" t="s">
        <v>66</v>
      </c>
      <c r="AB8" s="139"/>
      <c r="AC8" s="140" t="s">
        <v>66</v>
      </c>
      <c r="AD8" s="102"/>
      <c r="AE8" s="103"/>
      <c r="AF8" s="102"/>
      <c r="AG8" s="138"/>
      <c r="AH8" s="139"/>
      <c r="AI8" s="140" t="s">
        <v>66</v>
      </c>
      <c r="AJ8" s="139"/>
      <c r="AK8" s="140" t="s">
        <v>66</v>
      </c>
      <c r="AL8" s="103"/>
      <c r="AM8" s="141" t="s">
        <v>406</v>
      </c>
      <c r="AN8" s="44" t="e">
        <f>STRCHECKDATE(V9:AL9)</f>
        <v>#NAME?</v>
      </c>
      <c r="AO8" s="151"/>
      <c r="AP8" s="151" t="str">
        <f t="shared" si="0"/>
        <v/>
      </c>
      <c r="AQ8" s="151"/>
      <c r="AR8" s="151"/>
      <c r="AS8" s="43">
        <v>0</v>
      </c>
    </row>
    <row r="9" hidden="1" customHeight="1" spans="1:45">
      <c r="A9" s="46"/>
      <c r="B9" s="46"/>
      <c r="C9" s="46"/>
      <c r="D9" s="46"/>
      <c r="E9" s="1053"/>
      <c r="F9" s="1053"/>
      <c r="G9" s="1053"/>
      <c r="H9" s="1053"/>
      <c r="I9" s="1058"/>
      <c r="J9" s="1058"/>
      <c r="K9" s="229"/>
      <c r="L9" s="1054"/>
      <c r="M9" s="38"/>
      <c r="N9" s="38"/>
      <c r="O9" s="38"/>
      <c r="P9" s="93"/>
      <c r="Q9" s="93"/>
      <c r="R9" s="97"/>
      <c r="S9" s="104"/>
      <c r="T9" s="84"/>
      <c r="U9" s="84"/>
      <c r="V9" s="103"/>
      <c r="W9" s="103"/>
      <c r="X9" s="103"/>
      <c r="Y9" s="142" t="str">
        <f>Z8&amp;"-"&amp;AB8</f>
        <v>-</v>
      </c>
      <c r="Z9" s="143"/>
      <c r="AA9" s="140"/>
      <c r="AB9" s="143"/>
      <c r="AC9" s="140"/>
      <c r="AD9" s="103"/>
      <c r="AE9" s="103"/>
      <c r="AF9" s="103"/>
      <c r="AG9" s="142" t="str">
        <f>AH8&amp;"-"&amp;AJ8</f>
        <v>-</v>
      </c>
      <c r="AH9" s="143"/>
      <c r="AI9" s="140"/>
      <c r="AJ9" s="143"/>
      <c r="AK9" s="140"/>
      <c r="AL9" s="103"/>
      <c r="AM9" s="144"/>
      <c r="AO9" s="151"/>
      <c r="AP9" s="151" t="str">
        <f t="shared" si="0"/>
        <v/>
      </c>
      <c r="AQ9" s="151"/>
      <c r="AR9" s="151"/>
      <c r="AS9" s="43">
        <v>0</v>
      </c>
    </row>
    <row r="10" ht="15" hidden="1" customHeight="1" spans="1:45">
      <c r="A10" s="46"/>
      <c r="B10" s="46"/>
      <c r="C10" s="46"/>
      <c r="D10" s="46"/>
      <c r="E10" s="1053"/>
      <c r="F10" s="1053"/>
      <c r="G10" s="1053"/>
      <c r="H10" s="1053"/>
      <c r="I10" s="1058"/>
      <c r="J10" s="229"/>
      <c r="K10" s="46"/>
      <c r="L10" s="1054"/>
      <c r="M10" s="38"/>
      <c r="N10" s="38"/>
      <c r="P10" s="93"/>
      <c r="Q10" s="93"/>
      <c r="R10" s="94"/>
      <c r="S10" s="105"/>
      <c r="T10" s="108" t="s">
        <v>407</v>
      </c>
      <c r="U10" s="107"/>
      <c r="V10" s="107"/>
      <c r="W10" s="107"/>
      <c r="X10" s="107"/>
      <c r="Y10" s="107"/>
      <c r="Z10" s="107"/>
      <c r="AA10" s="107"/>
      <c r="AB10" s="107"/>
      <c r="AC10" s="107"/>
      <c r="AD10" s="107"/>
      <c r="AE10" s="107"/>
      <c r="AF10" s="107"/>
      <c r="AG10" s="107"/>
      <c r="AH10" s="107"/>
      <c r="AI10" s="107"/>
      <c r="AJ10" s="107"/>
      <c r="AK10" s="107"/>
      <c r="AL10" s="145"/>
      <c r="AM10" s="146"/>
      <c r="AO10" s="151"/>
      <c r="AP10" s="151" t="str">
        <f t="shared" si="0"/>
        <v>Добавить вид теплоносителя (параметры теплоносителя)</v>
      </c>
      <c r="AQ10" s="151"/>
      <c r="AR10" s="151"/>
      <c r="AS10" s="43">
        <v>0</v>
      </c>
    </row>
    <row r="11" ht="11.25" hidden="1" customHeight="1" spans="1:45">
      <c r="A11" s="46"/>
      <c r="B11" s="46"/>
      <c r="C11" s="46"/>
      <c r="D11" s="46"/>
      <c r="E11" s="1053"/>
      <c r="F11" s="1053"/>
      <c r="G11" s="1053"/>
      <c r="H11" s="1053"/>
      <c r="I11" s="229"/>
      <c r="J11" s="46"/>
      <c r="K11" s="46"/>
      <c r="L11" s="1054"/>
      <c r="M11" s="38"/>
      <c r="P11" s="93"/>
      <c r="Q11" s="93"/>
      <c r="R11" s="94"/>
      <c r="S11" s="105"/>
      <c r="T11" s="110" t="s">
        <v>408</v>
      </c>
      <c r="U11" s="107"/>
      <c r="V11" s="107"/>
      <c r="W11" s="107"/>
      <c r="X11" s="107"/>
      <c r="Y11" s="107"/>
      <c r="Z11" s="107"/>
      <c r="AA11" s="107"/>
      <c r="AB11" s="107"/>
      <c r="AC11" s="147"/>
      <c r="AD11" s="107"/>
      <c r="AE11" s="107"/>
      <c r="AF11" s="107"/>
      <c r="AG11" s="107"/>
      <c r="AH11" s="107"/>
      <c r="AI11" s="107"/>
      <c r="AJ11" s="107"/>
      <c r="AK11" s="147"/>
      <c r="AL11" s="107"/>
      <c r="AM11" s="148"/>
      <c r="AO11" s="151"/>
      <c r="AP11" s="151" t="str">
        <f t="shared" si="0"/>
        <v>Добавить группу потребителей</v>
      </c>
      <c r="AQ11" s="151"/>
      <c r="AR11" s="151"/>
      <c r="AS11" s="43">
        <v>0</v>
      </c>
    </row>
    <row r="12" hidden="1" customHeight="1" spans="1:45">
      <c r="A12" s="46"/>
      <c r="B12" s="46"/>
      <c r="C12" s="46"/>
      <c r="D12" s="46"/>
      <c r="E12" s="1053"/>
      <c r="F12" s="1053"/>
      <c r="G12" s="1053"/>
      <c r="H12" s="1052"/>
      <c r="I12" s="46"/>
      <c r="J12" s="46"/>
      <c r="K12" s="46"/>
      <c r="L12" s="1054"/>
      <c r="M12" s="47"/>
      <c r="N12" s="47"/>
      <c r="O12" s="38"/>
      <c r="P12" s="81"/>
      <c r="Q12" s="109"/>
      <c r="R12" s="82"/>
      <c r="S12" s="1079"/>
      <c r="T12" s="1080"/>
      <c r="U12" s="1081"/>
      <c r="V12" s="1081"/>
      <c r="W12" s="1081"/>
      <c r="X12" s="1081"/>
      <c r="Y12" s="1081"/>
      <c r="Z12" s="1081"/>
      <c r="AA12" s="1081"/>
      <c r="AB12" s="1081"/>
      <c r="AC12" s="1081"/>
      <c r="AD12" s="1081"/>
      <c r="AE12" s="1081"/>
      <c r="AF12" s="1081"/>
      <c r="AG12" s="1081"/>
      <c r="AH12" s="1081"/>
      <c r="AI12" s="1081"/>
      <c r="AJ12" s="1081"/>
      <c r="AK12" s="1081"/>
      <c r="AL12" s="1081"/>
      <c r="AM12" s="1123"/>
      <c r="AO12" s="151"/>
      <c r="AP12" s="151" t="str">
        <f t="shared" si="0"/>
        <v/>
      </c>
      <c r="AQ12" s="151"/>
      <c r="AR12" s="151"/>
      <c r="AS12" s="43">
        <v>0</v>
      </c>
    </row>
    <row r="13" s="44" customFormat="1" hidden="1" customHeight="1" spans="1:45">
      <c r="A13" s="590"/>
      <c r="B13" s="590"/>
      <c r="C13" s="590"/>
      <c r="D13" s="590"/>
      <c r="E13" s="1053"/>
      <c r="F13" s="1053"/>
      <c r="G13" s="1052"/>
      <c r="H13" s="590"/>
      <c r="I13" s="590"/>
      <c r="J13" s="590"/>
      <c r="K13" s="590"/>
      <c r="L13" s="611"/>
      <c r="M13" s="283"/>
      <c r="N13" s="283"/>
      <c r="P13" s="152"/>
      <c r="Q13" s="1082"/>
      <c r="R13" s="152"/>
      <c r="S13" s="1166"/>
      <c r="T13" s="1167" t="s">
        <v>410</v>
      </c>
      <c r="U13" s="1168"/>
      <c r="V13" s="1168"/>
      <c r="W13" s="1168"/>
      <c r="X13" s="1168"/>
      <c r="Y13" s="1168"/>
      <c r="Z13" s="1168"/>
      <c r="AA13" s="1168"/>
      <c r="AB13" s="1168"/>
      <c r="AC13" s="1168"/>
      <c r="AD13" s="1168"/>
      <c r="AE13" s="1168"/>
      <c r="AF13" s="1168"/>
      <c r="AG13" s="1168"/>
      <c r="AH13" s="1168"/>
      <c r="AI13" s="1168"/>
      <c r="AJ13" s="1168"/>
      <c r="AK13" s="1168"/>
      <c r="AL13" s="1168"/>
      <c r="AM13" s="1168"/>
      <c r="AO13" s="151"/>
      <c r="AP13" s="151" t="str">
        <f t="shared" si="0"/>
        <v>Добавить источник для дифференциации</v>
      </c>
      <c r="AQ13" s="151"/>
      <c r="AR13" s="151"/>
      <c r="AS13" s="44">
        <v>0</v>
      </c>
    </row>
    <row r="14" s="44" customFormat="1" hidden="1" customHeight="1" spans="1:45">
      <c r="A14" s="590"/>
      <c r="B14" s="590"/>
      <c r="C14" s="590"/>
      <c r="D14" s="590"/>
      <c r="E14" s="1053"/>
      <c r="F14" s="1052"/>
      <c r="G14" s="590"/>
      <c r="H14" s="590"/>
      <c r="I14" s="590"/>
      <c r="J14" s="590"/>
      <c r="K14" s="590"/>
      <c r="L14" s="611"/>
      <c r="M14" s="1059"/>
      <c r="N14" s="1059"/>
      <c r="P14" s="152"/>
      <c r="Q14" s="1082"/>
      <c r="R14" s="152"/>
      <c r="S14" s="1084"/>
      <c r="T14" s="1169" t="s">
        <v>411</v>
      </c>
      <c r="U14" s="307"/>
      <c r="V14" s="307"/>
      <c r="W14" s="307"/>
      <c r="X14" s="307"/>
      <c r="Y14" s="307"/>
      <c r="Z14" s="307"/>
      <c r="AA14" s="307"/>
      <c r="AB14" s="307"/>
      <c r="AC14" s="307"/>
      <c r="AD14" s="307"/>
      <c r="AE14" s="307"/>
      <c r="AF14" s="307"/>
      <c r="AG14" s="307"/>
      <c r="AH14" s="307"/>
      <c r="AI14" s="307"/>
      <c r="AJ14" s="307"/>
      <c r="AK14" s="307"/>
      <c r="AL14" s="307"/>
      <c r="AM14" s="307"/>
      <c r="AO14" s="151"/>
      <c r="AP14" s="151" t="str">
        <f t="shared" si="0"/>
        <v>Добавить централизованную систему для дифференциации</v>
      </c>
      <c r="AQ14" s="151"/>
      <c r="AR14" s="151"/>
      <c r="AS14" s="44">
        <v>0</v>
      </c>
    </row>
    <row r="15" s="44" customFormat="1" hidden="1" customHeight="1" spans="1:45">
      <c r="A15" s="590"/>
      <c r="B15" s="590"/>
      <c r="C15" s="590"/>
      <c r="D15" s="590"/>
      <c r="E15" s="1052"/>
      <c r="F15" s="590"/>
      <c r="G15" s="590"/>
      <c r="H15" s="590"/>
      <c r="I15" s="590"/>
      <c r="J15" s="590"/>
      <c r="K15" s="590"/>
      <c r="L15" s="611"/>
      <c r="M15" s="1059"/>
      <c r="N15" s="1059"/>
      <c r="P15" s="152"/>
      <c r="Q15" s="1082"/>
      <c r="R15" s="152"/>
      <c r="S15" s="1084"/>
      <c r="T15" s="1085" t="s">
        <v>412</v>
      </c>
      <c r="U15" s="307"/>
      <c r="V15" s="307"/>
      <c r="W15" s="307"/>
      <c r="X15" s="307"/>
      <c r="Y15" s="307"/>
      <c r="Z15" s="307"/>
      <c r="AA15" s="307"/>
      <c r="AB15" s="307"/>
      <c r="AC15" s="307"/>
      <c r="AD15" s="307"/>
      <c r="AE15" s="307"/>
      <c r="AF15" s="307"/>
      <c r="AG15" s="307"/>
      <c r="AH15" s="307"/>
      <c r="AI15" s="307"/>
      <c r="AJ15" s="307"/>
      <c r="AK15" s="307"/>
      <c r="AL15" s="307"/>
      <c r="AM15" s="307"/>
      <c r="AO15" s="151"/>
      <c r="AP15" s="151" t="str">
        <f t="shared" si="0"/>
        <v>Добавить территорию для дифференциации</v>
      </c>
      <c r="AQ15" s="151"/>
      <c r="AR15" s="151"/>
      <c r="AS15" s="44">
        <v>0</v>
      </c>
    </row>
    <row r="16" hidden="1" customHeight="1" spans="45:45">
      <c r="AS16" s="43">
        <v>0</v>
      </c>
    </row>
    <row r="17" hidden="1" customHeight="1" spans="30:45">
      <c r="AD17" s="492"/>
      <c r="AE17" s="492"/>
      <c r="AF17" s="492"/>
      <c r="AG17" s="1132"/>
      <c r="AH17" s="1133"/>
      <c r="AI17" s="353" t="s">
        <v>66</v>
      </c>
      <c r="AJ17" s="1133"/>
      <c r="AK17" s="353" t="s">
        <v>66</v>
      </c>
      <c r="AS17" s="43">
        <v>0</v>
      </c>
    </row>
    <row r="18" hidden="1" customHeight="1" spans="30:45">
      <c r="AD18" s="492"/>
      <c r="AE18" s="492"/>
      <c r="AF18" s="492"/>
      <c r="AG18" s="142" t="str">
        <f>AH17&amp;"-"&amp;AJ17</f>
        <v>-</v>
      </c>
      <c r="AH18" s="353"/>
      <c r="AI18" s="353"/>
      <c r="AJ18" s="353"/>
      <c r="AK18" s="353"/>
      <c r="AS18" s="43">
        <v>0</v>
      </c>
    </row>
    <row r="19" hidden="1" customHeight="1" spans="45:45">
      <c r="AS19" s="43">
        <v>0</v>
      </c>
    </row>
    <row r="20" s="38" customFormat="1" ht="22.5" hidden="1" customHeight="1" spans="12:45">
      <c r="L20" s="48"/>
      <c r="M20" s="39"/>
      <c r="N20" s="39"/>
      <c r="O20" s="1060" t="s">
        <v>413</v>
      </c>
      <c r="P20" s="39"/>
      <c r="Q20" s="1051"/>
      <c r="R20" s="1051"/>
      <c r="S20" s="47"/>
      <c r="Z20" s="1060"/>
      <c r="AB20" s="1060"/>
      <c r="AH20" s="1060"/>
      <c r="AJ20" s="1060"/>
      <c r="AN20" s="44"/>
      <c r="AO20" s="44"/>
      <c r="AP20" s="44"/>
      <c r="AQ20" s="44"/>
      <c r="AR20" s="44"/>
      <c r="AS20" s="38">
        <v>0</v>
      </c>
    </row>
    <row r="21" s="38" customFormat="1" hidden="1" customHeight="1" spans="12:45">
      <c r="L21" s="48"/>
      <c r="M21" s="39"/>
      <c r="N21" s="39"/>
      <c r="O21" s="39"/>
      <c r="P21" s="39"/>
      <c r="Q21" s="1051"/>
      <c r="R21" s="1051"/>
      <c r="S21" s="47"/>
      <c r="AN21" s="44"/>
      <c r="AO21" s="44"/>
      <c r="AP21" s="44"/>
      <c r="AQ21" s="44"/>
      <c r="AR21" s="44"/>
      <c r="AS21" s="38">
        <v>0</v>
      </c>
    </row>
    <row r="22" s="38" customFormat="1" hidden="1" customHeight="1" spans="12:45">
      <c r="L22" s="48"/>
      <c r="M22" s="39"/>
      <c r="N22" s="39"/>
      <c r="O22" s="1054" t="s">
        <v>414</v>
      </c>
      <c r="P22" s="39"/>
      <c r="Q22" s="1051"/>
      <c r="R22" s="1051"/>
      <c r="S22" s="47"/>
      <c r="T22" s="38" t="s">
        <v>415</v>
      </c>
      <c r="AA22" s="45" t="s">
        <v>416</v>
      </c>
      <c r="AC22" s="45" t="s">
        <v>417</v>
      </c>
      <c r="AD22" s="38" t="s">
        <v>415</v>
      </c>
      <c r="AI22" s="45" t="s">
        <v>418</v>
      </c>
      <c r="AK22" s="45" t="s">
        <v>417</v>
      </c>
      <c r="AN22" s="44"/>
      <c r="AO22" s="44"/>
      <c r="AP22" s="44"/>
      <c r="AQ22" s="44"/>
      <c r="AR22" s="44"/>
      <c r="AS22" s="38">
        <v>0</v>
      </c>
    </row>
    <row r="23" hidden="1" customHeight="1" spans="15:45">
      <c r="O23" s="1054"/>
      <c r="AS23" s="43">
        <v>0</v>
      </c>
    </row>
    <row r="24" hidden="1" customHeight="1" spans="15:45">
      <c r="O24" s="1054"/>
      <c r="AS24" s="43">
        <v>0</v>
      </c>
    </row>
    <row r="25" ht="14.7" customHeight="1" spans="17:45">
      <c r="Q25" s="51"/>
      <c r="R25" s="51"/>
      <c r="S25" s="52"/>
      <c r="T25" s="53"/>
      <c r="U25" s="53"/>
      <c r="AS25" s="43">
        <v>14</v>
      </c>
    </row>
    <row r="26" ht="53.55" customHeight="1" spans="17:45">
      <c r="Q26" s="51"/>
      <c r="R26" s="51"/>
      <c r="S26" s="7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755"/>
      <c r="U26" s="755"/>
      <c r="V26" s="755"/>
      <c r="W26" s="755"/>
      <c r="X26" s="755"/>
      <c r="Y26" s="755"/>
      <c r="Z26" s="755"/>
      <c r="AA26" s="755"/>
      <c r="AB26" s="755"/>
      <c r="AC26" s="755"/>
      <c r="AD26" s="755"/>
      <c r="AE26" s="755"/>
      <c r="AF26" s="755"/>
      <c r="AG26" s="755"/>
      <c r="AH26" s="755"/>
      <c r="AI26" s="755"/>
      <c r="AJ26" s="755"/>
      <c r="AK26" s="121"/>
      <c r="AS26" s="43">
        <v>51</v>
      </c>
    </row>
    <row r="27" ht="14.7" customHeight="1" spans="17:45">
      <c r="Q27" s="51"/>
      <c r="R27" s="51"/>
      <c r="S27" s="660" t="str">
        <f>IF(org=0,"Не определено",org)</f>
        <v>АО "Теплокоммунэнерго"</v>
      </c>
      <c r="T27" s="660"/>
      <c r="U27" s="660"/>
      <c r="V27" s="660"/>
      <c r="W27" s="660"/>
      <c r="X27" s="660"/>
      <c r="Y27" s="660"/>
      <c r="Z27" s="660"/>
      <c r="AA27" s="660"/>
      <c r="AB27" s="660"/>
      <c r="AC27" s="660"/>
      <c r="AD27" s="660"/>
      <c r="AE27" s="660"/>
      <c r="AF27" s="660"/>
      <c r="AG27" s="660"/>
      <c r="AH27" s="660"/>
      <c r="AI27" s="660"/>
      <c r="AJ27" s="660"/>
      <c r="AK27" s="121"/>
      <c r="AS27" s="43">
        <v>14</v>
      </c>
    </row>
    <row r="28" hidden="1" customHeight="1" spans="17:45">
      <c r="Q28" s="51"/>
      <c r="R28" s="51"/>
      <c r="S28" s="52"/>
      <c r="T28" s="53"/>
      <c r="U28" s="53"/>
      <c r="V28" s="56"/>
      <c r="W28" s="56"/>
      <c r="X28" s="56"/>
      <c r="Y28" s="56"/>
      <c r="Z28" s="56"/>
      <c r="AA28" s="56"/>
      <c r="AB28" s="56"/>
      <c r="AC28" s="56"/>
      <c r="AD28" s="56"/>
      <c r="AE28" s="56"/>
      <c r="AF28" s="56"/>
      <c r="AG28" s="56"/>
      <c r="AH28" s="56"/>
      <c r="AI28" s="56"/>
      <c r="AJ28" s="56"/>
      <c r="AK28" s="56"/>
      <c r="AS28" s="43">
        <v>0</v>
      </c>
    </row>
    <row r="29" s="36" customFormat="1" ht="25.5" hidden="1" customHeight="1" spans="1:45">
      <c r="A29" s="45"/>
      <c r="B29" s="45"/>
      <c r="C29" s="45"/>
      <c r="D29" s="45"/>
      <c r="E29" s="45"/>
      <c r="F29" s="45"/>
      <c r="G29" s="45"/>
      <c r="H29" s="45"/>
      <c r="I29" s="45"/>
      <c r="J29" s="45"/>
      <c r="K29" s="45"/>
      <c r="L29" s="1054"/>
      <c r="M29" s="45"/>
      <c r="N29" s="45"/>
      <c r="O29" s="45"/>
      <c r="S29"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58"/>
      <c r="U29" s="1088"/>
      <c r="V29" s="60" t="str">
        <f>IF(TITLE_NAME_OR_PR_CHANGE="",IF(TITLE_NAME_OR_PR="","",TITLE_NAME_OR_PR),TITLE_NAME_OR_PR_CHANGE)</f>
        <v/>
      </c>
      <c r="W29" s="60"/>
      <c r="X29" s="60"/>
      <c r="Y29" s="60"/>
      <c r="Z29" s="60"/>
      <c r="AA29" s="60"/>
      <c r="AB29" s="60"/>
      <c r="AC29" s="43"/>
      <c r="AD29" s="60" t="str">
        <f>IF(TITLE_NAME_OR_PR_CHANGE="",IF(TITLE_NAME_OR_PR="","",TITLE_NAME_OR_PR),TITLE_NAME_OR_PR_CHANGE)</f>
        <v/>
      </c>
      <c r="AE29" s="60"/>
      <c r="AF29" s="60"/>
      <c r="AG29" s="60"/>
      <c r="AH29" s="60"/>
      <c r="AI29" s="60"/>
      <c r="AJ29" s="60"/>
      <c r="AK29" s="43"/>
      <c r="AL29" s="43"/>
      <c r="AM29" s="122"/>
      <c r="AN29" s="151"/>
      <c r="AO29" s="151"/>
      <c r="AP29" s="151"/>
      <c r="AQ29" s="151"/>
      <c r="AR29" s="151"/>
      <c r="AS29" s="36">
        <v>0</v>
      </c>
    </row>
    <row r="30" s="36" customFormat="1" ht="18.75" hidden="1" customHeight="1" spans="1:45">
      <c r="A30" s="45"/>
      <c r="B30" s="45"/>
      <c r="C30" s="45"/>
      <c r="D30" s="45"/>
      <c r="E30" s="45"/>
      <c r="F30" s="45"/>
      <c r="G30" s="45"/>
      <c r="H30" s="45"/>
      <c r="I30" s="45"/>
      <c r="J30" s="45"/>
      <c r="K30" s="45"/>
      <c r="L30" s="1054"/>
      <c r="M30" s="45"/>
      <c r="N30" s="45"/>
      <c r="O30" s="45"/>
      <c r="S30" s="58" t="str">
        <f>"Дата документа об "&amp;IF(TITLE_DATE_PR_CHANGE="","утверждении","изменении")&amp;" тарифов"</f>
        <v>Дата документа об утверждении тарифов</v>
      </c>
      <c r="T30" s="58"/>
      <c r="U30" s="1088"/>
      <c r="V30" s="793" t="str">
        <f>IF(TITLE_DATE_PR_CHANGE="",IF(TITLE_DATE_PR="","",TITLE_DATE_PR),TITLE_DATE_PR_CHANGE)</f>
        <v/>
      </c>
      <c r="W30" s="793"/>
      <c r="X30" s="793"/>
      <c r="Y30" s="793"/>
      <c r="Z30" s="793"/>
      <c r="AA30" s="793"/>
      <c r="AB30" s="793"/>
      <c r="AC30" s="43"/>
      <c r="AD30" s="793" t="str">
        <f>IF(TITLE_DATE_PR_CHANGE="",IF(TITLE_DATE_PR="","",TITLE_DATE_PR),TITLE_DATE_PR_CHANGE)</f>
        <v/>
      </c>
      <c r="AE30" s="793"/>
      <c r="AF30" s="793"/>
      <c r="AG30" s="793"/>
      <c r="AH30" s="793"/>
      <c r="AI30" s="793"/>
      <c r="AJ30" s="793"/>
      <c r="AK30" s="43"/>
      <c r="AL30" s="43"/>
      <c r="AM30" s="122"/>
      <c r="AN30" s="151"/>
      <c r="AO30" s="151"/>
      <c r="AP30" s="151"/>
      <c r="AQ30" s="151"/>
      <c r="AR30" s="151"/>
      <c r="AS30" s="36">
        <v>0</v>
      </c>
    </row>
    <row r="31" s="36" customFormat="1" ht="18.75" hidden="1" customHeight="1" spans="1:45">
      <c r="A31" s="45"/>
      <c r="B31" s="45"/>
      <c r="C31" s="45"/>
      <c r="D31" s="45"/>
      <c r="E31" s="45"/>
      <c r="F31" s="45"/>
      <c r="G31" s="45"/>
      <c r="H31" s="45"/>
      <c r="I31" s="45"/>
      <c r="J31" s="45"/>
      <c r="K31" s="45"/>
      <c r="L31" s="1054"/>
      <c r="M31" s="45"/>
      <c r="N31" s="45"/>
      <c r="O31" s="45"/>
      <c r="S31" s="58" t="str">
        <f>"Номер документа об "&amp;IF(TITLE_DATE_PR_CHANGE="","утверждении","изменении")&amp;" тарифов"</f>
        <v>Номер документа об утверждении тарифов</v>
      </c>
      <c r="T31" s="58"/>
      <c r="U31" s="1088"/>
      <c r="V31" s="60" t="str">
        <f>IF(TITLE_NUMBER_PR_CHANGE="",IF(TITLE_NUMBER_PR="","",TITLE_NUMBER_PR),TITLE_NUMBER_PR_CHANGE)</f>
        <v/>
      </c>
      <c r="W31" s="60"/>
      <c r="X31" s="60"/>
      <c r="Y31" s="60"/>
      <c r="Z31" s="60"/>
      <c r="AA31" s="60"/>
      <c r="AB31" s="60"/>
      <c r="AC31" s="43"/>
      <c r="AD31" s="60" t="str">
        <f>IF(TITLE_NUMBER_PR_CHANGE="",IF(TITLE_NUMBER_PR="","",TITLE_NUMBER_PR),TITLE_NUMBER_PR_CHANGE)</f>
        <v/>
      </c>
      <c r="AE31" s="60"/>
      <c r="AF31" s="60"/>
      <c r="AG31" s="60"/>
      <c r="AH31" s="60"/>
      <c r="AI31" s="60"/>
      <c r="AJ31" s="60"/>
      <c r="AK31" s="43"/>
      <c r="AL31" s="43"/>
      <c r="AM31" s="122"/>
      <c r="AN31" s="151"/>
      <c r="AO31" s="151"/>
      <c r="AP31" s="151"/>
      <c r="AQ31" s="151"/>
      <c r="AR31" s="151"/>
      <c r="AS31" s="36">
        <v>0</v>
      </c>
    </row>
    <row r="32" s="36" customFormat="1" ht="18.75" hidden="1" customHeight="1" spans="1:45">
      <c r="A32" s="45"/>
      <c r="B32" s="45"/>
      <c r="C32" s="45"/>
      <c r="D32" s="45"/>
      <c r="E32" s="45"/>
      <c r="F32" s="45"/>
      <c r="G32" s="45"/>
      <c r="H32" s="45"/>
      <c r="I32" s="45"/>
      <c r="J32" s="45"/>
      <c r="K32" s="45"/>
      <c r="L32" s="1054"/>
      <c r="M32" s="45"/>
      <c r="N32" s="45"/>
      <c r="O32" s="45"/>
      <c r="S32" s="58" t="s">
        <v>43</v>
      </c>
      <c r="T32" s="58"/>
      <c r="U32" s="1088"/>
      <c r="V32" s="60" t="str">
        <f>IF(TITLE_IST_PUB_CHANGE="",IF(TITLE_IST_PUB="","",TITLE_IST_PUB),TITLE_IST_PUB_CHANGE)</f>
        <v/>
      </c>
      <c r="W32" s="60"/>
      <c r="X32" s="60"/>
      <c r="Y32" s="60"/>
      <c r="Z32" s="60"/>
      <c r="AA32" s="60"/>
      <c r="AB32" s="60"/>
      <c r="AC32" s="43"/>
      <c r="AD32" s="60" t="str">
        <f>IF(TITLE_IST_PUB_CHANGE="",IF(TITLE_IST_PUB="","",TITLE_IST_PUB),TITLE_IST_PUB_CHANGE)</f>
        <v/>
      </c>
      <c r="AE32" s="60"/>
      <c r="AF32" s="60"/>
      <c r="AG32" s="60"/>
      <c r="AH32" s="60"/>
      <c r="AI32" s="60"/>
      <c r="AJ32" s="60"/>
      <c r="AK32" s="43"/>
      <c r="AL32" s="43"/>
      <c r="AM32" s="122"/>
      <c r="AN32" s="151"/>
      <c r="AO32" s="151"/>
      <c r="AP32" s="151"/>
      <c r="AQ32" s="151"/>
      <c r="AR32" s="151"/>
      <c r="AS32" s="36">
        <v>0</v>
      </c>
    </row>
    <row r="33" hidden="1" customHeight="1" spans="17:45">
      <c r="Q33" s="51"/>
      <c r="R33" s="51"/>
      <c r="S33" s="52"/>
      <c r="T33" s="53"/>
      <c r="U33" s="53"/>
      <c r="V33" s="56"/>
      <c r="W33" s="56"/>
      <c r="X33" s="56"/>
      <c r="Y33" s="56"/>
      <c r="Z33" s="56"/>
      <c r="AA33" s="56"/>
      <c r="AB33" s="56"/>
      <c r="AC33" s="56"/>
      <c r="AD33" s="56"/>
      <c r="AE33" s="56"/>
      <c r="AF33" s="56"/>
      <c r="AG33" s="56"/>
      <c r="AH33" s="56"/>
      <c r="AI33" s="56"/>
      <c r="AJ33" s="56"/>
      <c r="AK33" s="56"/>
      <c r="AS33" s="43">
        <v>0</v>
      </c>
    </row>
    <row r="34" s="36" customFormat="1" ht="18.75" hidden="1" customHeight="1" spans="1:45">
      <c r="A34" s="45"/>
      <c r="B34" s="45"/>
      <c r="C34" s="45"/>
      <c r="D34" s="45"/>
      <c r="E34" s="45"/>
      <c r="F34" s="45"/>
      <c r="G34" s="45"/>
      <c r="H34" s="45"/>
      <c r="I34" s="45"/>
      <c r="J34" s="45"/>
      <c r="K34" s="45"/>
      <c r="L34" s="1054"/>
      <c r="M34" s="45"/>
      <c r="N34" s="45"/>
      <c r="O34" s="45"/>
      <c r="S34" s="58" t="str">
        <f>"Дата подачи заявления об "&amp;IF(TITLE_DATE_PR_CHANGE="","утверждении","изменении")&amp;" тарифов"</f>
        <v>Дата подачи заявления об утверждении тарифов</v>
      </c>
      <c r="T34" s="58"/>
      <c r="U34" s="1088"/>
      <c r="V34" s="793" t="str">
        <f>IF(TITLE_DATE_PR_CHANGE="",IF(TITLE_DATE_PR="","",TITLE_DATE_PR),TITLE_DATE_PR_CHANGE)</f>
        <v/>
      </c>
      <c r="W34" s="793"/>
      <c r="X34" s="793"/>
      <c r="Y34" s="793"/>
      <c r="Z34" s="793"/>
      <c r="AA34" s="793"/>
      <c r="AB34" s="793"/>
      <c r="AC34" s="43"/>
      <c r="AD34" s="793" t="str">
        <f>IF(TITLE_DATE_PR_CHANGE="",IF(TITLE_DATE_PR="","",TITLE_DATE_PR),TITLE_DATE_PR_CHANGE)</f>
        <v/>
      </c>
      <c r="AE34" s="793"/>
      <c r="AF34" s="793"/>
      <c r="AG34" s="793"/>
      <c r="AH34" s="793"/>
      <c r="AI34" s="793"/>
      <c r="AJ34" s="793"/>
      <c r="AK34" s="43"/>
      <c r="AL34" s="43"/>
      <c r="AM34" s="122"/>
      <c r="AN34" s="151"/>
      <c r="AO34" s="151"/>
      <c r="AP34" s="151"/>
      <c r="AQ34" s="151"/>
      <c r="AR34" s="151"/>
      <c r="AS34" s="36">
        <v>0</v>
      </c>
    </row>
    <row r="35" s="36" customFormat="1" ht="25.5" hidden="1" customHeight="1" spans="1:45">
      <c r="A35" s="45"/>
      <c r="B35" s="45"/>
      <c r="C35" s="45"/>
      <c r="D35" s="45"/>
      <c r="E35" s="45"/>
      <c r="F35" s="45"/>
      <c r="G35" s="45"/>
      <c r="H35" s="45"/>
      <c r="I35" s="45"/>
      <c r="J35" s="45"/>
      <c r="K35" s="45"/>
      <c r="L35" s="1054"/>
      <c r="M35" s="45"/>
      <c r="N35" s="45"/>
      <c r="O35" s="45"/>
      <c r="S35" s="58" t="str">
        <f>"Номер подачи заявления об "&amp;IF(TITLE_DATE_PR_CHANGE="","утверждении","изменении")&amp;" тарифов"</f>
        <v>Номер подачи заявления об утверждении тарифов</v>
      </c>
      <c r="T35" s="58"/>
      <c r="U35" s="1088"/>
      <c r="V35" s="60" t="str">
        <f>IF(TITLE_NUMBER_PR_CHANGE="",IF(TITLE_NUMBER_PR="","",TITLE_NUMBER_PR),TITLE_NUMBER_PR_CHANGE)</f>
        <v/>
      </c>
      <c r="W35" s="60"/>
      <c r="X35" s="60"/>
      <c r="Y35" s="60"/>
      <c r="Z35" s="60"/>
      <c r="AA35" s="60"/>
      <c r="AB35" s="60"/>
      <c r="AC35" s="43"/>
      <c r="AD35" s="60" t="str">
        <f>IF(TITLE_NUMBER_PR_CHANGE="",IF(TITLE_NUMBER_PR="","",TITLE_NUMBER_PR),TITLE_NUMBER_PR_CHANGE)</f>
        <v/>
      </c>
      <c r="AE35" s="60"/>
      <c r="AF35" s="60"/>
      <c r="AG35" s="60"/>
      <c r="AH35" s="60"/>
      <c r="AI35" s="60"/>
      <c r="AJ35" s="60"/>
      <c r="AK35" s="43"/>
      <c r="AL35" s="43"/>
      <c r="AM35" s="122"/>
      <c r="AN35" s="151"/>
      <c r="AO35" s="151"/>
      <c r="AP35" s="151"/>
      <c r="AQ35" s="151"/>
      <c r="AR35" s="151"/>
      <c r="AS35" s="36">
        <v>0</v>
      </c>
    </row>
    <row r="36" s="36" customFormat="1" hidden="1" customHeight="1" spans="1:45">
      <c r="A36" s="45"/>
      <c r="B36" s="45"/>
      <c r="C36" s="45"/>
      <c r="D36" s="45"/>
      <c r="E36" s="45"/>
      <c r="F36" s="45"/>
      <c r="G36" s="45"/>
      <c r="H36" s="45"/>
      <c r="I36" s="45"/>
      <c r="J36" s="45"/>
      <c r="K36" s="45"/>
      <c r="L36" s="1054"/>
      <c r="M36" s="45"/>
      <c r="N36" s="45"/>
      <c r="O36" s="45"/>
      <c r="S36" s="43"/>
      <c r="T36" s="43"/>
      <c r="U36" s="61"/>
      <c r="V36" s="43"/>
      <c r="W36" s="43"/>
      <c r="X36" s="43"/>
      <c r="Y36" s="43"/>
      <c r="Z36" s="43"/>
      <c r="AA36" s="43"/>
      <c r="AB36" s="43"/>
      <c r="AC36" s="44" t="s">
        <v>419</v>
      </c>
      <c r="AD36" s="43"/>
      <c r="AE36" s="43"/>
      <c r="AF36" s="43"/>
      <c r="AG36" s="43"/>
      <c r="AH36" s="43"/>
      <c r="AI36" s="43"/>
      <c r="AJ36" s="43"/>
      <c r="AK36" s="44" t="s">
        <v>419</v>
      </c>
      <c r="AN36" s="151"/>
      <c r="AO36" s="151"/>
      <c r="AP36" s="151"/>
      <c r="AQ36" s="151"/>
      <c r="AR36" s="151"/>
      <c r="AS36" s="36">
        <v>0</v>
      </c>
    </row>
    <row r="37" ht="14.7" customHeight="1" spans="17:45">
      <c r="Q37" s="51"/>
      <c r="R37" s="51"/>
      <c r="S37" s="52"/>
      <c r="T37" s="53"/>
      <c r="U37" s="62"/>
      <c r="V37" s="63"/>
      <c r="W37" s="63"/>
      <c r="X37" s="63"/>
      <c r="Y37" s="63"/>
      <c r="Z37" s="63"/>
      <c r="AA37" s="63"/>
      <c r="AB37" s="63"/>
      <c r="AC37" s="63"/>
      <c r="AD37" s="63"/>
      <c r="AE37" s="63"/>
      <c r="AF37" s="63"/>
      <c r="AG37" s="63"/>
      <c r="AH37" s="63"/>
      <c r="AI37" s="63"/>
      <c r="AJ37" s="63"/>
      <c r="AK37" s="63"/>
      <c r="AS37" s="43">
        <v>14</v>
      </c>
    </row>
    <row r="38" ht="14.7" customHeight="1" spans="17:45">
      <c r="Q38" s="51"/>
      <c r="R38" s="51"/>
      <c r="S38" s="64" t="s">
        <v>296</v>
      </c>
      <c r="T38" s="64"/>
      <c r="U38" s="64"/>
      <c r="V38" s="64"/>
      <c r="W38" s="64"/>
      <c r="X38" s="64"/>
      <c r="Y38" s="64"/>
      <c r="Z38" s="64"/>
      <c r="AA38" s="64"/>
      <c r="AB38" s="64"/>
      <c r="AC38" s="64"/>
      <c r="AD38" s="64"/>
      <c r="AE38" s="64"/>
      <c r="AF38" s="64"/>
      <c r="AG38" s="64"/>
      <c r="AH38" s="64"/>
      <c r="AI38" s="64"/>
      <c r="AJ38" s="64"/>
      <c r="AK38" s="64"/>
      <c r="AL38" s="64"/>
      <c r="AM38" s="64" t="s">
        <v>297</v>
      </c>
      <c r="AS38" s="43">
        <v>14</v>
      </c>
    </row>
    <row r="39" ht="14.7" customHeight="1" spans="17:45">
      <c r="Q39" s="51"/>
      <c r="R39" s="51"/>
      <c r="S39" s="65" t="s">
        <v>89</v>
      </c>
      <c r="T39" s="66" t="s">
        <v>420</v>
      </c>
      <c r="U39" s="67"/>
      <c r="V39" s="68" t="s">
        <v>421</v>
      </c>
      <c r="W39" s="69"/>
      <c r="X39" s="69"/>
      <c r="Y39" s="69"/>
      <c r="Z39" s="69"/>
      <c r="AA39" s="69"/>
      <c r="AB39" s="123"/>
      <c r="AC39" s="124" t="s">
        <v>422</v>
      </c>
      <c r="AD39" s="68" t="s">
        <v>421</v>
      </c>
      <c r="AE39" s="69"/>
      <c r="AF39" s="69"/>
      <c r="AG39" s="69"/>
      <c r="AH39" s="69"/>
      <c r="AI39" s="69"/>
      <c r="AJ39" s="123"/>
      <c r="AK39" s="124" t="s">
        <v>423</v>
      </c>
      <c r="AL39" s="125" t="s">
        <v>424</v>
      </c>
      <c r="AM39" s="64"/>
      <c r="AS39" s="43">
        <v>14</v>
      </c>
    </row>
    <row r="40" ht="35.7" customHeight="1" spans="17:45">
      <c r="Q40" s="51"/>
      <c r="R40" s="51"/>
      <c r="S40" s="65"/>
      <c r="T40" s="66"/>
      <c r="U40" s="70"/>
      <c r="V40" s="71" t="s">
        <v>425</v>
      </c>
      <c r="W40" s="1181"/>
      <c r="X40" s="126" t="s">
        <v>427</v>
      </c>
      <c r="Y40" s="127"/>
      <c r="Z40" s="126" t="s">
        <v>428</v>
      </c>
      <c r="AA40" s="128"/>
      <c r="AB40" s="127"/>
      <c r="AC40" s="129"/>
      <c r="AD40" s="71" t="s">
        <v>442</v>
      </c>
      <c r="AE40" s="1181"/>
      <c r="AF40" s="126" t="s">
        <v>427</v>
      </c>
      <c r="AG40" s="127"/>
      <c r="AH40" s="126" t="s">
        <v>428</v>
      </c>
      <c r="AI40" s="128"/>
      <c r="AJ40" s="127"/>
      <c r="AK40" s="129"/>
      <c r="AL40" s="130"/>
      <c r="AM40" s="64"/>
      <c r="AS40" s="43">
        <v>34</v>
      </c>
    </row>
    <row r="41" ht="35.7" customHeight="1" spans="1:45">
      <c r="A41" s="45"/>
      <c r="B41" s="45" t="s">
        <v>133</v>
      </c>
      <c r="C41" s="45" t="s">
        <v>134</v>
      </c>
      <c r="D41" s="45" t="s">
        <v>135</v>
      </c>
      <c r="E41" s="1054" t="s">
        <v>429</v>
      </c>
      <c r="F41" s="1054" t="s">
        <v>430</v>
      </c>
      <c r="G41" s="1054" t="s">
        <v>431</v>
      </c>
      <c r="H41" s="1054" t="s">
        <v>432</v>
      </c>
      <c r="I41" s="1054" t="s">
        <v>433</v>
      </c>
      <c r="J41" s="1054" t="s">
        <v>434</v>
      </c>
      <c r="K41" s="1054" t="s">
        <v>435</v>
      </c>
      <c r="L41" s="1054" t="s">
        <v>414</v>
      </c>
      <c r="Q41" s="51"/>
      <c r="R41" s="51"/>
      <c r="S41" s="65"/>
      <c r="T41" s="66"/>
      <c r="U41" s="72"/>
      <c r="V41" s="73"/>
      <c r="W41" s="222"/>
      <c r="X41" s="131" t="s">
        <v>436</v>
      </c>
      <c r="Y41" s="131" t="s">
        <v>437</v>
      </c>
      <c r="Z41" s="131" t="s">
        <v>438</v>
      </c>
      <c r="AA41" s="132" t="s">
        <v>439</v>
      </c>
      <c r="AB41" s="133"/>
      <c r="AC41" s="134"/>
      <c r="AD41" s="73"/>
      <c r="AE41" s="222"/>
      <c r="AF41" s="131" t="s">
        <v>436</v>
      </c>
      <c r="AG41" s="131" t="s">
        <v>437</v>
      </c>
      <c r="AH41" s="131" t="s">
        <v>438</v>
      </c>
      <c r="AI41" s="132" t="s">
        <v>439</v>
      </c>
      <c r="AJ41" s="133"/>
      <c r="AK41" s="134"/>
      <c r="AL41" s="135"/>
      <c r="AM41" s="64"/>
      <c r="AS41" s="43">
        <v>34</v>
      </c>
    </row>
    <row r="42" s="37" customFormat="1" ht="11.25" hidden="1" customHeight="1" spans="1:45">
      <c r="A42" s="45"/>
      <c r="B42" s="45"/>
      <c r="C42" s="45"/>
      <c r="D42" s="45"/>
      <c r="E42" s="45"/>
      <c r="F42" s="45"/>
      <c r="G42" s="45"/>
      <c r="H42" s="45"/>
      <c r="I42" s="45"/>
      <c r="J42" s="45"/>
      <c r="K42" s="45"/>
      <c r="L42" s="1054"/>
      <c r="M42" s="39"/>
      <c r="N42" s="39"/>
      <c r="O42" s="39"/>
      <c r="P42" s="74"/>
      <c r="Q42" s="75"/>
      <c r="R42" s="76">
        <v>1</v>
      </c>
      <c r="S42" s="77" t="s">
        <v>107</v>
      </c>
      <c r="T42" s="78" t="s">
        <v>108</v>
      </c>
      <c r="U42" s="79" t="str">
        <f ca="1">OFFSET(U42,0,-1)</f>
        <v>2</v>
      </c>
      <c r="V42" s="80">
        <f ca="1">OFFSET(V42,0,-1)+1</f>
        <v>3</v>
      </c>
      <c r="W42" s="80"/>
      <c r="X42" s="80">
        <f ca="1">OFFSET(X42,0,-1)+1</f>
        <v>1</v>
      </c>
      <c r="Y42" s="80">
        <f ca="1">OFFSET(Y42,0,-1)+1</f>
        <v>2</v>
      </c>
      <c r="Z42" s="80">
        <f ca="1">OFFSET(Z42,0,-1)+1</f>
        <v>3</v>
      </c>
      <c r="AA42" s="80">
        <f ca="1">OFFSET(AA42,0,-1)+1</f>
        <v>4</v>
      </c>
      <c r="AB42" s="80"/>
      <c r="AC42" s="80">
        <f ca="1">OFFSET(AC42,0,-2)+1</f>
        <v>5</v>
      </c>
      <c r="AD42" s="80">
        <f ca="1">OFFSET(AD42,0,-1)+1</f>
        <v>6</v>
      </c>
      <c r="AE42" s="80"/>
      <c r="AF42" s="80">
        <f ca="1">OFFSET(AF42,0,-1)+1</f>
        <v>1</v>
      </c>
      <c r="AG42" s="80">
        <f ca="1">OFFSET(AG42,0,-1)+1</f>
        <v>2</v>
      </c>
      <c r="AH42" s="80">
        <f ca="1">OFFSET(AH42,0,-1)+1</f>
        <v>3</v>
      </c>
      <c r="AI42" s="80">
        <f ca="1">OFFSET(AI42,0,-1)+1</f>
        <v>4</v>
      </c>
      <c r="AJ42" s="80"/>
      <c r="AK42" s="80">
        <f ca="1">OFFSET(AK42,0,-2)+1</f>
        <v>5</v>
      </c>
      <c r="AL42" s="79">
        <f ca="1">OFFSET(AL42,0,-1)</f>
        <v>5</v>
      </c>
      <c r="AM42" s="80">
        <f ca="1">OFFSET(AM42,0,-1)+1</f>
        <v>6</v>
      </c>
      <c r="AN42" s="44"/>
      <c r="AO42" s="44"/>
      <c r="AP42" s="44"/>
      <c r="AQ42" s="44"/>
      <c r="AR42" s="44"/>
      <c r="AS42" s="37">
        <v>0</v>
      </c>
    </row>
    <row r="43" ht="22.05" customHeight="1" spans="1:45">
      <c r="A43" s="46" t="s">
        <v>184</v>
      </c>
      <c r="B43" s="46"/>
      <c r="C43" s="46"/>
      <c r="D43" s="46"/>
      <c r="E43" s="1052">
        <v>1</v>
      </c>
      <c r="F43" s="46"/>
      <c r="G43" s="46"/>
      <c r="H43" s="46"/>
      <c r="I43" s="46"/>
      <c r="J43" s="46"/>
      <c r="K43" s="46"/>
      <c r="L43" s="1054"/>
      <c r="M43" s="47"/>
      <c r="N43" s="47"/>
      <c r="O43" s="47"/>
      <c r="Q43" s="81"/>
      <c r="R43" s="82"/>
      <c r="S43" s="65">
        <f>INDEX(PT_DIFFERENTIATION_NUM_NTAR,MATCH(A43,PT_DIFFERENTIATION_NTAR_ID,0))</f>
        <v>0</v>
      </c>
      <c r="T43" s="83" t="s">
        <v>121</v>
      </c>
      <c r="U43" s="84"/>
      <c r="V43" s="1090"/>
      <c r="W43" s="1061"/>
      <c r="X43" s="1061"/>
      <c r="Y43" s="1061"/>
      <c r="Z43" s="1061"/>
      <c r="AA43" s="1061"/>
      <c r="AB43" s="1061"/>
      <c r="AC43" s="1089"/>
      <c r="AD43" s="1090" t="str">
        <f>INDEX(PT_DIFFERENTIATION_NTAR,MATCH(A43,PT_DIFFERENTIATION_NTAR_ID,0))</f>
        <v/>
      </c>
      <c r="AE43" s="1061"/>
      <c r="AF43" s="1061"/>
      <c r="AG43" s="1061"/>
      <c r="AH43" s="1061"/>
      <c r="AI43" s="1061"/>
      <c r="AJ43" s="1061"/>
      <c r="AK43" s="1061"/>
      <c r="AL43" s="1089"/>
      <c r="AM43" s="13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
      <c r="AP43" s="151" t="str">
        <f t="shared" ref="AP43:AP57" si="1">IF(T43="","",T43)</f>
        <v>Наименование тарифа</v>
      </c>
      <c r="AQ43" s="151"/>
      <c r="AR43" s="151"/>
      <c r="AS43" s="43">
        <v>21</v>
      </c>
    </row>
    <row r="44" ht="22.05" customHeight="1" spans="1:45">
      <c r="A44" s="46" t="s">
        <v>184</v>
      </c>
      <c r="B44" s="46" t="s">
        <v>185</v>
      </c>
      <c r="C44" s="46"/>
      <c r="D44" s="46"/>
      <c r="E44" s="1053"/>
      <c r="F44" s="1052">
        <v>1</v>
      </c>
      <c r="G44" s="46"/>
      <c r="H44" s="46"/>
      <c r="I44" s="46"/>
      <c r="J44" s="46"/>
      <c r="K44" s="46"/>
      <c r="L44" s="1054"/>
      <c r="M44" s="47"/>
      <c r="N44" s="47"/>
      <c r="O44" s="47"/>
      <c r="P44" s="86"/>
      <c r="Q44" s="87"/>
      <c r="R44" s="88"/>
      <c r="S44" s="65" t="str">
        <f>INDEX(PT_DIFFERENTIATION_NUM_TER,MATCH(B44,PT_DIFFERENTIATION_TER_ID,0))</f>
        <v>.</v>
      </c>
      <c r="T44" s="89" t="s">
        <v>393</v>
      </c>
      <c r="U44" s="84"/>
      <c r="V44" s="1090"/>
      <c r="W44" s="1061"/>
      <c r="X44" s="1061"/>
      <c r="Y44" s="1061"/>
      <c r="Z44" s="1061"/>
      <c r="AA44" s="1061"/>
      <c r="AB44" s="1061"/>
      <c r="AC44" s="1089"/>
      <c r="AD44" s="1090" t="str">
        <f>INDEX(PT_DIFFERENTIATION_TER,MATCH(B44,PT_DIFFERENTIATION_TER_ID,0))</f>
        <v/>
      </c>
      <c r="AE44" s="1061"/>
      <c r="AF44" s="1061"/>
      <c r="AG44" s="1061"/>
      <c r="AH44" s="1061"/>
      <c r="AI44" s="1061"/>
      <c r="AJ44" s="1061"/>
      <c r="AK44" s="1061"/>
      <c r="AL44" s="1089"/>
      <c r="AM44" s="136" t="s">
        <v>394</v>
      </c>
      <c r="AO44" s="151"/>
      <c r="AP44" s="151" t="str">
        <f t="shared" si="1"/>
        <v>Территория действия тарифа</v>
      </c>
      <c r="AQ44" s="151"/>
      <c r="AR44" s="151"/>
      <c r="AS44" s="43">
        <v>21</v>
      </c>
    </row>
    <row r="45" ht="24" customHeight="1" spans="1:45">
      <c r="A45" s="46" t="s">
        <v>184</v>
      </c>
      <c r="B45" s="46" t="s">
        <v>185</v>
      </c>
      <c r="C45" s="46" t="s">
        <v>186</v>
      </c>
      <c r="D45" s="46"/>
      <c r="E45" s="1053"/>
      <c r="F45" s="1053"/>
      <c r="G45" s="1052">
        <v>1</v>
      </c>
      <c r="H45" s="46"/>
      <c r="I45" s="46"/>
      <c r="J45" s="46"/>
      <c r="K45" s="46"/>
      <c r="L45" s="1054"/>
      <c r="M45" s="47"/>
      <c r="N45" s="47"/>
      <c r="O45" s="47"/>
      <c r="P45" s="90"/>
      <c r="Q45" s="87"/>
      <c r="R45" s="88"/>
      <c r="S45" s="65" t="str">
        <f>INDEX(PT_DIFFERENTIATION_NUM_CS,MATCH(C45,PT_DIFFERENTIATION_CS_ID,0))</f>
        <v>..</v>
      </c>
      <c r="T45" s="91" t="s">
        <v>395</v>
      </c>
      <c r="U45" s="84"/>
      <c r="V45" s="1090"/>
      <c r="W45" s="1061"/>
      <c r="X45" s="1061"/>
      <c r="Y45" s="1061"/>
      <c r="Z45" s="1061"/>
      <c r="AA45" s="1061"/>
      <c r="AB45" s="1061"/>
      <c r="AC45" s="1089"/>
      <c r="AD45" s="1090" t="str">
        <f>INDEX(PT_DIFFERENTIATION_CS,MATCH(C45,PT_DIFFERENTIATION_CS_ID,0))</f>
        <v/>
      </c>
      <c r="AE45" s="1061"/>
      <c r="AF45" s="1061"/>
      <c r="AG45" s="1061"/>
      <c r="AH45" s="1061"/>
      <c r="AI45" s="1061"/>
      <c r="AJ45" s="1061"/>
      <c r="AK45" s="1061"/>
      <c r="AL45" s="1089"/>
      <c r="AM45" s="136" t="s">
        <v>396</v>
      </c>
      <c r="AO45" s="151"/>
      <c r="AP45" s="151" t="str">
        <f t="shared" si="1"/>
        <v>Наименование системы теплоснабжения </v>
      </c>
      <c r="AQ45" s="151"/>
      <c r="AR45" s="151"/>
      <c r="AS45" s="43">
        <v>23</v>
      </c>
    </row>
    <row r="46" ht="22.05" customHeight="1" spans="1:45">
      <c r="A46" s="46" t="s">
        <v>184</v>
      </c>
      <c r="B46" s="46" t="s">
        <v>185</v>
      </c>
      <c r="C46" s="46" t="s">
        <v>186</v>
      </c>
      <c r="D46" s="46" t="s">
        <v>187</v>
      </c>
      <c r="E46" s="1053"/>
      <c r="F46" s="1053"/>
      <c r="G46" s="1053"/>
      <c r="H46" s="1052">
        <v>1</v>
      </c>
      <c r="I46" s="46"/>
      <c r="J46" s="46"/>
      <c r="K46" s="46"/>
      <c r="L46" s="1054"/>
      <c r="M46" s="47"/>
      <c r="N46" s="47"/>
      <c r="O46" s="47"/>
      <c r="P46" s="90"/>
      <c r="Q46" s="87"/>
      <c r="R46" s="88"/>
      <c r="S46" s="65" t="str">
        <f>INDEX(PT_DIFFERENTIATION_NUM_IST_TE,MATCH(D46,PT_DIFFERENTIATION_IST_TE_ID,0))</f>
        <v>...</v>
      </c>
      <c r="T46" s="92" t="s">
        <v>397</v>
      </c>
      <c r="U46" s="84"/>
      <c r="V46" s="1090"/>
      <c r="W46" s="1061"/>
      <c r="X46" s="1061"/>
      <c r="Y46" s="1061"/>
      <c r="Z46" s="1061"/>
      <c r="AA46" s="1061"/>
      <c r="AB46" s="1061"/>
      <c r="AC46" s="1089"/>
      <c r="AD46" s="1090" t="str">
        <f>INDEX(PT_DIFFERENTIATION_IST_TE,MATCH(D46,PT_DIFFERENTIATION_IST_TE_ID,0))</f>
        <v/>
      </c>
      <c r="AE46" s="1061"/>
      <c r="AF46" s="1061"/>
      <c r="AG46" s="1061"/>
      <c r="AH46" s="1061"/>
      <c r="AI46" s="1061"/>
      <c r="AJ46" s="1061"/>
      <c r="AK46" s="1061"/>
      <c r="AL46" s="1089"/>
      <c r="AM46" s="136" t="s">
        <v>398</v>
      </c>
      <c r="AO46" s="151"/>
      <c r="AP46" s="151" t="str">
        <f t="shared" si="1"/>
        <v>Источник тепловой энергии  </v>
      </c>
      <c r="AQ46" s="151"/>
      <c r="AR46" s="151"/>
      <c r="AS46" s="43">
        <v>21</v>
      </c>
    </row>
    <row r="47" s="44" customFormat="1" hidden="1" customHeight="1" spans="1:45">
      <c r="A47" s="590" t="s">
        <v>184</v>
      </c>
      <c r="B47" s="590" t="s">
        <v>185</v>
      </c>
      <c r="C47" s="590" t="s">
        <v>186</v>
      </c>
      <c r="D47" s="590" t="s">
        <v>187</v>
      </c>
      <c r="E47" s="1053"/>
      <c r="F47" s="1053"/>
      <c r="G47" s="1053"/>
      <c r="H47" s="1053"/>
      <c r="I47" s="229" t="str">
        <f>S46&amp;".1"</f>
        <v>....1</v>
      </c>
      <c r="J47" s="590"/>
      <c r="K47" s="590"/>
      <c r="L47" s="611" t="s">
        <v>399</v>
      </c>
      <c r="M47" s="1057"/>
      <c r="N47" s="1057"/>
      <c r="O47" s="1057"/>
      <c r="P47" s="93">
        <v>1</v>
      </c>
      <c r="Q47" s="93"/>
      <c r="R47" s="94"/>
      <c r="S47" s="330"/>
      <c r="T47" s="1067"/>
      <c r="U47" s="1065"/>
      <c r="V47" s="1092"/>
      <c r="W47" s="1066"/>
      <c r="X47" s="1066"/>
      <c r="Y47" s="1066"/>
      <c r="Z47" s="1066"/>
      <c r="AA47" s="1066"/>
      <c r="AB47" s="1066"/>
      <c r="AC47" s="1091"/>
      <c r="AD47" s="1092"/>
      <c r="AE47" s="1066"/>
      <c r="AF47" s="1066"/>
      <c r="AG47" s="1066"/>
      <c r="AH47" s="1066"/>
      <c r="AI47" s="1066"/>
      <c r="AJ47" s="1066"/>
      <c r="AK47" s="1066"/>
      <c r="AL47" s="1091"/>
      <c r="AM47" s="995"/>
      <c r="AO47" s="151"/>
      <c r="AP47" s="151" t="str">
        <f t="shared" si="1"/>
        <v/>
      </c>
      <c r="AQ47" s="151"/>
      <c r="AR47" s="151"/>
      <c r="AS47" s="44">
        <v>0</v>
      </c>
    </row>
    <row r="48" ht="22.05" customHeight="1" spans="1:45">
      <c r="A48" s="46" t="s">
        <v>184</v>
      </c>
      <c r="B48" s="46" t="s">
        <v>185</v>
      </c>
      <c r="C48" s="46" t="s">
        <v>186</v>
      </c>
      <c r="D48" s="46" t="s">
        <v>187</v>
      </c>
      <c r="E48" s="1053"/>
      <c r="F48" s="1053"/>
      <c r="G48" s="1053"/>
      <c r="H48" s="1053"/>
      <c r="I48" s="1058"/>
      <c r="J48" s="229" t="str">
        <f>S46&amp;".1"</f>
        <v>....1</v>
      </c>
      <c r="K48" s="46"/>
      <c r="L48" s="1054" t="s">
        <v>402</v>
      </c>
      <c r="P48" s="93"/>
      <c r="Q48" s="93">
        <v>1</v>
      </c>
      <c r="R48" s="97"/>
      <c r="S48" s="65" t="str">
        <f>$J48</f>
        <v>....1</v>
      </c>
      <c r="T48" s="98" t="s">
        <v>403</v>
      </c>
      <c r="U48" s="84"/>
      <c r="V48" s="99"/>
      <c r="W48" s="100"/>
      <c r="X48" s="100"/>
      <c r="Y48" s="100"/>
      <c r="Z48" s="100"/>
      <c r="AA48" s="100"/>
      <c r="AB48" s="100"/>
      <c r="AC48" s="137"/>
      <c r="AD48" s="99"/>
      <c r="AE48" s="100"/>
      <c r="AF48" s="100"/>
      <c r="AG48" s="100"/>
      <c r="AH48" s="100"/>
      <c r="AI48" s="100"/>
      <c r="AJ48" s="100"/>
      <c r="AK48" s="100"/>
      <c r="AL48" s="137"/>
      <c r="AM48" s="136" t="s">
        <v>404</v>
      </c>
      <c r="AO48" s="151"/>
      <c r="AP48" s="151" t="str">
        <f t="shared" si="1"/>
        <v>Группа потребителей</v>
      </c>
      <c r="AQ48" s="151"/>
      <c r="AR48" s="151"/>
      <c r="AS48" s="43">
        <v>21</v>
      </c>
    </row>
    <row r="49" ht="22.05" customHeight="1" spans="1:45">
      <c r="A49" s="46" t="s">
        <v>184</v>
      </c>
      <c r="B49" s="46" t="s">
        <v>185</v>
      </c>
      <c r="C49" s="46" t="s">
        <v>186</v>
      </c>
      <c r="D49" s="46" t="s">
        <v>187</v>
      </c>
      <c r="E49" s="1053"/>
      <c r="F49" s="1053"/>
      <c r="G49" s="1053"/>
      <c r="H49" s="1053"/>
      <c r="I49" s="1058"/>
      <c r="J49" s="1058"/>
      <c r="K49" s="229" t="str">
        <f>J48&amp;".1"</f>
        <v>....1.1</v>
      </c>
      <c r="L49" s="1054" t="s">
        <v>405</v>
      </c>
      <c r="P49" s="93"/>
      <c r="Q49" s="93"/>
      <c r="R49" s="97">
        <v>1</v>
      </c>
      <c r="S49" s="65" t="str">
        <f>$K49</f>
        <v>....1.1</v>
      </c>
      <c r="T49" s="101"/>
      <c r="U49" s="84"/>
      <c r="V49" s="102"/>
      <c r="W49" s="103"/>
      <c r="X49" s="102"/>
      <c r="Y49" s="138"/>
      <c r="Z49" s="139"/>
      <c r="AA49" s="140" t="s">
        <v>66</v>
      </c>
      <c r="AB49" s="139"/>
      <c r="AC49" s="140" t="s">
        <v>66</v>
      </c>
      <c r="AD49" s="102"/>
      <c r="AE49" s="103"/>
      <c r="AF49" s="102"/>
      <c r="AG49" s="138"/>
      <c r="AH49" s="139"/>
      <c r="AI49" s="140" t="s">
        <v>66</v>
      </c>
      <c r="AJ49" s="1137"/>
      <c r="AK49" s="140" t="s">
        <v>66</v>
      </c>
      <c r="AL49" s="1120"/>
      <c r="AM49" s="141" t="s">
        <v>443</v>
      </c>
      <c r="AN49" s="44" t="e">
        <f>STRCHECKDATE(V50:AL50)</f>
        <v>#NAME?</v>
      </c>
      <c r="AO49" s="151"/>
      <c r="AP49" s="151" t="str">
        <f t="shared" si="1"/>
        <v/>
      </c>
      <c r="AQ49" s="151"/>
      <c r="AR49" s="151"/>
      <c r="AS49" s="43">
        <v>21</v>
      </c>
    </row>
    <row r="50" hidden="1" customHeight="1" spans="1:45">
      <c r="A50" s="46" t="s">
        <v>184</v>
      </c>
      <c r="B50" s="46" t="s">
        <v>185</v>
      </c>
      <c r="C50" s="46" t="s">
        <v>186</v>
      </c>
      <c r="D50" s="46" t="s">
        <v>187</v>
      </c>
      <c r="E50" s="1053"/>
      <c r="F50" s="1053"/>
      <c r="G50" s="1053"/>
      <c r="H50" s="1053"/>
      <c r="I50" s="1058"/>
      <c r="J50" s="1058"/>
      <c r="K50" s="229"/>
      <c r="L50" s="1054"/>
      <c r="P50" s="93"/>
      <c r="Q50" s="93"/>
      <c r="R50" s="97"/>
      <c r="S50" s="104"/>
      <c r="T50" s="84"/>
      <c r="U50" s="84"/>
      <c r="V50" s="103"/>
      <c r="W50" s="103"/>
      <c r="X50" s="103"/>
      <c r="Y50" s="142" t="str">
        <f>Z49&amp;"-"&amp;AB49</f>
        <v>-</v>
      </c>
      <c r="Z50" s="143"/>
      <c r="AA50" s="140"/>
      <c r="AB50" s="143"/>
      <c r="AC50" s="140"/>
      <c r="AD50" s="103"/>
      <c r="AE50" s="103"/>
      <c r="AF50" s="103"/>
      <c r="AG50" s="142" t="str">
        <f>AH49&amp;"-"&amp;AJ49</f>
        <v>-</v>
      </c>
      <c r="AH50" s="143"/>
      <c r="AI50" s="140"/>
      <c r="AJ50" s="1140"/>
      <c r="AK50" s="140"/>
      <c r="AL50" s="1163"/>
      <c r="AM50" s="144"/>
      <c r="AO50" s="151"/>
      <c r="AP50" s="151" t="str">
        <f t="shared" si="1"/>
        <v/>
      </c>
      <c r="AQ50" s="151"/>
      <c r="AR50" s="151"/>
      <c r="AS50" s="43">
        <v>0</v>
      </c>
    </row>
    <row r="51" ht="11.55" customHeight="1" spans="1:45">
      <c r="A51" s="46" t="s">
        <v>184</v>
      </c>
      <c r="B51" s="46" t="s">
        <v>185</v>
      </c>
      <c r="C51" s="46" t="s">
        <v>186</v>
      </c>
      <c r="D51" s="46" t="s">
        <v>187</v>
      </c>
      <c r="E51" s="1053"/>
      <c r="F51" s="1053"/>
      <c r="G51" s="1053"/>
      <c r="H51" s="1053"/>
      <c r="I51" s="1058"/>
      <c r="J51" s="229"/>
      <c r="K51" s="46"/>
      <c r="L51" s="1054"/>
      <c r="P51" s="93"/>
      <c r="Q51" s="93"/>
      <c r="R51" s="94"/>
      <c r="S51" s="105"/>
      <c r="T51" s="108" t="s">
        <v>407</v>
      </c>
      <c r="U51" s="107"/>
      <c r="V51" s="107"/>
      <c r="W51" s="107"/>
      <c r="X51" s="107"/>
      <c r="Y51" s="107"/>
      <c r="Z51" s="107"/>
      <c r="AA51" s="107"/>
      <c r="AB51" s="107"/>
      <c r="AC51" s="107"/>
      <c r="AD51" s="107"/>
      <c r="AE51" s="107"/>
      <c r="AF51" s="107"/>
      <c r="AG51" s="107"/>
      <c r="AH51" s="107"/>
      <c r="AI51" s="107"/>
      <c r="AJ51" s="107"/>
      <c r="AK51" s="107"/>
      <c r="AL51" s="145"/>
      <c r="AM51" s="146"/>
      <c r="AO51" s="151"/>
      <c r="AP51" s="151" t="str">
        <f t="shared" si="1"/>
        <v>Добавить вид теплоносителя (параметры теплоносителя)</v>
      </c>
      <c r="AQ51" s="151"/>
      <c r="AR51" s="151"/>
      <c r="AS51" s="43">
        <v>11</v>
      </c>
    </row>
    <row r="52" ht="11.55" customHeight="1" spans="1:45">
      <c r="A52" s="46" t="s">
        <v>184</v>
      </c>
      <c r="B52" s="46" t="s">
        <v>185</v>
      </c>
      <c r="C52" s="46" t="s">
        <v>186</v>
      </c>
      <c r="D52" s="46" t="s">
        <v>187</v>
      </c>
      <c r="E52" s="1053"/>
      <c r="F52" s="1053"/>
      <c r="G52" s="1053"/>
      <c r="H52" s="1053"/>
      <c r="I52" s="229"/>
      <c r="J52" s="46"/>
      <c r="K52" s="46"/>
      <c r="L52" s="1054"/>
      <c r="P52" s="93"/>
      <c r="Q52" s="93"/>
      <c r="R52" s="94"/>
      <c r="S52" s="105"/>
      <c r="T52" s="110" t="s">
        <v>408</v>
      </c>
      <c r="U52" s="107"/>
      <c r="V52" s="107"/>
      <c r="W52" s="107"/>
      <c r="X52" s="107"/>
      <c r="Y52" s="107"/>
      <c r="Z52" s="107"/>
      <c r="AA52" s="107"/>
      <c r="AB52" s="107"/>
      <c r="AC52" s="147"/>
      <c r="AD52" s="107"/>
      <c r="AE52" s="107"/>
      <c r="AF52" s="107"/>
      <c r="AG52" s="107"/>
      <c r="AH52" s="107"/>
      <c r="AI52" s="107"/>
      <c r="AJ52" s="107"/>
      <c r="AK52" s="147"/>
      <c r="AL52" s="107"/>
      <c r="AM52" s="148"/>
      <c r="AO52" s="151"/>
      <c r="AP52" s="151" t="str">
        <f t="shared" si="1"/>
        <v>Добавить группу потребителей</v>
      </c>
      <c r="AQ52" s="151"/>
      <c r="AR52" s="151"/>
      <c r="AS52" s="43">
        <v>11</v>
      </c>
    </row>
    <row r="53" hidden="1" customHeight="1" spans="1:45">
      <c r="A53" s="46" t="s">
        <v>184</v>
      </c>
      <c r="B53" s="46" t="s">
        <v>185</v>
      </c>
      <c r="C53" s="46" t="s">
        <v>186</v>
      </c>
      <c r="D53" s="46" t="s">
        <v>187</v>
      </c>
      <c r="E53" s="1053"/>
      <c r="F53" s="1053"/>
      <c r="G53" s="1053"/>
      <c r="H53" s="1052"/>
      <c r="I53" s="46"/>
      <c r="J53" s="46"/>
      <c r="K53" s="46"/>
      <c r="L53" s="1054"/>
      <c r="M53" s="47"/>
      <c r="N53" s="47"/>
      <c r="O53" s="38"/>
      <c r="P53" s="81"/>
      <c r="Q53" s="109"/>
      <c r="R53" s="82"/>
      <c r="S53" s="1079"/>
      <c r="T53" s="1080"/>
      <c r="U53" s="1081"/>
      <c r="V53" s="1081"/>
      <c r="W53" s="1081"/>
      <c r="X53" s="1081"/>
      <c r="Y53" s="1081"/>
      <c r="Z53" s="1081"/>
      <c r="AA53" s="1081"/>
      <c r="AB53" s="1081"/>
      <c r="AC53" s="1081"/>
      <c r="AD53" s="1081"/>
      <c r="AE53" s="1081"/>
      <c r="AF53" s="1081"/>
      <c r="AG53" s="1081"/>
      <c r="AH53" s="1081"/>
      <c r="AI53" s="1081"/>
      <c r="AJ53" s="1081"/>
      <c r="AK53" s="1081"/>
      <c r="AL53" s="1081"/>
      <c r="AM53" s="1123"/>
      <c r="AO53" s="151"/>
      <c r="AP53" s="151" t="str">
        <f t="shared" si="1"/>
        <v/>
      </c>
      <c r="AQ53" s="151"/>
      <c r="AR53" s="151"/>
      <c r="AS53" s="43">
        <v>0</v>
      </c>
    </row>
    <row r="54" s="44" customFormat="1" hidden="1" customHeight="1" spans="1:45">
      <c r="A54" s="590" t="s">
        <v>184</v>
      </c>
      <c r="B54" s="590" t="s">
        <v>185</v>
      </c>
      <c r="C54" s="590" t="s">
        <v>186</v>
      </c>
      <c r="D54" s="590"/>
      <c r="E54" s="1053"/>
      <c r="F54" s="1053"/>
      <c r="G54" s="1052"/>
      <c r="H54" s="590"/>
      <c r="I54" s="590"/>
      <c r="J54" s="590"/>
      <c r="K54" s="590"/>
      <c r="L54" s="611"/>
      <c r="M54" s="283"/>
      <c r="N54" s="283"/>
      <c r="P54" s="152"/>
      <c r="Q54" s="1082"/>
      <c r="R54" s="152"/>
      <c r="S54" s="1084"/>
      <c r="T54" s="1085" t="s">
        <v>410</v>
      </c>
      <c r="U54" s="307"/>
      <c r="V54" s="307"/>
      <c r="W54" s="307"/>
      <c r="X54" s="307"/>
      <c r="Y54" s="307"/>
      <c r="Z54" s="307"/>
      <c r="AA54" s="307"/>
      <c r="AB54" s="307"/>
      <c r="AC54" s="307"/>
      <c r="AD54" s="307"/>
      <c r="AE54" s="307"/>
      <c r="AF54" s="307"/>
      <c r="AG54" s="307"/>
      <c r="AH54" s="307"/>
      <c r="AI54" s="307"/>
      <c r="AJ54" s="307"/>
      <c r="AK54" s="307"/>
      <c r="AL54" s="307"/>
      <c r="AM54" s="307"/>
      <c r="AO54" s="151"/>
      <c r="AP54" s="151" t="str">
        <f t="shared" si="1"/>
        <v>Добавить источник для дифференциации</v>
      </c>
      <c r="AQ54" s="151"/>
      <c r="AR54" s="151"/>
      <c r="AS54" s="44">
        <v>0</v>
      </c>
    </row>
    <row r="55" s="44" customFormat="1" hidden="1" customHeight="1" spans="1:45">
      <c r="A55" s="590" t="s">
        <v>184</v>
      </c>
      <c r="B55" s="590" t="s">
        <v>185</v>
      </c>
      <c r="C55" s="590"/>
      <c r="D55" s="590"/>
      <c r="E55" s="1053"/>
      <c r="F55" s="1052"/>
      <c r="G55" s="590"/>
      <c r="H55" s="590"/>
      <c r="I55" s="590"/>
      <c r="J55" s="590"/>
      <c r="K55" s="590"/>
      <c r="L55" s="611"/>
      <c r="M55" s="1059"/>
      <c r="N55" s="1059"/>
      <c r="P55" s="152"/>
      <c r="Q55" s="1082"/>
      <c r="R55" s="152"/>
      <c r="S55" s="1084"/>
      <c r="T55" s="1085" t="s">
        <v>411</v>
      </c>
      <c r="U55" s="307"/>
      <c r="V55" s="307"/>
      <c r="W55" s="307"/>
      <c r="X55" s="307"/>
      <c r="Y55" s="307"/>
      <c r="Z55" s="307"/>
      <c r="AA55" s="307"/>
      <c r="AB55" s="307"/>
      <c r="AC55" s="307"/>
      <c r="AD55" s="307"/>
      <c r="AE55" s="307"/>
      <c r="AF55" s="307"/>
      <c r="AG55" s="307"/>
      <c r="AH55" s="307"/>
      <c r="AI55" s="307"/>
      <c r="AJ55" s="307"/>
      <c r="AK55" s="307"/>
      <c r="AL55" s="307"/>
      <c r="AM55" s="307"/>
      <c r="AO55" s="151"/>
      <c r="AP55" s="151" t="str">
        <f t="shared" si="1"/>
        <v>Добавить централизованную систему для дифференциации</v>
      </c>
      <c r="AQ55" s="151"/>
      <c r="AR55" s="151"/>
      <c r="AS55" s="44">
        <v>0</v>
      </c>
    </row>
    <row r="56" s="44" customFormat="1" hidden="1" customHeight="1" spans="1:45">
      <c r="A56" s="590" t="s">
        <v>184</v>
      </c>
      <c r="B56" s="590"/>
      <c r="C56" s="590"/>
      <c r="D56" s="590"/>
      <c r="E56" s="1052"/>
      <c r="F56" s="590"/>
      <c r="G56" s="590"/>
      <c r="H56" s="590"/>
      <c r="I56" s="590"/>
      <c r="J56" s="590"/>
      <c r="K56" s="590"/>
      <c r="L56" s="611"/>
      <c r="M56" s="1059"/>
      <c r="N56" s="1059"/>
      <c r="P56" s="152"/>
      <c r="Q56" s="1082"/>
      <c r="R56" s="152"/>
      <c r="S56" s="1084"/>
      <c r="T56" s="1085" t="s">
        <v>412</v>
      </c>
      <c r="U56" s="307"/>
      <c r="V56" s="307"/>
      <c r="W56" s="307"/>
      <c r="X56" s="307"/>
      <c r="Y56" s="307"/>
      <c r="Z56" s="307"/>
      <c r="AA56" s="307"/>
      <c r="AB56" s="307"/>
      <c r="AC56" s="307"/>
      <c r="AD56" s="307"/>
      <c r="AE56" s="307"/>
      <c r="AF56" s="307"/>
      <c r="AG56" s="307"/>
      <c r="AH56" s="307"/>
      <c r="AI56" s="307"/>
      <c r="AJ56" s="307"/>
      <c r="AK56" s="307"/>
      <c r="AL56" s="307"/>
      <c r="AM56" s="307"/>
      <c r="AO56" s="151"/>
      <c r="AP56" s="151" t="str">
        <f t="shared" si="1"/>
        <v>Добавить территорию для дифференциации</v>
      </c>
      <c r="AQ56" s="151"/>
      <c r="AR56" s="151"/>
      <c r="AS56" s="44">
        <v>0</v>
      </c>
    </row>
    <row r="57" s="44" customFormat="1" ht="4.2" customHeight="1" spans="1:45">
      <c r="A57" s="590"/>
      <c r="B57" s="590"/>
      <c r="C57" s="590"/>
      <c r="D57" s="590"/>
      <c r="E57" s="590"/>
      <c r="F57" s="590"/>
      <c r="G57" s="590"/>
      <c r="H57" s="590"/>
      <c r="I57" s="590"/>
      <c r="J57" s="590"/>
      <c r="K57" s="590"/>
      <c r="L57" s="611"/>
      <c r="M57" s="1059"/>
      <c r="N57" s="1059"/>
      <c r="P57" s="152"/>
      <c r="Q57" s="1082"/>
      <c r="R57" s="152"/>
      <c r="S57" s="1084"/>
      <c r="T57" s="1085" t="s">
        <v>440</v>
      </c>
      <c r="U57" s="307"/>
      <c r="V57" s="307"/>
      <c r="W57" s="307"/>
      <c r="X57" s="307"/>
      <c r="Y57" s="307"/>
      <c r="Z57" s="307"/>
      <c r="AA57" s="307"/>
      <c r="AB57" s="307"/>
      <c r="AC57" s="307"/>
      <c r="AD57" s="307"/>
      <c r="AE57" s="307"/>
      <c r="AF57" s="307"/>
      <c r="AG57" s="307"/>
      <c r="AH57" s="307"/>
      <c r="AI57" s="307"/>
      <c r="AJ57" s="307"/>
      <c r="AK57" s="307"/>
      <c r="AL57" s="307"/>
      <c r="AM57" s="307"/>
      <c r="AO57" s="151"/>
      <c r="AP57" s="151" t="str">
        <f t="shared" si="1"/>
        <v>Добавить наименование тарифа</v>
      </c>
      <c r="AQ57" s="151"/>
      <c r="AR57" s="151"/>
      <c r="AS57" s="44">
        <v>4</v>
      </c>
    </row>
    <row r="58" ht="11.55" customHeight="1" spans="13:45">
      <c r="M58" s="38"/>
      <c r="N58" s="38"/>
      <c r="O58" s="38"/>
      <c r="P58" s="43"/>
      <c r="Q58" s="43"/>
      <c r="R58" s="43"/>
      <c r="S58" s="43"/>
      <c r="AN58" s="43"/>
      <c r="AO58" s="43"/>
      <c r="AP58" s="43"/>
      <c r="AQ58" s="43"/>
      <c r="AR58" s="43"/>
      <c r="AS58" s="43">
        <v>11</v>
      </c>
    </row>
    <row r="59" ht="14.7" customHeight="1" spans="15:45">
      <c r="O59" s="38"/>
      <c r="S59" s="786"/>
      <c r="T59" s="120"/>
      <c r="U59" s="120"/>
      <c r="V59" s="120"/>
      <c r="W59" s="120"/>
      <c r="X59" s="120"/>
      <c r="Y59" s="120"/>
      <c r="Z59" s="120"/>
      <c r="AA59" s="120"/>
      <c r="AB59" s="120"/>
      <c r="AC59" s="120"/>
      <c r="AD59" s="120"/>
      <c r="AE59" s="120"/>
      <c r="AF59" s="120"/>
      <c r="AG59" s="120"/>
      <c r="AH59" s="120"/>
      <c r="AI59" s="120"/>
      <c r="AJ59" s="120"/>
      <c r="AK59" s="120"/>
      <c r="AL59" s="120"/>
      <c r="AM59" s="120"/>
      <c r="AS59" s="43">
        <v>14</v>
      </c>
    </row>
    <row r="60" ht="14.7" customHeight="1" spans="15:45">
      <c r="O60" s="38"/>
      <c r="T60" s="120"/>
      <c r="U60" s="120"/>
      <c r="V60" s="120"/>
      <c r="W60" s="120"/>
      <c r="X60" s="120"/>
      <c r="Y60" s="120"/>
      <c r="Z60" s="120"/>
      <c r="AA60" s="120"/>
      <c r="AB60" s="120"/>
      <c r="AC60" s="120"/>
      <c r="AD60" s="120"/>
      <c r="AE60" s="120"/>
      <c r="AF60" s="120"/>
      <c r="AG60" s="120"/>
      <c r="AH60" s="120"/>
      <c r="AI60" s="120"/>
      <c r="AJ60" s="120"/>
      <c r="AK60" s="120"/>
      <c r="AL60" s="120"/>
      <c r="AM60" s="120"/>
      <c r="AS60" s="43">
        <v>14</v>
      </c>
    </row>
    <row r="61" ht="14.7" customHeight="1" spans="15:45">
      <c r="O61" s="38"/>
      <c r="T61" s="120"/>
      <c r="U61" s="120"/>
      <c r="V61" s="120"/>
      <c r="W61" s="120"/>
      <c r="X61" s="120"/>
      <c r="Y61" s="120"/>
      <c r="Z61" s="120"/>
      <c r="AA61" s="120"/>
      <c r="AB61" s="120"/>
      <c r="AC61" s="120"/>
      <c r="AD61" s="120"/>
      <c r="AE61" s="120"/>
      <c r="AF61" s="120"/>
      <c r="AG61" s="120"/>
      <c r="AH61" s="120"/>
      <c r="AI61" s="120"/>
      <c r="AJ61" s="120"/>
      <c r="AK61" s="120"/>
      <c r="AL61" s="120"/>
      <c r="AM61" s="120"/>
      <c r="AS61" s="43">
        <v>14</v>
      </c>
    </row>
    <row r="62" ht="14.7" customHeight="1" spans="15:45">
      <c r="O62" s="38"/>
      <c r="AS62" s="43">
        <v>14</v>
      </c>
    </row>
    <row r="63" ht="14.7" customHeight="1" spans="15:45">
      <c r="O63" s="38"/>
      <c r="S63" s="786"/>
      <c r="T63" s="1182"/>
      <c r="U63" s="120"/>
      <c r="V63" s="120"/>
      <c r="W63" s="120"/>
      <c r="X63" s="120"/>
      <c r="Y63" s="120"/>
      <c r="Z63" s="120"/>
      <c r="AA63" s="120"/>
      <c r="AB63" s="120"/>
      <c r="AC63" s="120"/>
      <c r="AD63" s="120"/>
      <c r="AE63" s="120"/>
      <c r="AF63" s="120"/>
      <c r="AG63" s="120"/>
      <c r="AH63" s="120"/>
      <c r="AI63" s="120"/>
      <c r="AJ63" s="120"/>
      <c r="AK63" s="120"/>
      <c r="AL63" s="120"/>
      <c r="AM63" s="120"/>
      <c r="AS63" s="43">
        <v>14</v>
      </c>
    </row>
    <row r="64" ht="14.7" customHeight="1" spans="15:45">
      <c r="O64" s="38"/>
      <c r="T64" s="120"/>
      <c r="U64" s="120"/>
      <c r="V64" s="120"/>
      <c r="W64" s="120"/>
      <c r="X64" s="120"/>
      <c r="Y64" s="120"/>
      <c r="Z64" s="120"/>
      <c r="AA64" s="120"/>
      <c r="AB64" s="120"/>
      <c r="AC64" s="120"/>
      <c r="AD64" s="120"/>
      <c r="AE64" s="120"/>
      <c r="AF64" s="120"/>
      <c r="AG64" s="120"/>
      <c r="AH64" s="120"/>
      <c r="AI64" s="120"/>
      <c r="AJ64" s="120"/>
      <c r="AK64" s="120"/>
      <c r="AL64" s="120"/>
      <c r="AM64" s="120"/>
      <c r="AS64" s="43">
        <v>14</v>
      </c>
    </row>
    <row r="65" ht="14.7" customHeight="1" spans="20:45">
      <c r="T65" s="120"/>
      <c r="U65" s="120"/>
      <c r="V65" s="120"/>
      <c r="W65" s="120"/>
      <c r="X65" s="120"/>
      <c r="Y65" s="120"/>
      <c r="Z65" s="120"/>
      <c r="AA65" s="120"/>
      <c r="AB65" s="120"/>
      <c r="AC65" s="120"/>
      <c r="AD65" s="120"/>
      <c r="AE65" s="120"/>
      <c r="AF65" s="120"/>
      <c r="AG65" s="120"/>
      <c r="AH65" s="120"/>
      <c r="AI65" s="120"/>
      <c r="AJ65" s="120"/>
      <c r="AK65" s="120"/>
      <c r="AL65" s="120"/>
      <c r="AM65" s="120"/>
      <c r="AS65" s="43">
        <v>14</v>
      </c>
    </row>
    <row r="66" ht="22.5" hidden="1" customHeight="1" spans="1:45">
      <c r="A66" s="38" t="s">
        <v>83</v>
      </c>
      <c r="B66" s="38">
        <v>0</v>
      </c>
      <c r="C66" s="38">
        <v>0</v>
      </c>
      <c r="D66" s="38">
        <v>0</v>
      </c>
      <c r="E66" s="38">
        <v>0</v>
      </c>
      <c r="F66" s="38">
        <v>0</v>
      </c>
      <c r="G66" s="38">
        <v>0</v>
      </c>
      <c r="H66" s="38">
        <v>0</v>
      </c>
      <c r="I66" s="38">
        <v>0</v>
      </c>
      <c r="J66" s="38">
        <v>0</v>
      </c>
      <c r="K66" s="38">
        <v>0</v>
      </c>
      <c r="L66" s="48">
        <v>0</v>
      </c>
      <c r="M66" s="39">
        <v>0</v>
      </c>
      <c r="N66" s="39">
        <v>0</v>
      </c>
      <c r="O66" s="39">
        <v>0</v>
      </c>
      <c r="P66" s="40">
        <v>0</v>
      </c>
      <c r="Q66" s="41">
        <v>3</v>
      </c>
      <c r="R66" s="41">
        <v>3</v>
      </c>
      <c r="S66" s="42">
        <v>12</v>
      </c>
      <c r="T66" s="43">
        <v>31</v>
      </c>
      <c r="U66" s="43">
        <v>0</v>
      </c>
      <c r="V66" s="43">
        <v>0</v>
      </c>
      <c r="W66" s="43">
        <v>0</v>
      </c>
      <c r="X66" s="43">
        <v>0</v>
      </c>
      <c r="Y66" s="43">
        <v>0</v>
      </c>
      <c r="Z66" s="43">
        <v>0</v>
      </c>
      <c r="AA66" s="43">
        <v>0</v>
      </c>
      <c r="AB66" s="43">
        <v>0</v>
      </c>
      <c r="AC66" s="43">
        <v>0</v>
      </c>
      <c r="AD66" s="43">
        <v>24</v>
      </c>
      <c r="AE66" s="43">
        <v>0</v>
      </c>
      <c r="AF66" s="43">
        <v>24</v>
      </c>
      <c r="AG66" s="43">
        <v>24</v>
      </c>
      <c r="AH66" s="43">
        <v>11</v>
      </c>
      <c r="AI66" s="43">
        <v>3</v>
      </c>
      <c r="AJ66" s="43">
        <v>11</v>
      </c>
      <c r="AK66" s="43">
        <v>0</v>
      </c>
      <c r="AL66" s="43">
        <v>4</v>
      </c>
      <c r="AM66" s="43">
        <v>115</v>
      </c>
      <c r="AN66" s="44">
        <v>10</v>
      </c>
      <c r="AO66" s="44">
        <v>10</v>
      </c>
      <c r="AP66" s="44">
        <v>10</v>
      </c>
      <c r="AQ66" s="44">
        <v>10</v>
      </c>
      <c r="AR66" s="44">
        <v>10</v>
      </c>
      <c r="AS66" s="43">
        <v>23</v>
      </c>
    </row>
  </sheetData>
  <sheetProtection formatColumns="0" formatRows="0" insertRows="0" deleteColumns="0" deleteRows="0" sort="0" autoFilter="0"/>
  <mergeCells count="113">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1:AM61"/>
    <mergeCell ref="T63:AM63"/>
    <mergeCell ref="T64:AM64"/>
    <mergeCell ref="T65:AM65"/>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W72"/>
  <sheetViews>
    <sheetView showGridLines="0" zoomScale="90" zoomScaleNormal="90" workbookViewId="0">
      <pane xSplit="32" ySplit="48" topLeftCell="AG49"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43" hidden="1"/>
    <col min="2" max="2" width="11" style="43" hidden="1" customWidth="1"/>
    <col min="3" max="3" width="10.5714285714286" style="43" hidden="1"/>
    <col min="4" max="4" width="11.847619047619" style="43" hidden="1" customWidth="1"/>
    <col min="5" max="5" width="10" style="43" hidden="1" customWidth="1"/>
    <col min="6" max="6" width="8.71428571428571" style="43" hidden="1" customWidth="1"/>
    <col min="7" max="7" width="7.57142857142857" style="43" hidden="1" customWidth="1"/>
    <col min="8" max="8" width="11.4190476190476" style="43" hidden="1" customWidth="1"/>
    <col min="9" max="9" width="12" style="43" hidden="1" customWidth="1"/>
    <col min="10" max="10" width="9.84761904761905" style="43" hidden="1" customWidth="1"/>
    <col min="11" max="12" width="11.4190476190476" style="43" hidden="1" customWidth="1"/>
    <col min="13" max="13" width="19.1428571428571" style="86" hidden="1" customWidth="1"/>
    <col min="14" max="15" width="12.2857142857143" style="40" hidden="1" customWidth="1"/>
    <col min="16" max="16" width="23.4190476190476" style="40" hidden="1" customWidth="1"/>
    <col min="17" max="17" width="3.71428571428571" style="40" hidden="1" customWidth="1"/>
    <col min="18" max="20" width="3" style="41" customWidth="1"/>
    <col min="21" max="21" width="12" style="42" customWidth="1"/>
    <col min="22" max="22" width="31" style="43" customWidth="1"/>
    <col min="23" max="23" width="0.142857142857143" style="43" customWidth="1"/>
    <col min="24" max="28" width="21.7142857142857" style="43" hidden="1" customWidth="1"/>
    <col min="29" max="29" width="11.7142857142857" style="43" hidden="1" customWidth="1"/>
    <col min="30" max="30" width="3.71428571428571" style="43" hidden="1" customWidth="1"/>
    <col min="31" max="31" width="11.7142857142857" style="43" hidden="1" customWidth="1"/>
    <col min="32" max="32" width="8.57142857142857" style="43" hidden="1" customWidth="1"/>
    <col min="33" max="33" width="21.7142857142857" style="43" customWidth="1"/>
    <col min="34" max="37" width="21" style="43" customWidth="1"/>
    <col min="38" max="38" width="11" style="43" customWidth="1"/>
    <col min="39" max="39" width="3.71428571428571" style="43" customWidth="1"/>
    <col min="40" max="40" width="11" style="43" customWidth="1"/>
    <col min="41" max="41" width="8.57142857142857" style="43" hidden="1" customWidth="1"/>
    <col min="42" max="42" width="4" style="43" customWidth="1"/>
    <col min="43" max="43" width="115" style="43" customWidth="1"/>
    <col min="44" max="48" width="10" style="44" customWidth="1"/>
    <col min="49" max="49" width="10.5714285714286" style="43" hidden="1"/>
  </cols>
  <sheetData>
    <row r="1" ht="22.5" hidden="1" customHeight="1" spans="49:49">
      <c r="AW1" s="43" t="s">
        <v>14</v>
      </c>
    </row>
    <row r="2" ht="21" hidden="1" customHeight="1" spans="1:49">
      <c r="A2" s="502"/>
      <c r="B2" s="502"/>
      <c r="C2" s="502"/>
      <c r="D2" s="502"/>
      <c r="E2" s="1143">
        <v>1</v>
      </c>
      <c r="F2" s="502"/>
      <c r="G2" s="502"/>
      <c r="H2" s="502"/>
      <c r="I2" s="502"/>
      <c r="J2" s="502"/>
      <c r="K2" s="502"/>
      <c r="L2" s="502"/>
      <c r="M2" s="536"/>
      <c r="N2" s="42"/>
      <c r="O2" s="42"/>
      <c r="P2" s="42"/>
      <c r="R2" s="81"/>
      <c r="S2" s="81"/>
      <c r="T2" s="82"/>
      <c r="U2" s="65" t="e">
        <f>INDEX(PT_DIFFERENTIATION_NUM_NTAR,MATCH(A2,PT_DIFFERENTIATION_NTAR_ID,0))</f>
        <v>#N/A</v>
      </c>
      <c r="V2" s="83" t="s">
        <v>121</v>
      </c>
      <c r="W2" s="84"/>
      <c r="X2" s="1090"/>
      <c r="Y2" s="1061"/>
      <c r="Z2" s="1061"/>
      <c r="AA2" s="1061"/>
      <c r="AB2" s="1061"/>
      <c r="AC2" s="1061"/>
      <c r="AD2" s="1061"/>
      <c r="AE2" s="1061"/>
      <c r="AF2" s="1089"/>
      <c r="AG2" s="1090" t="e">
        <f>INDEX(PT_DIFFERENTIATION_NTAR,MATCH(A2,PT_DIFFERENTIATION_NTAR_ID,0))</f>
        <v>#N/A</v>
      </c>
      <c r="AH2" s="1061"/>
      <c r="AI2" s="1061"/>
      <c r="AJ2" s="1061"/>
      <c r="AK2" s="1061"/>
      <c r="AL2" s="1061"/>
      <c r="AM2" s="1061"/>
      <c r="AN2" s="1061"/>
      <c r="AO2" s="1061"/>
      <c r="AP2" s="1089"/>
      <c r="AQ2" s="136" t="s">
        <v>392</v>
      </c>
      <c r="AS2" s="151"/>
      <c r="AT2" s="151" t="str">
        <f t="shared" ref="AT2:AT8" si="0">IF(V2="","",V2)</f>
        <v>Наименование тарифа</v>
      </c>
      <c r="AU2" s="151"/>
      <c r="AV2" s="151"/>
      <c r="AW2" s="43">
        <v>0</v>
      </c>
    </row>
    <row r="3" ht="21" hidden="1" customHeight="1" spans="1:49">
      <c r="A3" s="502"/>
      <c r="B3" s="502"/>
      <c r="C3" s="502"/>
      <c r="D3" s="502"/>
      <c r="E3" s="1144"/>
      <c r="F3" s="1143">
        <v>1</v>
      </c>
      <c r="G3" s="502"/>
      <c r="H3" s="502"/>
      <c r="I3" s="502"/>
      <c r="J3" s="502"/>
      <c r="K3" s="502"/>
      <c r="L3" s="502"/>
      <c r="M3" s="536"/>
      <c r="N3" s="42"/>
      <c r="O3" s="42"/>
      <c r="P3" s="42"/>
      <c r="Q3" s="86"/>
      <c r="R3" s="87"/>
      <c r="S3" s="43"/>
      <c r="T3" s="88"/>
      <c r="U3" s="65" t="e">
        <f>INDEX(PT_DIFFERENTIATION_NUM_TER,MATCH(B3,PT_DIFFERENTIATION_TER_ID,0))</f>
        <v>#N/A</v>
      </c>
      <c r="V3" s="89" t="s">
        <v>393</v>
      </c>
      <c r="W3" s="84"/>
      <c r="X3" s="1090"/>
      <c r="Y3" s="1061"/>
      <c r="Z3" s="1061"/>
      <c r="AA3" s="1061"/>
      <c r="AB3" s="1061"/>
      <c r="AC3" s="1061"/>
      <c r="AD3" s="1061"/>
      <c r="AE3" s="1061"/>
      <c r="AF3" s="1089"/>
      <c r="AG3" s="1090" t="e">
        <f>INDEX(PT_DIFFERENTIATION_TER,MATCH(B3,PT_DIFFERENTIATION_TER_ID,0))</f>
        <v>#N/A</v>
      </c>
      <c r="AH3" s="1061"/>
      <c r="AI3" s="1061"/>
      <c r="AJ3" s="1061"/>
      <c r="AK3" s="1061"/>
      <c r="AL3" s="1061"/>
      <c r="AM3" s="1061"/>
      <c r="AN3" s="1061"/>
      <c r="AO3" s="1061"/>
      <c r="AP3" s="1089"/>
      <c r="AQ3" s="136" t="s">
        <v>394</v>
      </c>
      <c r="AS3" s="151"/>
      <c r="AT3" s="151" t="str">
        <f t="shared" si="0"/>
        <v>Территория действия тарифа</v>
      </c>
      <c r="AU3" s="151"/>
      <c r="AV3" s="151"/>
      <c r="AW3" s="43">
        <v>0</v>
      </c>
    </row>
    <row r="4" ht="22.5" hidden="1" customHeight="1" spans="1:49">
      <c r="A4" s="502"/>
      <c r="B4" s="502"/>
      <c r="C4" s="502"/>
      <c r="D4" s="502"/>
      <c r="E4" s="1144"/>
      <c r="F4" s="1144"/>
      <c r="G4" s="1143">
        <v>1</v>
      </c>
      <c r="H4" s="502"/>
      <c r="I4" s="502"/>
      <c r="J4" s="502"/>
      <c r="K4" s="502"/>
      <c r="L4" s="502"/>
      <c r="M4" s="536"/>
      <c r="N4" s="42"/>
      <c r="O4" s="42"/>
      <c r="P4" s="42"/>
      <c r="Q4" s="90"/>
      <c r="R4" s="87"/>
      <c r="S4" s="43"/>
      <c r="T4" s="88"/>
      <c r="U4" s="65" t="e">
        <f>INDEX(PT_DIFFERENTIATION_NUM_CS,MATCH(C4,PT_DIFFERENTIATION_CS_ID,0))</f>
        <v>#N/A</v>
      </c>
      <c r="V4" s="91" t="s">
        <v>395</v>
      </c>
      <c r="W4" s="84"/>
      <c r="X4" s="1090"/>
      <c r="Y4" s="1061"/>
      <c r="Z4" s="1061"/>
      <c r="AA4" s="1061"/>
      <c r="AB4" s="1061"/>
      <c r="AC4" s="1061"/>
      <c r="AD4" s="1061"/>
      <c r="AE4" s="1061"/>
      <c r="AF4" s="1089"/>
      <c r="AG4" s="1090" t="e">
        <f>INDEX(PT_DIFFERENTIATION_CS,MATCH(C4,PT_DIFFERENTIATION_CS_ID,0))</f>
        <v>#N/A</v>
      </c>
      <c r="AH4" s="1061"/>
      <c r="AI4" s="1061"/>
      <c r="AJ4" s="1061"/>
      <c r="AK4" s="1061"/>
      <c r="AL4" s="1061"/>
      <c r="AM4" s="1061"/>
      <c r="AN4" s="1061"/>
      <c r="AO4" s="1061"/>
      <c r="AP4" s="1089"/>
      <c r="AQ4" s="136" t="s">
        <v>396</v>
      </c>
      <c r="AS4" s="151"/>
      <c r="AT4" s="151" t="str">
        <f t="shared" si="0"/>
        <v>Наименование системы теплоснабжения </v>
      </c>
      <c r="AU4" s="151"/>
      <c r="AV4" s="151"/>
      <c r="AW4" s="43">
        <v>0</v>
      </c>
    </row>
    <row r="5" ht="21" hidden="1" customHeight="1" spans="1:49">
      <c r="A5" s="502"/>
      <c r="B5" s="502"/>
      <c r="C5" s="502"/>
      <c r="D5" s="502"/>
      <c r="E5" s="1144"/>
      <c r="F5" s="1144"/>
      <c r="G5" s="1144"/>
      <c r="H5" s="1143">
        <v>1</v>
      </c>
      <c r="I5" s="502"/>
      <c r="J5" s="502"/>
      <c r="K5" s="502"/>
      <c r="L5" s="502"/>
      <c r="M5" s="536"/>
      <c r="N5" s="42"/>
      <c r="O5" s="42"/>
      <c r="P5" s="42"/>
      <c r="Q5" s="90"/>
      <c r="R5" s="87"/>
      <c r="S5" s="43"/>
      <c r="T5" s="88"/>
      <c r="U5" s="65" t="e">
        <f>INDEX(PT_DIFFERENTIATION_NUM_IST_TE,MATCH(D5,PT_DIFFERENTIATION_IST_TE_ID,0))</f>
        <v>#N/A</v>
      </c>
      <c r="V5" s="92" t="s">
        <v>397</v>
      </c>
      <c r="W5" s="84"/>
      <c r="X5" s="1090"/>
      <c r="Y5" s="1061"/>
      <c r="Z5" s="1061"/>
      <c r="AA5" s="1061"/>
      <c r="AB5" s="1061"/>
      <c r="AC5" s="1061"/>
      <c r="AD5" s="1061"/>
      <c r="AE5" s="1061"/>
      <c r="AF5" s="1089"/>
      <c r="AG5" s="1090" t="e">
        <f>INDEX(PT_DIFFERENTIATION_IST_TE,MATCH(D5,PT_DIFFERENTIATION_IST_TE_ID,0))</f>
        <v>#N/A</v>
      </c>
      <c r="AH5" s="1061"/>
      <c r="AI5" s="1061"/>
      <c r="AJ5" s="1061"/>
      <c r="AK5" s="1061"/>
      <c r="AL5" s="1061"/>
      <c r="AM5" s="1061"/>
      <c r="AN5" s="1061"/>
      <c r="AO5" s="1061"/>
      <c r="AP5" s="1089"/>
      <c r="AQ5" s="136" t="s">
        <v>398</v>
      </c>
      <c r="AS5" s="151"/>
      <c r="AT5" s="151" t="str">
        <f t="shared" si="0"/>
        <v>Источник тепловой энергии  </v>
      </c>
      <c r="AU5" s="151"/>
      <c r="AV5" s="151"/>
      <c r="AW5" s="43">
        <v>0</v>
      </c>
    </row>
    <row r="6" hidden="1" customHeight="1" spans="1:49">
      <c r="A6" s="502"/>
      <c r="B6" s="502"/>
      <c r="C6" s="502"/>
      <c r="D6" s="502"/>
      <c r="E6" s="1144"/>
      <c r="F6" s="1144"/>
      <c r="G6" s="1144"/>
      <c r="H6" s="1144"/>
      <c r="I6" s="64" t="e">
        <f>U5&amp;".1"</f>
        <v>#N/A</v>
      </c>
      <c r="J6" s="502"/>
      <c r="K6" s="502"/>
      <c r="L6" s="502"/>
      <c r="M6" s="536" t="s">
        <v>399</v>
      </c>
      <c r="N6" s="43"/>
      <c r="Q6" s="93">
        <v>1</v>
      </c>
      <c r="R6" s="93"/>
      <c r="S6" s="93"/>
      <c r="T6" s="94"/>
      <c r="U6" s="330"/>
      <c r="V6" s="1067"/>
      <c r="W6" s="1065"/>
      <c r="X6" s="1092"/>
      <c r="Y6" s="1066"/>
      <c r="Z6" s="1066"/>
      <c r="AA6" s="1066"/>
      <c r="AB6" s="1066"/>
      <c r="AC6" s="1066"/>
      <c r="AD6" s="1066"/>
      <c r="AE6" s="1066"/>
      <c r="AF6" s="1091"/>
      <c r="AG6" s="1092"/>
      <c r="AH6" s="1066"/>
      <c r="AI6" s="1066"/>
      <c r="AJ6" s="1066"/>
      <c r="AK6" s="1066"/>
      <c r="AL6" s="1066"/>
      <c r="AM6" s="1066"/>
      <c r="AN6" s="1066"/>
      <c r="AO6" s="1066"/>
      <c r="AP6" s="1091"/>
      <c r="AQ6" s="995"/>
      <c r="AS6" s="151"/>
      <c r="AT6" s="151" t="str">
        <f t="shared" si="0"/>
        <v/>
      </c>
      <c r="AU6" s="151"/>
      <c r="AV6" s="151"/>
      <c r="AW6" s="43">
        <v>0</v>
      </c>
    </row>
    <row r="7" ht="21" hidden="1" customHeight="1" spans="1:49">
      <c r="A7" s="502"/>
      <c r="B7" s="502"/>
      <c r="C7" s="502"/>
      <c r="D7" s="502"/>
      <c r="E7" s="1144"/>
      <c r="F7" s="1144"/>
      <c r="G7" s="1144"/>
      <c r="H7" s="1144"/>
      <c r="I7" s="126"/>
      <c r="J7" s="64" t="e">
        <f>I6&amp;".1"</f>
        <v>#N/A</v>
      </c>
      <c r="K7" s="502"/>
      <c r="L7" s="502"/>
      <c r="M7" s="536" t="s">
        <v>402</v>
      </c>
      <c r="N7" s="43"/>
      <c r="O7" s="43"/>
      <c r="Q7" s="93"/>
      <c r="R7" s="93">
        <v>1</v>
      </c>
      <c r="S7" s="44"/>
      <c r="T7" s="97"/>
      <c r="U7" s="65" t="e">
        <f>$J7</f>
        <v>#N/A</v>
      </c>
      <c r="V7" s="98" t="s">
        <v>403</v>
      </c>
      <c r="W7" s="84"/>
      <c r="X7" s="99"/>
      <c r="Y7" s="100"/>
      <c r="Z7" s="100"/>
      <c r="AA7" s="100"/>
      <c r="AB7" s="100"/>
      <c r="AC7" s="1170"/>
      <c r="AD7" s="1170"/>
      <c r="AE7" s="1170"/>
      <c r="AF7" s="1171"/>
      <c r="AG7" s="99"/>
      <c r="AH7" s="100"/>
      <c r="AI7" s="100"/>
      <c r="AJ7" s="100"/>
      <c r="AK7" s="100"/>
      <c r="AL7" s="100"/>
      <c r="AM7" s="100"/>
      <c r="AN7" s="100"/>
      <c r="AO7" s="100"/>
      <c r="AP7" s="137"/>
      <c r="AQ7" s="136" t="s">
        <v>404</v>
      </c>
      <c r="AS7" s="151"/>
      <c r="AT7" s="151" t="str">
        <f t="shared" si="0"/>
        <v>Группа потребителей</v>
      </c>
      <c r="AU7" s="151"/>
      <c r="AV7" s="151"/>
      <c r="AW7" s="43">
        <v>0</v>
      </c>
    </row>
    <row r="8" ht="21" hidden="1" customHeight="1" spans="1:49">
      <c r="A8" s="502"/>
      <c r="B8" s="502"/>
      <c r="C8" s="502"/>
      <c r="D8" s="502"/>
      <c r="E8" s="1144"/>
      <c r="F8" s="1144"/>
      <c r="G8" s="1144"/>
      <c r="H8" s="1144"/>
      <c r="I8" s="126"/>
      <c r="J8" s="126"/>
      <c r="K8" s="64" t="e">
        <f>J7&amp;".1"</f>
        <v>#N/A</v>
      </c>
      <c r="L8" s="86"/>
      <c r="M8" s="536" t="s">
        <v>405</v>
      </c>
      <c r="N8" s="43"/>
      <c r="O8" s="43"/>
      <c r="P8" s="43"/>
      <c r="Q8" s="93"/>
      <c r="R8" s="93"/>
      <c r="S8" s="93">
        <v>1</v>
      </c>
      <c r="T8" s="97"/>
      <c r="U8" s="65" t="e">
        <f>$K8</f>
        <v>#N/A</v>
      </c>
      <c r="V8" s="101"/>
      <c r="W8" s="84"/>
      <c r="X8" s="102"/>
      <c r="Y8" s="102"/>
      <c r="Z8" s="102"/>
      <c r="AA8" s="102"/>
      <c r="AB8" s="1172"/>
      <c r="AC8" s="139"/>
      <c r="AD8" s="140" t="s">
        <v>66</v>
      </c>
      <c r="AE8" s="139"/>
      <c r="AF8" s="140" t="s">
        <v>66</v>
      </c>
      <c r="AG8" s="1042"/>
      <c r="AH8" s="102"/>
      <c r="AI8" s="102"/>
      <c r="AJ8" s="102"/>
      <c r="AK8" s="138"/>
      <c r="AL8" s="139"/>
      <c r="AM8" s="140" t="s">
        <v>66</v>
      </c>
      <c r="AN8" s="139"/>
      <c r="AO8" s="140" t="s">
        <v>66</v>
      </c>
      <c r="AP8" s="103"/>
      <c r="AQ8" s="1136" t="s">
        <v>444</v>
      </c>
      <c r="AR8" s="44" t="e">
        <f>STRCHECKDATE(X10:AP10)</f>
        <v>#NAME?</v>
      </c>
      <c r="AS8" s="151"/>
      <c r="AT8" s="151" t="str">
        <f t="shared" si="0"/>
        <v/>
      </c>
      <c r="AU8" s="151"/>
      <c r="AV8" s="151"/>
      <c r="AW8" s="43">
        <v>0</v>
      </c>
    </row>
    <row r="9" ht="21" hidden="1" customHeight="1" spans="1:49">
      <c r="A9" s="502"/>
      <c r="B9" s="502"/>
      <c r="C9" s="502"/>
      <c r="D9" s="502"/>
      <c r="E9" s="1144"/>
      <c r="F9" s="1144"/>
      <c r="G9" s="1144"/>
      <c r="H9" s="1144"/>
      <c r="I9" s="126"/>
      <c r="J9" s="126"/>
      <c r="K9" s="126"/>
      <c r="L9" s="64" t="e">
        <f>K8&amp;".1"</f>
        <v>#N/A</v>
      </c>
      <c r="M9" s="536"/>
      <c r="N9" s="43"/>
      <c r="O9" s="43"/>
      <c r="P9" s="43"/>
      <c r="Q9" s="93"/>
      <c r="R9" s="93"/>
      <c r="S9" s="93"/>
      <c r="T9" s="97"/>
      <c r="U9" s="65" t="e">
        <f>$L9</f>
        <v>#N/A</v>
      </c>
      <c r="V9" s="1164"/>
      <c r="W9" s="84"/>
      <c r="X9" s="103"/>
      <c r="Y9" s="102"/>
      <c r="Z9" s="102"/>
      <c r="AA9" s="102"/>
      <c r="AB9" s="1172"/>
      <c r="AC9" s="143"/>
      <c r="AD9" s="140"/>
      <c r="AE9" s="143"/>
      <c r="AF9" s="140"/>
      <c r="AG9" s="1042"/>
      <c r="AH9" s="102"/>
      <c r="AI9" s="102"/>
      <c r="AJ9" s="102"/>
      <c r="AK9" s="138"/>
      <c r="AL9" s="143"/>
      <c r="AM9" s="140"/>
      <c r="AN9" s="143"/>
      <c r="AO9" s="140"/>
      <c r="AP9" s="103"/>
      <c r="AQ9" s="141" t="s">
        <v>445</v>
      </c>
      <c r="AS9" s="151"/>
      <c r="AT9" s="151"/>
      <c r="AU9" s="151"/>
      <c r="AV9" s="151"/>
      <c r="AW9" s="43">
        <v>0</v>
      </c>
    </row>
    <row r="10" hidden="1" customHeight="1" spans="1:49">
      <c r="A10" s="502"/>
      <c r="B10" s="502"/>
      <c r="C10" s="502"/>
      <c r="D10" s="502"/>
      <c r="E10" s="1144"/>
      <c r="F10" s="1144"/>
      <c r="G10" s="1144"/>
      <c r="H10" s="1144"/>
      <c r="I10" s="126"/>
      <c r="J10" s="126"/>
      <c r="K10" s="126"/>
      <c r="L10" s="64"/>
      <c r="M10" s="536"/>
      <c r="N10" s="43"/>
      <c r="O10" s="43"/>
      <c r="P10" s="43"/>
      <c r="Q10" s="93"/>
      <c r="R10" s="93"/>
      <c r="S10" s="93"/>
      <c r="T10" s="97"/>
      <c r="U10" s="104"/>
      <c r="V10" s="84"/>
      <c r="W10" s="84"/>
      <c r="X10" s="103"/>
      <c r="Y10" s="103"/>
      <c r="Z10" s="103"/>
      <c r="AA10" s="103"/>
      <c r="AB10" s="1173" t="str">
        <f>AC8&amp;"-"&amp;AE8</f>
        <v>-</v>
      </c>
      <c r="AC10" s="143"/>
      <c r="AD10" s="140"/>
      <c r="AE10" s="143"/>
      <c r="AF10" s="140"/>
      <c r="AG10" s="1179"/>
      <c r="AH10" s="103"/>
      <c r="AI10" s="103"/>
      <c r="AJ10" s="103"/>
      <c r="AK10" s="142" t="str">
        <f>AL8&amp;"-"&amp;AN8</f>
        <v>-</v>
      </c>
      <c r="AL10" s="143"/>
      <c r="AM10" s="140"/>
      <c r="AN10" s="143"/>
      <c r="AO10" s="140"/>
      <c r="AP10" s="103"/>
      <c r="AQ10" s="144"/>
      <c r="AS10" s="151"/>
      <c r="AT10" s="151" t="str">
        <f>IF(V10="","",V10)</f>
        <v/>
      </c>
      <c r="AU10" s="151"/>
      <c r="AV10" s="151"/>
      <c r="AW10" s="43">
        <v>0</v>
      </c>
    </row>
    <row r="11" ht="11.25" hidden="1" customHeight="1" spans="1:49">
      <c r="A11" s="502"/>
      <c r="B11" s="502"/>
      <c r="C11" s="502"/>
      <c r="D11" s="502"/>
      <c r="E11" s="1144"/>
      <c r="F11" s="1144"/>
      <c r="G11" s="1144"/>
      <c r="H11" s="1144"/>
      <c r="I11" s="126"/>
      <c r="J11" s="126"/>
      <c r="K11" s="64"/>
      <c r="L11" s="502"/>
      <c r="M11" s="536"/>
      <c r="N11" s="43"/>
      <c r="O11" s="43"/>
      <c r="P11" s="43"/>
      <c r="Q11" s="93"/>
      <c r="R11" s="93"/>
      <c r="S11" s="93"/>
      <c r="T11" s="97"/>
      <c r="U11" s="105"/>
      <c r="V11" s="106" t="s">
        <v>446</v>
      </c>
      <c r="W11" s="1165"/>
      <c r="X11" s="1074"/>
      <c r="Y11" s="1074"/>
      <c r="Z11" s="1074"/>
      <c r="AA11" s="1074"/>
      <c r="AB11" s="1078"/>
      <c r="AC11" s="143"/>
      <c r="AD11" s="140"/>
      <c r="AE11" s="143"/>
      <c r="AF11" s="140"/>
      <c r="AG11" s="1074"/>
      <c r="AH11" s="1074"/>
      <c r="AI11" s="1074"/>
      <c r="AJ11" s="1074"/>
      <c r="AK11" s="1078"/>
      <c r="AL11" s="143"/>
      <c r="AM11" s="140"/>
      <c r="AN11" s="143"/>
      <c r="AO11" s="140"/>
      <c r="AP11" s="1180"/>
      <c r="AQ11" s="144"/>
      <c r="AS11" s="151"/>
      <c r="AT11" s="151"/>
      <c r="AU11" s="151"/>
      <c r="AV11" s="151"/>
      <c r="AW11" s="43">
        <v>0</v>
      </c>
    </row>
    <row r="12" ht="15" hidden="1" customHeight="1" spans="1:49">
      <c r="A12" s="502"/>
      <c r="B12" s="502"/>
      <c r="C12" s="502"/>
      <c r="D12" s="502"/>
      <c r="E12" s="1144"/>
      <c r="F12" s="1144"/>
      <c r="G12" s="1144"/>
      <c r="H12" s="1144"/>
      <c r="I12" s="126"/>
      <c r="J12" s="64"/>
      <c r="K12" s="502"/>
      <c r="L12" s="502"/>
      <c r="M12" s="536"/>
      <c r="N12" s="43"/>
      <c r="O12" s="43"/>
      <c r="Q12" s="93"/>
      <c r="R12" s="93"/>
      <c r="S12" s="93"/>
      <c r="T12" s="94"/>
      <c r="U12" s="105"/>
      <c r="V12" s="108" t="s">
        <v>407</v>
      </c>
      <c r="W12" s="107"/>
      <c r="X12" s="107"/>
      <c r="Y12" s="107"/>
      <c r="Z12" s="107"/>
      <c r="AA12" s="107"/>
      <c r="AB12" s="107"/>
      <c r="AC12" s="1174"/>
      <c r="AD12" s="1174"/>
      <c r="AE12" s="1174"/>
      <c r="AF12" s="1174"/>
      <c r="AG12" s="107"/>
      <c r="AH12" s="107"/>
      <c r="AI12" s="107"/>
      <c r="AJ12" s="107"/>
      <c r="AK12" s="107"/>
      <c r="AL12" s="107"/>
      <c r="AM12" s="107"/>
      <c r="AN12" s="107"/>
      <c r="AO12" s="107"/>
      <c r="AP12" s="145"/>
      <c r="AQ12" s="146"/>
      <c r="AS12" s="151"/>
      <c r="AT12" s="151" t="str">
        <f t="shared" ref="AT12:AT17" si="1">IF(V12="","",V12)</f>
        <v>Добавить вид теплоносителя (параметры теплоносителя)</v>
      </c>
      <c r="AU12" s="151"/>
      <c r="AV12" s="151"/>
      <c r="AW12" s="43">
        <v>0</v>
      </c>
    </row>
    <row r="13" ht="11.25" hidden="1" customHeight="1" spans="1:49">
      <c r="A13" s="502"/>
      <c r="B13" s="502"/>
      <c r="C13" s="502"/>
      <c r="D13" s="502"/>
      <c r="E13" s="1144"/>
      <c r="F13" s="1144"/>
      <c r="G13" s="1144"/>
      <c r="H13" s="1144"/>
      <c r="I13" s="64"/>
      <c r="J13" s="502"/>
      <c r="K13" s="502"/>
      <c r="L13" s="502"/>
      <c r="M13" s="536"/>
      <c r="N13" s="43"/>
      <c r="Q13" s="93"/>
      <c r="R13" s="93"/>
      <c r="S13" s="93"/>
      <c r="T13" s="94"/>
      <c r="U13" s="105"/>
      <c r="V13" s="110" t="s">
        <v>408</v>
      </c>
      <c r="W13" s="107"/>
      <c r="X13" s="107"/>
      <c r="Y13" s="107"/>
      <c r="Z13" s="107"/>
      <c r="AA13" s="107"/>
      <c r="AB13" s="107"/>
      <c r="AC13" s="107"/>
      <c r="AD13" s="107"/>
      <c r="AE13" s="107"/>
      <c r="AF13" s="147"/>
      <c r="AG13" s="107"/>
      <c r="AH13" s="107"/>
      <c r="AI13" s="107"/>
      <c r="AJ13" s="107"/>
      <c r="AK13" s="107"/>
      <c r="AL13" s="107"/>
      <c r="AM13" s="107"/>
      <c r="AN13" s="107"/>
      <c r="AO13" s="147"/>
      <c r="AP13" s="107"/>
      <c r="AQ13" s="148"/>
      <c r="AS13" s="151"/>
      <c r="AT13" s="151" t="str">
        <f t="shared" si="1"/>
        <v>Добавить группу потребителей</v>
      </c>
      <c r="AU13" s="151"/>
      <c r="AV13" s="151"/>
      <c r="AW13" s="43">
        <v>0</v>
      </c>
    </row>
    <row r="14" hidden="1" customHeight="1" spans="1:49">
      <c r="A14" s="502"/>
      <c r="B14" s="502"/>
      <c r="C14" s="502"/>
      <c r="D14" s="502"/>
      <c r="E14" s="1144"/>
      <c r="F14" s="1144"/>
      <c r="G14" s="1144"/>
      <c r="H14" s="1143"/>
      <c r="I14" s="502"/>
      <c r="J14" s="502"/>
      <c r="K14" s="502"/>
      <c r="L14" s="502"/>
      <c r="M14" s="536"/>
      <c r="N14" s="42"/>
      <c r="O14" s="42"/>
      <c r="P14" s="43"/>
      <c r="Q14" s="81"/>
      <c r="R14" s="109"/>
      <c r="S14" s="82"/>
      <c r="T14" s="81"/>
      <c r="U14" s="1079"/>
      <c r="V14" s="1080"/>
      <c r="W14" s="1081"/>
      <c r="X14" s="1081"/>
      <c r="Y14" s="1081"/>
      <c r="Z14" s="1081"/>
      <c r="AA14" s="1081"/>
      <c r="AB14" s="1081"/>
      <c r="AC14" s="1081"/>
      <c r="AD14" s="1081"/>
      <c r="AE14" s="1081"/>
      <c r="AF14" s="1081"/>
      <c r="AG14" s="1081"/>
      <c r="AH14" s="1081"/>
      <c r="AI14" s="1081"/>
      <c r="AJ14" s="1081"/>
      <c r="AK14" s="1081"/>
      <c r="AL14" s="1081"/>
      <c r="AM14" s="1081"/>
      <c r="AN14" s="1081"/>
      <c r="AO14" s="1081"/>
      <c r="AP14" s="1081"/>
      <c r="AQ14" s="1123"/>
      <c r="AS14" s="151"/>
      <c r="AT14" s="151" t="str">
        <f t="shared" si="1"/>
        <v/>
      </c>
      <c r="AU14" s="151"/>
      <c r="AV14" s="151"/>
      <c r="AW14" s="43">
        <v>0</v>
      </c>
    </row>
    <row r="15" s="44" customFormat="1" hidden="1" customHeight="1" spans="1:49">
      <c r="A15" s="1145"/>
      <c r="B15" s="1145"/>
      <c r="C15" s="1145"/>
      <c r="D15" s="1145"/>
      <c r="E15" s="1144"/>
      <c r="F15" s="1144"/>
      <c r="G15" s="1143"/>
      <c r="H15" s="1145"/>
      <c r="I15" s="1145"/>
      <c r="J15" s="1145"/>
      <c r="K15" s="1145"/>
      <c r="L15" s="1145"/>
      <c r="M15" s="1147"/>
      <c r="N15" s="1148"/>
      <c r="O15" s="1148"/>
      <c r="P15" s="37"/>
      <c r="Q15" s="152"/>
      <c r="R15" s="1082"/>
      <c r="S15" s="152"/>
      <c r="T15" s="152"/>
      <c r="U15" s="1166"/>
      <c r="V15" s="1167" t="s">
        <v>410</v>
      </c>
      <c r="W15" s="1168"/>
      <c r="X15" s="1168"/>
      <c r="Y15" s="1168"/>
      <c r="Z15" s="1168"/>
      <c r="AA15" s="1168"/>
      <c r="AB15" s="1168"/>
      <c r="AC15" s="1168"/>
      <c r="AD15" s="1168"/>
      <c r="AE15" s="1168"/>
      <c r="AF15" s="1168"/>
      <c r="AG15" s="1168"/>
      <c r="AH15" s="1168"/>
      <c r="AI15" s="1168"/>
      <c r="AJ15" s="1168"/>
      <c r="AK15" s="1168"/>
      <c r="AL15" s="1168"/>
      <c r="AM15" s="1168"/>
      <c r="AN15" s="1168"/>
      <c r="AO15" s="1168"/>
      <c r="AP15" s="1168"/>
      <c r="AQ15" s="1168"/>
      <c r="AS15" s="151"/>
      <c r="AT15" s="151" t="str">
        <f t="shared" si="1"/>
        <v>Добавить источник для дифференциации</v>
      </c>
      <c r="AU15" s="151"/>
      <c r="AV15" s="151"/>
      <c r="AW15" s="44">
        <v>0</v>
      </c>
    </row>
    <row r="16" s="44" customFormat="1" hidden="1" customHeight="1" spans="1:49">
      <c r="A16" s="1145"/>
      <c r="B16" s="1145"/>
      <c r="C16" s="1145"/>
      <c r="D16" s="1145"/>
      <c r="E16" s="1144"/>
      <c r="F16" s="1143"/>
      <c r="G16" s="1145"/>
      <c r="H16" s="1145"/>
      <c r="I16" s="1145"/>
      <c r="J16" s="1145"/>
      <c r="K16" s="1145"/>
      <c r="L16" s="1145"/>
      <c r="M16" s="1147"/>
      <c r="N16" s="1149"/>
      <c r="O16" s="1149"/>
      <c r="P16" s="37"/>
      <c r="Q16" s="152"/>
      <c r="R16" s="1082"/>
      <c r="S16" s="152"/>
      <c r="T16" s="152"/>
      <c r="U16" s="1084"/>
      <c r="V16" s="1169" t="s">
        <v>411</v>
      </c>
      <c r="W16" s="307"/>
      <c r="X16" s="307"/>
      <c r="Y16" s="307"/>
      <c r="Z16" s="307"/>
      <c r="AA16" s="307"/>
      <c r="AB16" s="307"/>
      <c r="AC16" s="307"/>
      <c r="AD16" s="307"/>
      <c r="AE16" s="307"/>
      <c r="AF16" s="307"/>
      <c r="AG16" s="307"/>
      <c r="AH16" s="307"/>
      <c r="AI16" s="307"/>
      <c r="AJ16" s="307"/>
      <c r="AK16" s="307"/>
      <c r="AL16" s="307"/>
      <c r="AM16" s="307"/>
      <c r="AN16" s="307"/>
      <c r="AO16" s="307"/>
      <c r="AP16" s="307"/>
      <c r="AQ16" s="307"/>
      <c r="AS16" s="151"/>
      <c r="AT16" s="151" t="str">
        <f t="shared" si="1"/>
        <v>Добавить централизованную систему для дифференциации</v>
      </c>
      <c r="AU16" s="151"/>
      <c r="AV16" s="151"/>
      <c r="AW16" s="44">
        <v>0</v>
      </c>
    </row>
    <row r="17" s="44" customFormat="1" hidden="1" customHeight="1" spans="1:49">
      <c r="A17" s="1145"/>
      <c r="B17" s="1145"/>
      <c r="C17" s="1145"/>
      <c r="D17" s="1145"/>
      <c r="E17" s="1143"/>
      <c r="F17" s="1145"/>
      <c r="G17" s="1145"/>
      <c r="H17" s="1145"/>
      <c r="I17" s="1145"/>
      <c r="J17" s="1145"/>
      <c r="K17" s="1145"/>
      <c r="L17" s="1145"/>
      <c r="M17" s="1147"/>
      <c r="N17" s="1149"/>
      <c r="O17" s="1149"/>
      <c r="P17" s="37"/>
      <c r="Q17" s="152"/>
      <c r="R17" s="1082"/>
      <c r="S17" s="152"/>
      <c r="T17" s="152"/>
      <c r="U17" s="1084"/>
      <c r="V17" s="1085" t="s">
        <v>412</v>
      </c>
      <c r="W17" s="307"/>
      <c r="X17" s="307"/>
      <c r="Y17" s="307"/>
      <c r="Z17" s="307"/>
      <c r="AA17" s="307"/>
      <c r="AB17" s="307"/>
      <c r="AC17" s="307"/>
      <c r="AD17" s="307"/>
      <c r="AE17" s="307"/>
      <c r="AF17" s="307"/>
      <c r="AG17" s="307"/>
      <c r="AH17" s="307"/>
      <c r="AI17" s="307"/>
      <c r="AJ17" s="307"/>
      <c r="AK17" s="307"/>
      <c r="AL17" s="307"/>
      <c r="AM17" s="307"/>
      <c r="AN17" s="307"/>
      <c r="AO17" s="307"/>
      <c r="AP17" s="307"/>
      <c r="AQ17" s="307"/>
      <c r="AS17" s="151"/>
      <c r="AT17" s="151" t="str">
        <f t="shared" si="1"/>
        <v>Добавить территорию для дифференциации</v>
      </c>
      <c r="AU17" s="151"/>
      <c r="AV17" s="151"/>
      <c r="AW17" s="44">
        <v>0</v>
      </c>
    </row>
    <row r="18" hidden="1" customHeight="1" spans="49:49">
      <c r="AW18" s="43">
        <v>0</v>
      </c>
    </row>
    <row r="19" hidden="1" customHeight="1" spans="33:49">
      <c r="AG19" s="492"/>
      <c r="AH19" s="492"/>
      <c r="AI19" s="492"/>
      <c r="AJ19" s="492"/>
      <c r="AK19" s="1132"/>
      <c r="AL19" s="1133"/>
      <c r="AM19" s="353" t="s">
        <v>66</v>
      </c>
      <c r="AN19" s="1133"/>
      <c r="AO19" s="353" t="s">
        <v>66</v>
      </c>
      <c r="AW19" s="43">
        <v>0</v>
      </c>
    </row>
    <row r="20" hidden="1" customHeight="1" spans="33:49">
      <c r="AG20" s="492"/>
      <c r="AH20" s="492"/>
      <c r="AI20" s="492"/>
      <c r="AJ20" s="492"/>
      <c r="AK20" s="1132"/>
      <c r="AL20" s="1133"/>
      <c r="AM20" s="353"/>
      <c r="AN20" s="1133"/>
      <c r="AO20" s="353"/>
      <c r="AW20" s="43">
        <v>0</v>
      </c>
    </row>
    <row r="21" hidden="1" customHeight="1" spans="33:49">
      <c r="AG21" s="492"/>
      <c r="AH21" s="492"/>
      <c r="AI21" s="492"/>
      <c r="AJ21" s="492"/>
      <c r="AK21" s="1132"/>
      <c r="AL21" s="1133"/>
      <c r="AM21" s="353"/>
      <c r="AN21" s="1133"/>
      <c r="AO21" s="353"/>
      <c r="AW21" s="43">
        <v>0</v>
      </c>
    </row>
    <row r="22" hidden="1" customHeight="1" spans="33:49">
      <c r="AG22" s="492"/>
      <c r="AH22" s="492"/>
      <c r="AI22" s="492"/>
      <c r="AJ22" s="492"/>
      <c r="AK22" s="142" t="str">
        <f>AL19&amp;"-"&amp;AN19</f>
        <v>-</v>
      </c>
      <c r="AL22" s="353"/>
      <c r="AM22" s="353"/>
      <c r="AN22" s="353"/>
      <c r="AO22" s="353"/>
      <c r="AW22" s="43">
        <v>0</v>
      </c>
    </row>
    <row r="23" hidden="1" customHeight="1" spans="49:49">
      <c r="AW23" s="43">
        <v>0</v>
      </c>
    </row>
    <row r="24" s="38" customFormat="1" ht="22.5" hidden="1" customHeight="1" spans="1:49">
      <c r="A24" s="43"/>
      <c r="B24" s="43"/>
      <c r="C24" s="43"/>
      <c r="D24" s="43"/>
      <c r="E24" s="43"/>
      <c r="F24" s="43"/>
      <c r="G24" s="43"/>
      <c r="H24" s="43"/>
      <c r="I24" s="43"/>
      <c r="J24" s="43"/>
      <c r="K24" s="43"/>
      <c r="L24" s="43"/>
      <c r="M24" s="86"/>
      <c r="N24" s="40"/>
      <c r="O24" s="40"/>
      <c r="P24" s="1098" t="s">
        <v>413</v>
      </c>
      <c r="Q24" s="39"/>
      <c r="R24" s="1051"/>
      <c r="S24" s="1051"/>
      <c r="T24" s="1051"/>
      <c r="U24" s="47"/>
      <c r="AC24" s="1060"/>
      <c r="AE24" s="1060"/>
      <c r="AL24" s="1060"/>
      <c r="AN24" s="1060"/>
      <c r="AR24" s="44"/>
      <c r="AS24" s="44"/>
      <c r="AT24" s="44"/>
      <c r="AU24" s="44"/>
      <c r="AV24" s="44"/>
      <c r="AW24" s="38">
        <v>0</v>
      </c>
    </row>
    <row r="25" s="38" customFormat="1" hidden="1" customHeight="1" spans="1:49">
      <c r="A25" s="43"/>
      <c r="B25" s="43"/>
      <c r="C25" s="43"/>
      <c r="D25" s="43"/>
      <c r="E25" s="43"/>
      <c r="F25" s="43"/>
      <c r="G25" s="43"/>
      <c r="H25" s="43"/>
      <c r="I25" s="43"/>
      <c r="J25" s="43"/>
      <c r="K25" s="43"/>
      <c r="L25" s="43"/>
      <c r="M25" s="86"/>
      <c r="N25" s="40"/>
      <c r="O25" s="40"/>
      <c r="P25" s="40"/>
      <c r="Q25" s="39"/>
      <c r="R25" s="1051"/>
      <c r="S25" s="1051"/>
      <c r="T25" s="1051"/>
      <c r="U25" s="47"/>
      <c r="AR25" s="44"/>
      <c r="AS25" s="44"/>
      <c r="AT25" s="44"/>
      <c r="AU25" s="44"/>
      <c r="AV25" s="44"/>
      <c r="AW25" s="38">
        <v>0</v>
      </c>
    </row>
    <row r="26" s="38" customFormat="1" hidden="1" customHeight="1" spans="1:49">
      <c r="A26" s="43"/>
      <c r="B26" s="43"/>
      <c r="C26" s="43"/>
      <c r="D26" s="43"/>
      <c r="E26" s="43"/>
      <c r="F26" s="43"/>
      <c r="G26" s="43"/>
      <c r="H26" s="43"/>
      <c r="I26" s="43"/>
      <c r="J26" s="43"/>
      <c r="K26" s="43"/>
      <c r="L26" s="43"/>
      <c r="M26" s="86"/>
      <c r="N26" s="40"/>
      <c r="O26" s="40"/>
      <c r="P26" s="536" t="s">
        <v>414</v>
      </c>
      <c r="Q26" s="39"/>
      <c r="R26" s="1051"/>
      <c r="S26" s="1051"/>
      <c r="T26" s="1051"/>
      <c r="U26" s="47"/>
      <c r="V26" s="38" t="s">
        <v>415</v>
      </c>
      <c r="AD26" s="45" t="s">
        <v>416</v>
      </c>
      <c r="AF26" s="45" t="s">
        <v>417</v>
      </c>
      <c r="AG26" s="38" t="s">
        <v>415</v>
      </c>
      <c r="AM26" s="45" t="s">
        <v>418</v>
      </c>
      <c r="AO26" s="45" t="s">
        <v>417</v>
      </c>
      <c r="AR26" s="44"/>
      <c r="AS26" s="44"/>
      <c r="AT26" s="44"/>
      <c r="AU26" s="44"/>
      <c r="AV26" s="44"/>
      <c r="AW26" s="38">
        <v>0</v>
      </c>
    </row>
    <row r="27" hidden="1" customHeight="1" spans="16:49">
      <c r="P27" s="536"/>
      <c r="AW27" s="43">
        <v>0</v>
      </c>
    </row>
    <row r="28" hidden="1" customHeight="1" spans="16:49">
      <c r="P28" s="536"/>
      <c r="AW28" s="43">
        <v>0</v>
      </c>
    </row>
    <row r="29" ht="14.7" customHeight="1" spans="18:49">
      <c r="R29" s="51"/>
      <c r="S29" s="51"/>
      <c r="T29" s="51"/>
      <c r="U29" s="52"/>
      <c r="V29" s="53"/>
      <c r="W29" s="53"/>
      <c r="AW29" s="43">
        <v>14</v>
      </c>
    </row>
    <row r="30" ht="56.7" customHeight="1" spans="18:49">
      <c r="R30" s="51"/>
      <c r="S30" s="51"/>
      <c r="T30" s="51"/>
      <c r="U30" s="7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755"/>
      <c r="W30" s="755"/>
      <c r="X30" s="755"/>
      <c r="Y30" s="755"/>
      <c r="Z30" s="755"/>
      <c r="AA30" s="755"/>
      <c r="AB30" s="755"/>
      <c r="AC30" s="755"/>
      <c r="AD30" s="755"/>
      <c r="AE30" s="755"/>
      <c r="AF30" s="755"/>
      <c r="AG30" s="755"/>
      <c r="AH30" s="755"/>
      <c r="AI30" s="755"/>
      <c r="AJ30" s="755"/>
      <c r="AK30" s="755"/>
      <c r="AL30" s="755"/>
      <c r="AM30" s="755"/>
      <c r="AN30" s="755"/>
      <c r="AO30" s="121"/>
      <c r="AW30" s="43">
        <v>54</v>
      </c>
    </row>
    <row r="31" ht="14.7" customHeight="1" spans="18:49">
      <c r="R31" s="51"/>
      <c r="S31" s="51"/>
      <c r="T31" s="51"/>
      <c r="U31" s="660" t="str">
        <f>IF(org=0,"Не определено",org)</f>
        <v>АО "Теплокоммунэнерго"</v>
      </c>
      <c r="V31" s="660"/>
      <c r="W31" s="660"/>
      <c r="X31" s="660"/>
      <c r="Y31" s="660"/>
      <c r="Z31" s="660"/>
      <c r="AA31" s="660"/>
      <c r="AB31" s="660"/>
      <c r="AC31" s="660"/>
      <c r="AD31" s="660"/>
      <c r="AE31" s="660"/>
      <c r="AF31" s="660"/>
      <c r="AG31" s="660"/>
      <c r="AH31" s="660"/>
      <c r="AI31" s="660"/>
      <c r="AJ31" s="660"/>
      <c r="AK31" s="660"/>
      <c r="AL31" s="660"/>
      <c r="AM31" s="660"/>
      <c r="AN31" s="660"/>
      <c r="AO31" s="121"/>
      <c r="AW31" s="43">
        <v>14</v>
      </c>
    </row>
    <row r="32" hidden="1" customHeight="1" spans="18:49">
      <c r="R32" s="51"/>
      <c r="S32" s="51"/>
      <c r="T32" s="51"/>
      <c r="U32" s="52"/>
      <c r="V32" s="53"/>
      <c r="W32" s="53"/>
      <c r="X32" s="56"/>
      <c r="Y32" s="56"/>
      <c r="Z32" s="56"/>
      <c r="AA32" s="56"/>
      <c r="AB32" s="56"/>
      <c r="AC32" s="56"/>
      <c r="AD32" s="56"/>
      <c r="AE32" s="56"/>
      <c r="AF32" s="56"/>
      <c r="AG32" s="56"/>
      <c r="AH32" s="56"/>
      <c r="AI32" s="56"/>
      <c r="AJ32" s="56"/>
      <c r="AK32" s="56"/>
      <c r="AL32" s="56"/>
      <c r="AM32" s="56"/>
      <c r="AN32" s="56"/>
      <c r="AO32" s="56"/>
      <c r="AW32" s="43">
        <v>0</v>
      </c>
    </row>
    <row r="33" s="36" customFormat="1" ht="25.5" hidden="1" customHeight="1" spans="1:49">
      <c r="A33" s="503"/>
      <c r="B33" s="503"/>
      <c r="C33" s="503"/>
      <c r="D33" s="503"/>
      <c r="E33" s="503"/>
      <c r="F33" s="503"/>
      <c r="G33" s="503"/>
      <c r="H33" s="503"/>
      <c r="I33" s="503"/>
      <c r="J33" s="503"/>
      <c r="K33" s="503"/>
      <c r="L33" s="503"/>
      <c r="M33" s="536"/>
      <c r="N33" s="503"/>
      <c r="O33" s="503"/>
      <c r="P33" s="503"/>
      <c r="U33"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58"/>
      <c r="W33" s="1088"/>
      <c r="X33" s="60" t="str">
        <f>IF(TITLE_NAME_OR_PR_CHANGE="",IF(TITLE_NAME_OR_PR="","",TITLE_NAME_OR_PR),TITLE_NAME_OR_PR_CHANGE)</f>
        <v/>
      </c>
      <c r="Y33" s="60"/>
      <c r="Z33" s="60"/>
      <c r="AA33" s="60"/>
      <c r="AB33" s="60"/>
      <c r="AC33" s="60"/>
      <c r="AD33" s="60"/>
      <c r="AE33" s="60"/>
      <c r="AF33" s="43"/>
      <c r="AG33" s="60" t="str">
        <f>IF(TITLE_NAME_OR_PR_CHANGE="",IF(TITLE_NAME_OR_PR="","",TITLE_NAME_OR_PR),TITLE_NAME_OR_PR_CHANGE)</f>
        <v/>
      </c>
      <c r="AH33" s="60"/>
      <c r="AI33" s="60"/>
      <c r="AJ33" s="60"/>
      <c r="AK33" s="60"/>
      <c r="AL33" s="60"/>
      <c r="AM33" s="60"/>
      <c r="AN33" s="60"/>
      <c r="AO33" s="43"/>
      <c r="AP33" s="43"/>
      <c r="AQ33" s="122"/>
      <c r="AR33" s="151"/>
      <c r="AS33" s="151"/>
      <c r="AT33" s="151"/>
      <c r="AU33" s="151"/>
      <c r="AV33" s="151"/>
      <c r="AW33" s="36">
        <v>0</v>
      </c>
    </row>
    <row r="34" s="36" customFormat="1" ht="18.75" hidden="1" customHeight="1" spans="1:49">
      <c r="A34" s="503"/>
      <c r="B34" s="503"/>
      <c r="C34" s="503"/>
      <c r="D34" s="503"/>
      <c r="E34" s="503"/>
      <c r="F34" s="503"/>
      <c r="G34" s="503"/>
      <c r="H34" s="503"/>
      <c r="I34" s="503"/>
      <c r="J34" s="503"/>
      <c r="K34" s="503"/>
      <c r="L34" s="503"/>
      <c r="M34" s="536"/>
      <c r="N34" s="503"/>
      <c r="O34" s="503"/>
      <c r="P34" s="503"/>
      <c r="U34" s="58" t="str">
        <f>"Дата документа об "&amp;IF(TITLE_DATE_PR_CHANGE="","утверждении","изменении")&amp;" тарифов"</f>
        <v>Дата документа об утверждении тарифов</v>
      </c>
      <c r="V34" s="58"/>
      <c r="W34" s="1088"/>
      <c r="X34" s="793" t="str">
        <f>IF(TITLE_DATE_PR_CHANGE="",IF(TITLE_DATE_PR="","",TITLE_DATE_PR),TITLE_DATE_PR_CHANGE)</f>
        <v/>
      </c>
      <c r="Y34" s="793"/>
      <c r="Z34" s="793"/>
      <c r="AA34" s="793"/>
      <c r="AB34" s="793"/>
      <c r="AC34" s="793"/>
      <c r="AD34" s="793"/>
      <c r="AE34" s="793"/>
      <c r="AF34" s="43"/>
      <c r="AG34" s="793" t="str">
        <f>IF(TITLE_DATE_PR_CHANGE="",IF(TITLE_DATE_PR="","",TITLE_DATE_PR),TITLE_DATE_PR_CHANGE)</f>
        <v/>
      </c>
      <c r="AH34" s="793"/>
      <c r="AI34" s="793"/>
      <c r="AJ34" s="793"/>
      <c r="AK34" s="793"/>
      <c r="AL34" s="793"/>
      <c r="AM34" s="793"/>
      <c r="AN34" s="793"/>
      <c r="AO34" s="43"/>
      <c r="AP34" s="43"/>
      <c r="AQ34" s="122"/>
      <c r="AR34" s="151"/>
      <c r="AS34" s="151"/>
      <c r="AT34" s="151"/>
      <c r="AU34" s="151"/>
      <c r="AV34" s="151"/>
      <c r="AW34" s="36">
        <v>0</v>
      </c>
    </row>
    <row r="35" s="36" customFormat="1" ht="18.75" hidden="1" customHeight="1" spans="1:49">
      <c r="A35" s="503"/>
      <c r="B35" s="503"/>
      <c r="C35" s="503"/>
      <c r="D35" s="503"/>
      <c r="E35" s="503"/>
      <c r="F35" s="503"/>
      <c r="G35" s="503"/>
      <c r="H35" s="503"/>
      <c r="I35" s="503"/>
      <c r="J35" s="503"/>
      <c r="K35" s="503"/>
      <c r="L35" s="503"/>
      <c r="M35" s="536"/>
      <c r="N35" s="503"/>
      <c r="O35" s="503"/>
      <c r="P35" s="503"/>
      <c r="U35" s="58" t="str">
        <f>"Номер документа об "&amp;IF(TITLE_DATE_PR_CHANGE="","утверждении","изменении")&amp;" тарифов"</f>
        <v>Номер документа об утверждении тарифов</v>
      </c>
      <c r="V35" s="58"/>
      <c r="W35" s="1088"/>
      <c r="X35" s="60" t="str">
        <f>IF(TITLE_NUMBER_PR_CHANGE="",IF(TITLE_NUMBER_PR="","",TITLE_NUMBER_PR),TITLE_NUMBER_PR_CHANGE)</f>
        <v/>
      </c>
      <c r="Y35" s="60"/>
      <c r="Z35" s="60"/>
      <c r="AA35" s="60"/>
      <c r="AB35" s="60"/>
      <c r="AC35" s="60"/>
      <c r="AD35" s="60"/>
      <c r="AE35" s="60"/>
      <c r="AF35" s="43"/>
      <c r="AG35" s="60" t="str">
        <f>IF(TITLE_NUMBER_PR_CHANGE="",IF(TITLE_NUMBER_PR="","",TITLE_NUMBER_PR),TITLE_NUMBER_PR_CHANGE)</f>
        <v/>
      </c>
      <c r="AH35" s="60"/>
      <c r="AI35" s="60"/>
      <c r="AJ35" s="60"/>
      <c r="AK35" s="60"/>
      <c r="AL35" s="60"/>
      <c r="AM35" s="60"/>
      <c r="AN35" s="60"/>
      <c r="AO35" s="43"/>
      <c r="AP35" s="43"/>
      <c r="AQ35" s="122"/>
      <c r="AR35" s="151"/>
      <c r="AS35" s="151"/>
      <c r="AT35" s="151"/>
      <c r="AU35" s="151"/>
      <c r="AV35" s="151"/>
      <c r="AW35" s="36">
        <v>0</v>
      </c>
    </row>
    <row r="36" s="36" customFormat="1" ht="18.75" hidden="1" customHeight="1" spans="1:49">
      <c r="A36" s="503"/>
      <c r="B36" s="503"/>
      <c r="C36" s="503"/>
      <c r="D36" s="503"/>
      <c r="E36" s="503"/>
      <c r="F36" s="503"/>
      <c r="G36" s="503"/>
      <c r="H36" s="503"/>
      <c r="I36" s="503"/>
      <c r="J36" s="503"/>
      <c r="K36" s="503"/>
      <c r="L36" s="503"/>
      <c r="M36" s="536"/>
      <c r="N36" s="503"/>
      <c r="O36" s="503"/>
      <c r="P36" s="503"/>
      <c r="U36" s="58" t="s">
        <v>43</v>
      </c>
      <c r="V36" s="58"/>
      <c r="W36" s="1088"/>
      <c r="X36" s="60" t="str">
        <f>IF(TITLE_IST_PUB_CHANGE="",IF(TITLE_IST_PUB="","",TITLE_IST_PUB),TITLE_IST_PUB_CHANGE)</f>
        <v/>
      </c>
      <c r="Y36" s="60"/>
      <c r="Z36" s="60"/>
      <c r="AA36" s="60"/>
      <c r="AB36" s="60"/>
      <c r="AC36" s="60"/>
      <c r="AD36" s="60"/>
      <c r="AE36" s="60"/>
      <c r="AF36" s="43"/>
      <c r="AG36" s="60" t="str">
        <f>IF(TITLE_IST_PUB_CHANGE="",IF(TITLE_IST_PUB="","",TITLE_IST_PUB),TITLE_IST_PUB_CHANGE)</f>
        <v/>
      </c>
      <c r="AH36" s="60"/>
      <c r="AI36" s="60"/>
      <c r="AJ36" s="60"/>
      <c r="AK36" s="60"/>
      <c r="AL36" s="60"/>
      <c r="AM36" s="60"/>
      <c r="AN36" s="60"/>
      <c r="AO36" s="43"/>
      <c r="AP36" s="43"/>
      <c r="AQ36" s="122"/>
      <c r="AR36" s="151"/>
      <c r="AS36" s="151"/>
      <c r="AT36" s="151"/>
      <c r="AU36" s="151"/>
      <c r="AV36" s="151"/>
      <c r="AW36" s="36">
        <v>0</v>
      </c>
    </row>
    <row r="37" hidden="1" customHeight="1" spans="18:49">
      <c r="R37" s="51"/>
      <c r="S37" s="51"/>
      <c r="T37" s="51"/>
      <c r="U37" s="52"/>
      <c r="V37" s="53"/>
      <c r="W37" s="53"/>
      <c r="X37" s="56"/>
      <c r="Y37" s="56"/>
      <c r="Z37" s="56"/>
      <c r="AA37" s="56"/>
      <c r="AB37" s="56"/>
      <c r="AC37" s="56"/>
      <c r="AD37" s="56"/>
      <c r="AE37" s="56"/>
      <c r="AF37" s="56"/>
      <c r="AG37" s="56"/>
      <c r="AH37" s="56"/>
      <c r="AI37" s="56"/>
      <c r="AJ37" s="56"/>
      <c r="AK37" s="56"/>
      <c r="AL37" s="56"/>
      <c r="AM37" s="56"/>
      <c r="AN37" s="56"/>
      <c r="AO37" s="56"/>
      <c r="AW37" s="43">
        <v>0</v>
      </c>
    </row>
    <row r="38" s="36" customFormat="1" ht="18.75" hidden="1" customHeight="1" spans="1:49">
      <c r="A38" s="503"/>
      <c r="B38" s="503"/>
      <c r="C38" s="503"/>
      <c r="D38" s="503"/>
      <c r="E38" s="503"/>
      <c r="F38" s="503"/>
      <c r="G38" s="503"/>
      <c r="H38" s="503"/>
      <c r="I38" s="503"/>
      <c r="J38" s="503"/>
      <c r="K38" s="503"/>
      <c r="L38" s="503"/>
      <c r="M38" s="536"/>
      <c r="N38" s="503"/>
      <c r="O38" s="503"/>
      <c r="P38" s="503"/>
      <c r="U38" s="58" t="str">
        <f>"Дата подачи заявления об "&amp;IF(TITLE_DATE_PR_CHANGE="","утверждении","изменении")&amp;" тарифов"</f>
        <v>Дата подачи заявления об утверждении тарифов</v>
      </c>
      <c r="V38" s="58"/>
      <c r="W38" s="1088"/>
      <c r="X38" s="793" t="str">
        <f>IF(TITLE_DATE_PR_CHANGE="",IF(TITLE_DATE_PR="","",TITLE_DATE_PR),TITLE_DATE_PR_CHANGE)</f>
        <v/>
      </c>
      <c r="Y38" s="793"/>
      <c r="Z38" s="793"/>
      <c r="AA38" s="793"/>
      <c r="AB38" s="793"/>
      <c r="AC38" s="793"/>
      <c r="AD38" s="793"/>
      <c r="AE38" s="793"/>
      <c r="AF38" s="43"/>
      <c r="AG38" s="793" t="str">
        <f>IF(TITLE_DATE_PR_CHANGE="",IF(TITLE_DATE_PR="","",TITLE_DATE_PR),TITLE_DATE_PR_CHANGE)</f>
        <v/>
      </c>
      <c r="AH38" s="793"/>
      <c r="AI38" s="793"/>
      <c r="AJ38" s="793"/>
      <c r="AK38" s="793"/>
      <c r="AL38" s="793"/>
      <c r="AM38" s="793"/>
      <c r="AN38" s="793"/>
      <c r="AO38" s="43"/>
      <c r="AP38" s="43"/>
      <c r="AQ38" s="122"/>
      <c r="AR38" s="151"/>
      <c r="AS38" s="151"/>
      <c r="AT38" s="151"/>
      <c r="AU38" s="151"/>
      <c r="AV38" s="151"/>
      <c r="AW38" s="36">
        <v>0</v>
      </c>
    </row>
    <row r="39" s="36" customFormat="1" ht="18.75" hidden="1" customHeight="1" spans="1:49">
      <c r="A39" s="503"/>
      <c r="B39" s="503"/>
      <c r="C39" s="503"/>
      <c r="D39" s="503"/>
      <c r="E39" s="503"/>
      <c r="F39" s="503"/>
      <c r="G39" s="503"/>
      <c r="H39" s="503"/>
      <c r="I39" s="503"/>
      <c r="J39" s="503"/>
      <c r="K39" s="503"/>
      <c r="L39" s="503"/>
      <c r="M39" s="536"/>
      <c r="N39" s="503"/>
      <c r="O39" s="503"/>
      <c r="P39" s="503"/>
      <c r="U39" s="58" t="str">
        <f>"Номер подачи заявления об "&amp;IF(TITLE_DATE_PR_CHANGE="","утверждении","изменении")&amp;" тарифов"</f>
        <v>Номер подачи заявления об утверждении тарифов</v>
      </c>
      <c r="V39" s="58"/>
      <c r="W39" s="1088"/>
      <c r="X39" s="60" t="str">
        <f>IF(TITLE_NUMBER_PR_CHANGE="",IF(TITLE_NUMBER_PR="","",TITLE_NUMBER_PR),TITLE_NUMBER_PR_CHANGE)</f>
        <v/>
      </c>
      <c r="Y39" s="60"/>
      <c r="Z39" s="60"/>
      <c r="AA39" s="60"/>
      <c r="AB39" s="60"/>
      <c r="AC39" s="60"/>
      <c r="AD39" s="60"/>
      <c r="AE39" s="60"/>
      <c r="AF39" s="43"/>
      <c r="AG39" s="60" t="str">
        <f>IF(TITLE_NUMBER_PR_CHANGE="",IF(TITLE_NUMBER_PR="","",TITLE_NUMBER_PR),TITLE_NUMBER_PR_CHANGE)</f>
        <v/>
      </c>
      <c r="AH39" s="60"/>
      <c r="AI39" s="60"/>
      <c r="AJ39" s="60"/>
      <c r="AK39" s="60"/>
      <c r="AL39" s="60"/>
      <c r="AM39" s="60"/>
      <c r="AN39" s="60"/>
      <c r="AO39" s="43"/>
      <c r="AP39" s="43"/>
      <c r="AQ39" s="122"/>
      <c r="AR39" s="151"/>
      <c r="AS39" s="151"/>
      <c r="AT39" s="151"/>
      <c r="AU39" s="151"/>
      <c r="AV39" s="151"/>
      <c r="AW39" s="36">
        <v>0</v>
      </c>
    </row>
    <row r="40" s="36" customFormat="1" hidden="1" customHeight="1" spans="1:49">
      <c r="A40" s="503"/>
      <c r="B40" s="503"/>
      <c r="C40" s="503"/>
      <c r="D40" s="503"/>
      <c r="E40" s="503"/>
      <c r="F40" s="503"/>
      <c r="G40" s="503"/>
      <c r="H40" s="503"/>
      <c r="I40" s="503"/>
      <c r="J40" s="503"/>
      <c r="K40" s="503"/>
      <c r="L40" s="503"/>
      <c r="M40" s="536"/>
      <c r="N40" s="503"/>
      <c r="O40" s="503"/>
      <c r="P40" s="503"/>
      <c r="U40" s="43"/>
      <c r="V40" s="43"/>
      <c r="W40" s="61"/>
      <c r="X40" s="43"/>
      <c r="Y40" s="43"/>
      <c r="Z40" s="43"/>
      <c r="AA40" s="43"/>
      <c r="AB40" s="43"/>
      <c r="AC40" s="43"/>
      <c r="AD40" s="43"/>
      <c r="AE40" s="43"/>
      <c r="AF40" s="44" t="s">
        <v>419</v>
      </c>
      <c r="AG40" s="43"/>
      <c r="AH40" s="43"/>
      <c r="AI40" s="43"/>
      <c r="AJ40" s="43"/>
      <c r="AK40" s="43"/>
      <c r="AL40" s="43"/>
      <c r="AM40" s="43"/>
      <c r="AN40" s="43"/>
      <c r="AO40" s="44" t="s">
        <v>419</v>
      </c>
      <c r="AR40" s="151"/>
      <c r="AS40" s="151"/>
      <c r="AT40" s="151"/>
      <c r="AU40" s="151"/>
      <c r="AV40" s="151"/>
      <c r="AW40" s="36">
        <v>0</v>
      </c>
    </row>
    <row r="41" ht="14.7" customHeight="1" spans="18:49">
      <c r="R41" s="51"/>
      <c r="S41" s="51"/>
      <c r="T41" s="51"/>
      <c r="U41" s="52"/>
      <c r="V41" s="53"/>
      <c r="W41" s="62"/>
      <c r="X41" s="63"/>
      <c r="Y41" s="63"/>
      <c r="Z41" s="63"/>
      <c r="AA41" s="63"/>
      <c r="AB41" s="63"/>
      <c r="AC41" s="63"/>
      <c r="AD41" s="63"/>
      <c r="AE41" s="63"/>
      <c r="AF41" s="63"/>
      <c r="AG41" s="63"/>
      <c r="AH41" s="63"/>
      <c r="AI41" s="63"/>
      <c r="AJ41" s="63"/>
      <c r="AK41" s="63"/>
      <c r="AL41" s="63"/>
      <c r="AM41" s="63"/>
      <c r="AN41" s="63"/>
      <c r="AO41" s="63"/>
      <c r="AW41" s="43">
        <v>14</v>
      </c>
    </row>
    <row r="42" ht="14.7" customHeight="1" spans="18:49">
      <c r="R42" s="51"/>
      <c r="S42" s="51"/>
      <c r="T42" s="51"/>
      <c r="U42" s="64" t="s">
        <v>296</v>
      </c>
      <c r="V42" s="64"/>
      <c r="W42" s="64"/>
      <c r="X42" s="64"/>
      <c r="Y42" s="64"/>
      <c r="Z42" s="64"/>
      <c r="AA42" s="64"/>
      <c r="AB42" s="64"/>
      <c r="AC42" s="64"/>
      <c r="AD42" s="64"/>
      <c r="AE42" s="64"/>
      <c r="AF42" s="64"/>
      <c r="AG42" s="64"/>
      <c r="AH42" s="64"/>
      <c r="AI42" s="64"/>
      <c r="AJ42" s="64"/>
      <c r="AK42" s="64"/>
      <c r="AL42" s="64"/>
      <c r="AM42" s="64"/>
      <c r="AN42" s="64"/>
      <c r="AO42" s="64"/>
      <c r="AP42" s="64"/>
      <c r="AQ42" s="64" t="s">
        <v>297</v>
      </c>
      <c r="AW42" s="43">
        <v>14</v>
      </c>
    </row>
    <row r="43" ht="14.7" customHeight="1" spans="18:49">
      <c r="R43" s="51"/>
      <c r="S43" s="51"/>
      <c r="T43" s="51"/>
      <c r="U43" s="65" t="s">
        <v>89</v>
      </c>
      <c r="V43" s="66" t="s">
        <v>420</v>
      </c>
      <c r="W43" s="67"/>
      <c r="X43" s="68" t="s">
        <v>421</v>
      </c>
      <c r="Y43" s="1099"/>
      <c r="Z43" s="1099"/>
      <c r="AA43" s="1099"/>
      <c r="AB43" s="1099"/>
      <c r="AC43" s="69"/>
      <c r="AD43" s="69"/>
      <c r="AE43" s="123"/>
      <c r="AF43" s="124" t="s">
        <v>422</v>
      </c>
      <c r="AG43" s="68" t="s">
        <v>421</v>
      </c>
      <c r="AH43" s="1099"/>
      <c r="AI43" s="1099"/>
      <c r="AJ43" s="1099"/>
      <c r="AK43" s="1099"/>
      <c r="AL43" s="69"/>
      <c r="AM43" s="69"/>
      <c r="AN43" s="123"/>
      <c r="AO43" s="124" t="s">
        <v>423</v>
      </c>
      <c r="AP43" s="125" t="s">
        <v>424</v>
      </c>
      <c r="AQ43" s="64"/>
      <c r="AW43" s="43">
        <v>14</v>
      </c>
    </row>
    <row r="44" ht="35.7" customHeight="1" spans="18:49">
      <c r="R44" s="51"/>
      <c r="S44" s="51"/>
      <c r="T44" s="51"/>
      <c r="U44" s="65"/>
      <c r="V44" s="66"/>
      <c r="W44" s="70"/>
      <c r="X44" s="903" t="s">
        <v>447</v>
      </c>
      <c r="Y44" s="64" t="s">
        <v>448</v>
      </c>
      <c r="Z44" s="64"/>
      <c r="AA44" s="64"/>
      <c r="AB44" s="64"/>
      <c r="AC44" s="903" t="s">
        <v>428</v>
      </c>
      <c r="AD44" s="1100"/>
      <c r="AE44" s="904"/>
      <c r="AF44" s="129"/>
      <c r="AG44" s="903" t="s">
        <v>447</v>
      </c>
      <c r="AH44" s="64" t="s">
        <v>448</v>
      </c>
      <c r="AI44" s="64"/>
      <c r="AJ44" s="64"/>
      <c r="AK44" s="64"/>
      <c r="AL44" s="903" t="s">
        <v>428</v>
      </c>
      <c r="AM44" s="1100"/>
      <c r="AN44" s="904"/>
      <c r="AO44" s="129"/>
      <c r="AP44" s="130"/>
      <c r="AQ44" s="64"/>
      <c r="AW44" s="43">
        <v>34</v>
      </c>
    </row>
    <row r="45" ht="14.7" customHeight="1" spans="18:49">
      <c r="R45" s="51"/>
      <c r="S45" s="51"/>
      <c r="T45" s="51"/>
      <c r="U45" s="65"/>
      <c r="V45" s="66"/>
      <c r="W45" s="70"/>
      <c r="X45" s="905"/>
      <c r="Y45" s="469" t="s">
        <v>449</v>
      </c>
      <c r="Z45" s="132" t="s">
        <v>450</v>
      </c>
      <c r="AA45" s="1157"/>
      <c r="AB45" s="133"/>
      <c r="AC45" s="907"/>
      <c r="AD45" s="1103"/>
      <c r="AE45" s="908"/>
      <c r="AF45" s="129"/>
      <c r="AG45" s="905"/>
      <c r="AH45" s="469" t="s">
        <v>449</v>
      </c>
      <c r="AI45" s="132" t="s">
        <v>450</v>
      </c>
      <c r="AJ45" s="1157"/>
      <c r="AK45" s="133"/>
      <c r="AL45" s="907"/>
      <c r="AM45" s="1103"/>
      <c r="AN45" s="908"/>
      <c r="AO45" s="129"/>
      <c r="AP45" s="130"/>
      <c r="AQ45" s="64"/>
      <c r="AW45" s="43">
        <v>14</v>
      </c>
    </row>
    <row r="46" ht="27.3" customHeight="1" spans="18:49">
      <c r="R46" s="51"/>
      <c r="S46" s="51"/>
      <c r="T46" s="51"/>
      <c r="U46" s="65"/>
      <c r="V46" s="66"/>
      <c r="W46" s="70"/>
      <c r="X46" s="905"/>
      <c r="Y46" s="805"/>
      <c r="Z46" s="469" t="s">
        <v>451</v>
      </c>
      <c r="AA46" s="132" t="s">
        <v>452</v>
      </c>
      <c r="AB46" s="133"/>
      <c r="AC46" s="469" t="s">
        <v>438</v>
      </c>
      <c r="AD46" s="1175" t="s">
        <v>439</v>
      </c>
      <c r="AE46" s="1176"/>
      <c r="AF46" s="129"/>
      <c r="AG46" s="905"/>
      <c r="AH46" s="805"/>
      <c r="AI46" s="469" t="s">
        <v>451</v>
      </c>
      <c r="AJ46" s="132" t="s">
        <v>452</v>
      </c>
      <c r="AK46" s="133"/>
      <c r="AL46" s="469" t="s">
        <v>438</v>
      </c>
      <c r="AM46" s="1175" t="s">
        <v>439</v>
      </c>
      <c r="AN46" s="1176"/>
      <c r="AO46" s="129"/>
      <c r="AP46" s="130"/>
      <c r="AQ46" s="64"/>
      <c r="AW46" s="43">
        <v>26</v>
      </c>
    </row>
    <row r="47" ht="65.25" customHeight="1" spans="1:49">
      <c r="A47" s="503"/>
      <c r="B47" s="503" t="s">
        <v>133</v>
      </c>
      <c r="C47" s="503" t="s">
        <v>134</v>
      </c>
      <c r="D47" s="503" t="s">
        <v>135</v>
      </c>
      <c r="E47" s="536" t="s">
        <v>429</v>
      </c>
      <c r="F47" s="536" t="s">
        <v>430</v>
      </c>
      <c r="G47" s="536" t="s">
        <v>431</v>
      </c>
      <c r="H47" s="536" t="s">
        <v>432</v>
      </c>
      <c r="I47" s="536" t="s">
        <v>433</v>
      </c>
      <c r="J47" s="536" t="s">
        <v>434</v>
      </c>
      <c r="K47" s="536" t="s">
        <v>435</v>
      </c>
      <c r="L47" s="536" t="s">
        <v>453</v>
      </c>
      <c r="M47" s="536" t="s">
        <v>414</v>
      </c>
      <c r="R47" s="51"/>
      <c r="S47" s="51"/>
      <c r="T47" s="51"/>
      <c r="U47" s="65"/>
      <c r="V47" s="66"/>
      <c r="W47" s="72"/>
      <c r="X47" s="907"/>
      <c r="Y47" s="294"/>
      <c r="Z47" s="294"/>
      <c r="AA47" s="131" t="s">
        <v>454</v>
      </c>
      <c r="AB47" s="131" t="s">
        <v>455</v>
      </c>
      <c r="AC47" s="294"/>
      <c r="AD47" s="1177"/>
      <c r="AE47" s="1178"/>
      <c r="AF47" s="134"/>
      <c r="AG47" s="907"/>
      <c r="AH47" s="294"/>
      <c r="AI47" s="294"/>
      <c r="AJ47" s="131" t="s">
        <v>454</v>
      </c>
      <c r="AK47" s="131" t="s">
        <v>455</v>
      </c>
      <c r="AL47" s="294"/>
      <c r="AM47" s="1177"/>
      <c r="AN47" s="1178"/>
      <c r="AO47" s="134"/>
      <c r="AP47" s="135"/>
      <c r="AQ47" s="64"/>
      <c r="AW47" s="43">
        <v>62</v>
      </c>
    </row>
    <row r="48" s="37" customFormat="1" ht="11.25" hidden="1" customHeight="1" spans="1:49">
      <c r="A48" s="503"/>
      <c r="B48" s="503"/>
      <c r="C48" s="503"/>
      <c r="D48" s="503"/>
      <c r="E48" s="503"/>
      <c r="F48" s="503"/>
      <c r="G48" s="503"/>
      <c r="H48" s="503"/>
      <c r="I48" s="503"/>
      <c r="J48" s="503"/>
      <c r="K48" s="503"/>
      <c r="L48" s="503"/>
      <c r="M48" s="536"/>
      <c r="N48" s="40"/>
      <c r="O48" s="40"/>
      <c r="P48" s="40"/>
      <c r="Q48" s="74"/>
      <c r="R48" s="75"/>
      <c r="S48" s="76">
        <v>1</v>
      </c>
      <c r="T48" s="76"/>
      <c r="U48" s="77" t="s">
        <v>107</v>
      </c>
      <c r="V48" s="78" t="s">
        <v>108</v>
      </c>
      <c r="W48" s="79" t="str">
        <f ca="1">OFFSET(W48,0,-1)</f>
        <v>2</v>
      </c>
      <c r="X48" s="80">
        <f ca="1">OFFSET(X48,0,-1)+1</f>
        <v>3</v>
      </c>
      <c r="Y48" s="1142"/>
      <c r="Z48" s="1142"/>
      <c r="AA48" s="1142">
        <f ca="1">OFFSET(AA48,0,-1)+1</f>
        <v>1</v>
      </c>
      <c r="AB48" s="1142">
        <f ca="1">OFFSET(AB48,0,-1)+1</f>
        <v>2</v>
      </c>
      <c r="AC48" s="80">
        <f ca="1">OFFSET(AC48,0,-1)+1</f>
        <v>3</v>
      </c>
      <c r="AD48" s="80">
        <f ca="1">OFFSET(AD48,0,-1)+1</f>
        <v>4</v>
      </c>
      <c r="AE48" s="80"/>
      <c r="AF48" s="80">
        <f ca="1">OFFSET(AF48,0,-2)+1</f>
        <v>5</v>
      </c>
      <c r="AG48" s="80">
        <f ca="1">OFFSET(AG48,0,-1)+1</f>
        <v>6</v>
      </c>
      <c r="AH48" s="80"/>
      <c r="AI48" s="80"/>
      <c r="AJ48" s="80">
        <f ca="1">OFFSET(AJ48,0,-1)+1</f>
        <v>1</v>
      </c>
      <c r="AK48" s="80">
        <f ca="1">OFFSET(AK48,0,-1)+1</f>
        <v>2</v>
      </c>
      <c r="AL48" s="80">
        <f ca="1">OFFSET(AL48,0,-1)+1</f>
        <v>3</v>
      </c>
      <c r="AM48" s="80">
        <f ca="1">OFFSET(AM48,0,-1)+1</f>
        <v>4</v>
      </c>
      <c r="AN48" s="80"/>
      <c r="AO48" s="80">
        <f ca="1">OFFSET(AO48,0,-2)+1</f>
        <v>5</v>
      </c>
      <c r="AP48" s="79">
        <f ca="1">OFFSET(AP48,0,-1)</f>
        <v>5</v>
      </c>
      <c r="AQ48" s="80">
        <f ca="1">OFFSET(AQ48,0,-1)+1</f>
        <v>6</v>
      </c>
      <c r="AR48" s="44"/>
      <c r="AS48" s="44"/>
      <c r="AT48" s="44"/>
      <c r="AU48" s="44"/>
      <c r="AV48" s="44"/>
      <c r="AW48" s="37">
        <v>0</v>
      </c>
    </row>
    <row r="49" ht="22.05" customHeight="1" spans="1:49">
      <c r="A49" s="502" t="s">
        <v>172</v>
      </c>
      <c r="B49" s="502"/>
      <c r="C49" s="502"/>
      <c r="D49" s="502"/>
      <c r="E49" s="1143">
        <v>1</v>
      </c>
      <c r="F49" s="502"/>
      <c r="G49" s="502"/>
      <c r="H49" s="502"/>
      <c r="I49" s="502"/>
      <c r="J49" s="502"/>
      <c r="K49" s="502"/>
      <c r="L49" s="502"/>
      <c r="M49" s="536"/>
      <c r="N49" s="42"/>
      <c r="O49" s="42"/>
      <c r="P49" s="42"/>
      <c r="R49" s="81"/>
      <c r="S49" s="81"/>
      <c r="T49" s="82"/>
      <c r="U49" s="65">
        <f>INDEX(PT_DIFFERENTIATION_NUM_NTAR,MATCH(A49,PT_DIFFERENTIATION_NTAR_ID,0))</f>
        <v>0</v>
      </c>
      <c r="V49" s="83" t="s">
        <v>121</v>
      </c>
      <c r="W49" s="84"/>
      <c r="X49" s="1090"/>
      <c r="Y49" s="1061"/>
      <c r="Z49" s="1061"/>
      <c r="AA49" s="1061"/>
      <c r="AB49" s="1061"/>
      <c r="AC49" s="1061"/>
      <c r="AD49" s="1061"/>
      <c r="AE49" s="1061"/>
      <c r="AF49" s="1089"/>
      <c r="AG49" s="1090" t="str">
        <f>INDEX(PT_DIFFERENTIATION_NTAR,MATCH(A49,PT_DIFFERENTIATION_NTAR_ID,0))</f>
        <v/>
      </c>
      <c r="AH49" s="1061"/>
      <c r="AI49" s="1061"/>
      <c r="AJ49" s="1061"/>
      <c r="AK49" s="1061"/>
      <c r="AL49" s="1061"/>
      <c r="AM49" s="1061"/>
      <c r="AN49" s="1061"/>
      <c r="AO49" s="1061"/>
      <c r="AP49" s="1089"/>
      <c r="AQ49" s="13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51"/>
      <c r="AT49" s="151" t="str">
        <f t="shared" ref="AT49:AT65" si="2">IF(V49="","",V49)</f>
        <v>Наименование тарифа</v>
      </c>
      <c r="AU49" s="151"/>
      <c r="AV49" s="151"/>
      <c r="AW49" s="43">
        <v>21</v>
      </c>
    </row>
    <row r="50" ht="22.05" customHeight="1" spans="1:49">
      <c r="A50" s="502" t="s">
        <v>172</v>
      </c>
      <c r="B50" s="502" t="s">
        <v>173</v>
      </c>
      <c r="C50" s="502"/>
      <c r="D50" s="502"/>
      <c r="E50" s="1144"/>
      <c r="F50" s="1143">
        <v>1</v>
      </c>
      <c r="G50" s="502"/>
      <c r="H50" s="502"/>
      <c r="I50" s="502"/>
      <c r="J50" s="502"/>
      <c r="K50" s="502"/>
      <c r="L50" s="502"/>
      <c r="M50" s="536"/>
      <c r="N50" s="42"/>
      <c r="O50" s="42"/>
      <c r="P50" s="42"/>
      <c r="Q50" s="86"/>
      <c r="R50" s="87"/>
      <c r="S50" s="43"/>
      <c r="T50" s="88"/>
      <c r="U50" s="65" t="str">
        <f>INDEX(PT_DIFFERENTIATION_NUM_TER,MATCH(B50,PT_DIFFERENTIATION_TER_ID,0))</f>
        <v>.</v>
      </c>
      <c r="V50" s="89" t="s">
        <v>393</v>
      </c>
      <c r="W50" s="84"/>
      <c r="X50" s="1090"/>
      <c r="Y50" s="1061"/>
      <c r="Z50" s="1061"/>
      <c r="AA50" s="1061"/>
      <c r="AB50" s="1061"/>
      <c r="AC50" s="1061"/>
      <c r="AD50" s="1061"/>
      <c r="AE50" s="1061"/>
      <c r="AF50" s="1089"/>
      <c r="AG50" s="1090" t="str">
        <f>INDEX(PT_DIFFERENTIATION_TER,MATCH(B50,PT_DIFFERENTIATION_TER_ID,0))</f>
        <v/>
      </c>
      <c r="AH50" s="1061"/>
      <c r="AI50" s="1061"/>
      <c r="AJ50" s="1061"/>
      <c r="AK50" s="1061"/>
      <c r="AL50" s="1061"/>
      <c r="AM50" s="1061"/>
      <c r="AN50" s="1061"/>
      <c r="AO50" s="1061"/>
      <c r="AP50" s="1089"/>
      <c r="AQ50" s="136" t="s">
        <v>394</v>
      </c>
      <c r="AS50" s="151"/>
      <c r="AT50" s="151" t="str">
        <f t="shared" si="2"/>
        <v>Территория действия тарифа</v>
      </c>
      <c r="AU50" s="151"/>
      <c r="AV50" s="151"/>
      <c r="AW50" s="43">
        <v>21</v>
      </c>
    </row>
    <row r="51" ht="24" customHeight="1" spans="1:49">
      <c r="A51" s="502" t="s">
        <v>172</v>
      </c>
      <c r="B51" s="502" t="s">
        <v>173</v>
      </c>
      <c r="C51" s="502" t="s">
        <v>174</v>
      </c>
      <c r="D51" s="502"/>
      <c r="E51" s="1144"/>
      <c r="F51" s="1144"/>
      <c r="G51" s="1143">
        <v>1</v>
      </c>
      <c r="H51" s="502"/>
      <c r="I51" s="502"/>
      <c r="J51" s="502"/>
      <c r="K51" s="502"/>
      <c r="L51" s="502"/>
      <c r="M51" s="536"/>
      <c r="N51" s="42"/>
      <c r="O51" s="42"/>
      <c r="P51" s="42"/>
      <c r="Q51" s="90"/>
      <c r="R51" s="87"/>
      <c r="S51" s="43"/>
      <c r="T51" s="88"/>
      <c r="U51" s="65" t="str">
        <f>INDEX(PT_DIFFERENTIATION_NUM_CS,MATCH(C51,PT_DIFFERENTIATION_CS_ID,0))</f>
        <v>..</v>
      </c>
      <c r="V51" s="91" t="s">
        <v>395</v>
      </c>
      <c r="W51" s="84"/>
      <c r="X51" s="1090"/>
      <c r="Y51" s="1061"/>
      <c r="Z51" s="1061"/>
      <c r="AA51" s="1061"/>
      <c r="AB51" s="1061"/>
      <c r="AC51" s="1061"/>
      <c r="AD51" s="1061"/>
      <c r="AE51" s="1061"/>
      <c r="AF51" s="1089"/>
      <c r="AG51" s="1090" t="str">
        <f>INDEX(PT_DIFFERENTIATION_CS,MATCH(C51,PT_DIFFERENTIATION_CS_ID,0))</f>
        <v/>
      </c>
      <c r="AH51" s="1061"/>
      <c r="AI51" s="1061"/>
      <c r="AJ51" s="1061"/>
      <c r="AK51" s="1061"/>
      <c r="AL51" s="1061"/>
      <c r="AM51" s="1061"/>
      <c r="AN51" s="1061"/>
      <c r="AO51" s="1061"/>
      <c r="AP51" s="1089"/>
      <c r="AQ51" s="136" t="s">
        <v>396</v>
      </c>
      <c r="AS51" s="151"/>
      <c r="AT51" s="151" t="str">
        <f t="shared" si="2"/>
        <v>Наименование системы теплоснабжения </v>
      </c>
      <c r="AU51" s="151"/>
      <c r="AV51" s="151"/>
      <c r="AW51" s="43">
        <v>23</v>
      </c>
    </row>
    <row r="52" ht="22.05" customHeight="1" spans="1:49">
      <c r="A52" s="502" t="s">
        <v>172</v>
      </c>
      <c r="B52" s="502" t="s">
        <v>173</v>
      </c>
      <c r="C52" s="502" t="s">
        <v>174</v>
      </c>
      <c r="D52" s="502" t="s">
        <v>175</v>
      </c>
      <c r="E52" s="1144"/>
      <c r="F52" s="1144"/>
      <c r="G52" s="1144"/>
      <c r="H52" s="1143">
        <v>1</v>
      </c>
      <c r="I52" s="502"/>
      <c r="J52" s="502"/>
      <c r="K52" s="502"/>
      <c r="L52" s="502"/>
      <c r="M52" s="536"/>
      <c r="N52" s="42"/>
      <c r="O52" s="42"/>
      <c r="P52" s="42"/>
      <c r="Q52" s="90"/>
      <c r="R52" s="87"/>
      <c r="S52" s="43"/>
      <c r="T52" s="88"/>
      <c r="U52" s="65" t="str">
        <f>INDEX(PT_DIFFERENTIATION_NUM_IST_TE,MATCH(D52,PT_DIFFERENTIATION_IST_TE_ID,0))</f>
        <v>...</v>
      </c>
      <c r="V52" s="92" t="s">
        <v>397</v>
      </c>
      <c r="W52" s="84"/>
      <c r="X52" s="1090"/>
      <c r="Y52" s="1061"/>
      <c r="Z52" s="1061"/>
      <c r="AA52" s="1061"/>
      <c r="AB52" s="1061"/>
      <c r="AC52" s="1061"/>
      <c r="AD52" s="1061"/>
      <c r="AE52" s="1061"/>
      <c r="AF52" s="1089"/>
      <c r="AG52" s="1090" t="str">
        <f>INDEX(PT_DIFFERENTIATION_IST_TE,MATCH(D52,PT_DIFFERENTIATION_IST_TE_ID,0))</f>
        <v/>
      </c>
      <c r="AH52" s="1061"/>
      <c r="AI52" s="1061"/>
      <c r="AJ52" s="1061"/>
      <c r="AK52" s="1061"/>
      <c r="AL52" s="1061"/>
      <c r="AM52" s="1061"/>
      <c r="AN52" s="1061"/>
      <c r="AO52" s="1061"/>
      <c r="AP52" s="1089"/>
      <c r="AQ52" s="136" t="s">
        <v>398</v>
      </c>
      <c r="AS52" s="151"/>
      <c r="AT52" s="151" t="str">
        <f t="shared" si="2"/>
        <v>Источник тепловой энергии  </v>
      </c>
      <c r="AU52" s="151"/>
      <c r="AV52" s="151"/>
      <c r="AW52" s="43">
        <v>21</v>
      </c>
    </row>
    <row r="53" s="44" customFormat="1" hidden="1" customHeight="1" spans="1:49">
      <c r="A53" s="1145" t="s">
        <v>172</v>
      </c>
      <c r="B53" s="1145" t="s">
        <v>173</v>
      </c>
      <c r="C53" s="1145" t="s">
        <v>174</v>
      </c>
      <c r="D53" s="1145" t="s">
        <v>175</v>
      </c>
      <c r="E53" s="1144"/>
      <c r="F53" s="1144"/>
      <c r="G53" s="1144"/>
      <c r="H53" s="1144"/>
      <c r="I53" s="64" t="str">
        <f>U52&amp;".1"</f>
        <v>....1</v>
      </c>
      <c r="J53" s="1145"/>
      <c r="K53" s="1145"/>
      <c r="L53" s="1145"/>
      <c r="M53" s="1147" t="s">
        <v>399</v>
      </c>
      <c r="N53" s="74"/>
      <c r="O53" s="74"/>
      <c r="P53" s="74"/>
      <c r="Q53" s="93">
        <v>1</v>
      </c>
      <c r="R53" s="93"/>
      <c r="S53" s="93"/>
      <c r="T53" s="94"/>
      <c r="U53" s="330"/>
      <c r="V53" s="1067"/>
      <c r="W53" s="1065"/>
      <c r="X53" s="1092"/>
      <c r="Y53" s="1066"/>
      <c r="Z53" s="1066"/>
      <c r="AA53" s="1066"/>
      <c r="AB53" s="1066"/>
      <c r="AC53" s="1066"/>
      <c r="AD53" s="1066"/>
      <c r="AE53" s="1066"/>
      <c r="AF53" s="1091"/>
      <c r="AG53" s="1092"/>
      <c r="AH53" s="1066"/>
      <c r="AI53" s="1066"/>
      <c r="AJ53" s="1066"/>
      <c r="AK53" s="1066"/>
      <c r="AL53" s="1066"/>
      <c r="AM53" s="1066"/>
      <c r="AN53" s="1066"/>
      <c r="AO53" s="1066"/>
      <c r="AP53" s="1091"/>
      <c r="AQ53" s="995"/>
      <c r="AS53" s="151"/>
      <c r="AT53" s="151" t="str">
        <f t="shared" si="2"/>
        <v/>
      </c>
      <c r="AU53" s="151"/>
      <c r="AV53" s="151"/>
      <c r="AW53" s="44">
        <v>0</v>
      </c>
    </row>
    <row r="54" ht="22.05" customHeight="1" spans="1:49">
      <c r="A54" s="502" t="s">
        <v>172</v>
      </c>
      <c r="B54" s="502" t="s">
        <v>173</v>
      </c>
      <c r="C54" s="502" t="s">
        <v>174</v>
      </c>
      <c r="D54" s="502" t="s">
        <v>175</v>
      </c>
      <c r="E54" s="1144"/>
      <c r="F54" s="1144"/>
      <c r="G54" s="1144"/>
      <c r="H54" s="1144"/>
      <c r="I54" s="126"/>
      <c r="J54" s="64" t="str">
        <f>I53&amp;".1"</f>
        <v>....1.1</v>
      </c>
      <c r="K54" s="502"/>
      <c r="L54" s="502"/>
      <c r="M54" s="536" t="s">
        <v>402</v>
      </c>
      <c r="Q54" s="93"/>
      <c r="R54" s="93">
        <v>1</v>
      </c>
      <c r="S54" s="44"/>
      <c r="T54" s="97"/>
      <c r="U54" s="65" t="str">
        <f>$J54</f>
        <v>....1.1</v>
      </c>
      <c r="V54" s="98" t="s">
        <v>403</v>
      </c>
      <c r="W54" s="84"/>
      <c r="X54" s="99"/>
      <c r="Y54" s="100"/>
      <c r="Z54" s="100"/>
      <c r="AA54" s="100"/>
      <c r="AB54" s="100"/>
      <c r="AC54" s="1170"/>
      <c r="AD54" s="1170"/>
      <c r="AE54" s="1170"/>
      <c r="AF54" s="1171"/>
      <c r="AG54" s="99"/>
      <c r="AH54" s="100"/>
      <c r="AI54" s="100"/>
      <c r="AJ54" s="100"/>
      <c r="AK54" s="100"/>
      <c r="AL54" s="100"/>
      <c r="AM54" s="100"/>
      <c r="AN54" s="100"/>
      <c r="AO54" s="100"/>
      <c r="AP54" s="137"/>
      <c r="AQ54" s="136" t="s">
        <v>404</v>
      </c>
      <c r="AS54" s="151"/>
      <c r="AT54" s="151" t="str">
        <f t="shared" si="2"/>
        <v>Группа потребителей</v>
      </c>
      <c r="AU54" s="151"/>
      <c r="AV54" s="151"/>
      <c r="AW54" s="43">
        <v>21</v>
      </c>
    </row>
    <row r="55" ht="22.05" customHeight="1" spans="1:49">
      <c r="A55" s="502" t="s">
        <v>172</v>
      </c>
      <c r="B55" s="502" t="s">
        <v>173</v>
      </c>
      <c r="C55" s="502" t="s">
        <v>174</v>
      </c>
      <c r="D55" s="502" t="s">
        <v>175</v>
      </c>
      <c r="E55" s="1144"/>
      <c r="F55" s="1144"/>
      <c r="G55" s="1144"/>
      <c r="H55" s="1144"/>
      <c r="I55" s="126"/>
      <c r="J55" s="126"/>
      <c r="K55" s="64" t="str">
        <f>J54&amp;".1"</f>
        <v>....1.1.1</v>
      </c>
      <c r="L55" s="86"/>
      <c r="M55" s="536" t="s">
        <v>405</v>
      </c>
      <c r="Q55" s="93"/>
      <c r="R55" s="93"/>
      <c r="S55" s="44">
        <v>1</v>
      </c>
      <c r="T55" s="97"/>
      <c r="U55" s="65" t="str">
        <f>$K55</f>
        <v>....1.1.1</v>
      </c>
      <c r="V55" s="101"/>
      <c r="W55" s="84"/>
      <c r="X55" s="102"/>
      <c r="Y55" s="102"/>
      <c r="Z55" s="102"/>
      <c r="AA55" s="102"/>
      <c r="AB55" s="1172"/>
      <c r="AC55" s="139"/>
      <c r="AD55" s="140" t="s">
        <v>66</v>
      </c>
      <c r="AE55" s="139"/>
      <c r="AF55" s="140" t="s">
        <v>66</v>
      </c>
      <c r="AG55" s="1042"/>
      <c r="AH55" s="102"/>
      <c r="AI55" s="102"/>
      <c r="AJ55" s="102"/>
      <c r="AK55" s="138"/>
      <c r="AL55" s="139"/>
      <c r="AM55" s="140" t="s">
        <v>66</v>
      </c>
      <c r="AN55" s="139"/>
      <c r="AO55" s="140" t="s">
        <v>66</v>
      </c>
      <c r="AP55" s="1120"/>
      <c r="AQ55" s="1136" t="s">
        <v>444</v>
      </c>
      <c r="AR55" s="44" t="e">
        <f>STRCHECKDATE(X57:AP57)</f>
        <v>#NAME?</v>
      </c>
      <c r="AS55" s="151"/>
      <c r="AT55" s="151" t="str">
        <f t="shared" si="2"/>
        <v/>
      </c>
      <c r="AU55" s="151"/>
      <c r="AV55" s="151"/>
      <c r="AW55" s="43">
        <v>21</v>
      </c>
    </row>
    <row r="56" ht="11.55" customHeight="1" spans="1:49">
      <c r="A56" s="502" t="s">
        <v>172</v>
      </c>
      <c r="B56" s="502" t="s">
        <v>173</v>
      </c>
      <c r="C56" s="502" t="s">
        <v>174</v>
      </c>
      <c r="D56" s="502" t="s">
        <v>175</v>
      </c>
      <c r="E56" s="1144"/>
      <c r="F56" s="1144"/>
      <c r="G56" s="1144"/>
      <c r="H56" s="1144"/>
      <c r="I56" s="126"/>
      <c r="J56" s="126"/>
      <c r="K56" s="126"/>
      <c r="L56" s="64" t="str">
        <f>K55&amp;".1"</f>
        <v>....1.1.1.1</v>
      </c>
      <c r="M56" s="536"/>
      <c r="Q56" s="93"/>
      <c r="R56" s="93"/>
      <c r="S56" s="44">
        <v>1</v>
      </c>
      <c r="T56" s="97"/>
      <c r="U56" s="65" t="str">
        <f>$L56</f>
        <v>....1.1.1.1</v>
      </c>
      <c r="V56" s="1164"/>
      <c r="W56" s="84"/>
      <c r="X56" s="103"/>
      <c r="Y56" s="102"/>
      <c r="Z56" s="102"/>
      <c r="AA56" s="102"/>
      <c r="AB56" s="1172"/>
      <c r="AC56" s="143"/>
      <c r="AD56" s="140"/>
      <c r="AE56" s="143"/>
      <c r="AF56" s="140"/>
      <c r="AG56" s="1042"/>
      <c r="AH56" s="102"/>
      <c r="AI56" s="102"/>
      <c r="AJ56" s="102"/>
      <c r="AK56" s="138"/>
      <c r="AL56" s="143"/>
      <c r="AM56" s="140"/>
      <c r="AN56" s="143"/>
      <c r="AO56" s="140"/>
      <c r="AP56" s="1120"/>
      <c r="AQ56" s="141" t="s">
        <v>445</v>
      </c>
      <c r="AR56" s="44" t="e">
        <f>STRCHECKDATE(X58:AP58)</f>
        <v>#NAME?</v>
      </c>
      <c r="AS56" s="151"/>
      <c r="AT56" s="151" t="str">
        <f t="shared" si="2"/>
        <v/>
      </c>
      <c r="AU56" s="151"/>
      <c r="AV56" s="151"/>
      <c r="AW56" s="43">
        <v>11</v>
      </c>
    </row>
    <row r="57" hidden="1" customHeight="1" spans="1:49">
      <c r="A57" s="502" t="s">
        <v>172</v>
      </c>
      <c r="B57" s="502" t="s">
        <v>173</v>
      </c>
      <c r="C57" s="502" t="s">
        <v>174</v>
      </c>
      <c r="D57" s="502" t="s">
        <v>175</v>
      </c>
      <c r="E57" s="1144"/>
      <c r="F57" s="1144"/>
      <c r="G57" s="1144"/>
      <c r="H57" s="1144"/>
      <c r="I57" s="126"/>
      <c r="J57" s="126"/>
      <c r="K57" s="126"/>
      <c r="L57" s="64"/>
      <c r="M57" s="536"/>
      <c r="Q57" s="93"/>
      <c r="R57" s="93"/>
      <c r="S57" s="44"/>
      <c r="T57" s="97"/>
      <c r="U57" s="104"/>
      <c r="V57" s="84"/>
      <c r="W57" s="84"/>
      <c r="X57" s="103"/>
      <c r="Y57" s="103"/>
      <c r="Z57" s="103"/>
      <c r="AA57" s="103"/>
      <c r="AB57" s="1173" t="str">
        <f>AC55&amp;"-"&amp;AE55</f>
        <v>-</v>
      </c>
      <c r="AC57" s="143"/>
      <c r="AD57" s="140"/>
      <c r="AE57" s="143"/>
      <c r="AF57" s="140"/>
      <c r="AG57" s="1179"/>
      <c r="AH57" s="103"/>
      <c r="AI57" s="103"/>
      <c r="AJ57" s="103"/>
      <c r="AK57" s="142" t="str">
        <f>AL55&amp;"-"&amp;AN55</f>
        <v>-</v>
      </c>
      <c r="AL57" s="143"/>
      <c r="AM57" s="140"/>
      <c r="AN57" s="143"/>
      <c r="AO57" s="140"/>
      <c r="AP57" s="1163"/>
      <c r="AQ57" s="144"/>
      <c r="AS57" s="151"/>
      <c r="AT57" s="151" t="str">
        <f t="shared" si="2"/>
        <v/>
      </c>
      <c r="AU57" s="151"/>
      <c r="AV57" s="151"/>
      <c r="AW57" s="43">
        <v>0</v>
      </c>
    </row>
    <row r="58" ht="11.55" customHeight="1" spans="1:49">
      <c r="A58" s="502" t="s">
        <v>172</v>
      </c>
      <c r="B58" s="502" t="s">
        <v>173</v>
      </c>
      <c r="C58" s="502" t="s">
        <v>174</v>
      </c>
      <c r="D58" s="502" t="s">
        <v>175</v>
      </c>
      <c r="E58" s="1144"/>
      <c r="F58" s="1144"/>
      <c r="G58" s="1144"/>
      <c r="H58" s="1144"/>
      <c r="I58" s="126"/>
      <c r="J58" s="126"/>
      <c r="K58" s="64"/>
      <c r="L58" s="502"/>
      <c r="M58" s="536"/>
      <c r="Q58" s="93"/>
      <c r="R58" s="93"/>
      <c r="S58" s="93"/>
      <c r="T58" s="94"/>
      <c r="U58" s="105"/>
      <c r="V58" s="106" t="s">
        <v>446</v>
      </c>
      <c r="W58" s="107"/>
      <c r="X58" s="107"/>
      <c r="Y58" s="107"/>
      <c r="Z58" s="107"/>
      <c r="AA58" s="107"/>
      <c r="AB58" s="107"/>
      <c r="AC58" s="143"/>
      <c r="AD58" s="140"/>
      <c r="AE58" s="143"/>
      <c r="AF58" s="140"/>
      <c r="AG58" s="107"/>
      <c r="AH58" s="107"/>
      <c r="AI58" s="107"/>
      <c r="AJ58" s="107"/>
      <c r="AK58" s="107"/>
      <c r="AL58" s="143"/>
      <c r="AM58" s="140"/>
      <c r="AN58" s="143"/>
      <c r="AO58" s="140"/>
      <c r="AP58" s="145"/>
      <c r="AQ58" s="144"/>
      <c r="AS58" s="151"/>
      <c r="AT58" s="151" t="str">
        <f t="shared" si="2"/>
        <v>Добавить наименование поставщика</v>
      </c>
      <c r="AU58" s="151"/>
      <c r="AV58" s="151"/>
      <c r="AW58" s="43">
        <v>11</v>
      </c>
    </row>
    <row r="59" ht="11.55" customHeight="1" spans="1:49">
      <c r="A59" s="502" t="s">
        <v>172</v>
      </c>
      <c r="B59" s="502" t="s">
        <v>173</v>
      </c>
      <c r="C59" s="502" t="s">
        <v>174</v>
      </c>
      <c r="D59" s="502" t="s">
        <v>175</v>
      </c>
      <c r="E59" s="1144"/>
      <c r="F59" s="1144"/>
      <c r="G59" s="1144"/>
      <c r="H59" s="1144"/>
      <c r="I59" s="126"/>
      <c r="J59" s="64"/>
      <c r="K59" s="502"/>
      <c r="L59" s="502"/>
      <c r="M59" s="536"/>
      <c r="Q59" s="93"/>
      <c r="R59" s="93"/>
      <c r="S59" s="93"/>
      <c r="T59" s="94"/>
      <c r="U59" s="105"/>
      <c r="V59" s="108" t="s">
        <v>407</v>
      </c>
      <c r="W59" s="107"/>
      <c r="X59" s="107"/>
      <c r="Y59" s="107"/>
      <c r="Z59" s="107"/>
      <c r="AA59" s="107"/>
      <c r="AB59" s="107"/>
      <c r="AC59" s="1174"/>
      <c r="AD59" s="1174"/>
      <c r="AE59" s="1174"/>
      <c r="AF59" s="1174"/>
      <c r="AG59" s="107"/>
      <c r="AH59" s="107"/>
      <c r="AI59" s="107"/>
      <c r="AJ59" s="107"/>
      <c r="AK59" s="107"/>
      <c r="AL59" s="107"/>
      <c r="AM59" s="107"/>
      <c r="AN59" s="107"/>
      <c r="AO59" s="107"/>
      <c r="AP59" s="145"/>
      <c r="AQ59" s="146"/>
      <c r="AS59" s="151"/>
      <c r="AT59" s="151" t="str">
        <f t="shared" si="2"/>
        <v>Добавить вид теплоносителя (параметры теплоносителя)</v>
      </c>
      <c r="AU59" s="151"/>
      <c r="AV59" s="151"/>
      <c r="AW59" s="43">
        <v>11</v>
      </c>
    </row>
    <row r="60" ht="11.55" customHeight="1" spans="1:49">
      <c r="A60" s="502" t="s">
        <v>172</v>
      </c>
      <c r="B60" s="502" t="s">
        <v>173</v>
      </c>
      <c r="C60" s="502" t="s">
        <v>174</v>
      </c>
      <c r="D60" s="502" t="s">
        <v>175</v>
      </c>
      <c r="E60" s="1144"/>
      <c r="F60" s="1144"/>
      <c r="G60" s="1144"/>
      <c r="H60" s="1144"/>
      <c r="I60" s="64"/>
      <c r="J60" s="502"/>
      <c r="K60" s="502"/>
      <c r="L60" s="502"/>
      <c r="M60" s="536"/>
      <c r="Q60" s="93"/>
      <c r="R60" s="93"/>
      <c r="S60" s="93"/>
      <c r="T60" s="94"/>
      <c r="U60" s="105"/>
      <c r="V60" s="110" t="s">
        <v>408</v>
      </c>
      <c r="W60" s="107"/>
      <c r="X60" s="107"/>
      <c r="Y60" s="107"/>
      <c r="Z60" s="107"/>
      <c r="AA60" s="107"/>
      <c r="AB60" s="107"/>
      <c r="AC60" s="107"/>
      <c r="AD60" s="107"/>
      <c r="AE60" s="107"/>
      <c r="AF60" s="147"/>
      <c r="AG60" s="107"/>
      <c r="AH60" s="107"/>
      <c r="AI60" s="107"/>
      <c r="AJ60" s="107"/>
      <c r="AK60" s="107"/>
      <c r="AL60" s="107"/>
      <c r="AM60" s="107"/>
      <c r="AN60" s="107"/>
      <c r="AO60" s="147"/>
      <c r="AP60" s="107"/>
      <c r="AQ60" s="148"/>
      <c r="AS60" s="151"/>
      <c r="AT60" s="151" t="str">
        <f t="shared" si="2"/>
        <v>Добавить группу потребителей</v>
      </c>
      <c r="AU60" s="151"/>
      <c r="AV60" s="151"/>
      <c r="AW60" s="43">
        <v>11</v>
      </c>
    </row>
    <row r="61" hidden="1" customHeight="1" spans="1:49">
      <c r="A61" s="502" t="s">
        <v>172</v>
      </c>
      <c r="B61" s="502" t="s">
        <v>173</v>
      </c>
      <c r="C61" s="502" t="s">
        <v>174</v>
      </c>
      <c r="D61" s="502" t="s">
        <v>175</v>
      </c>
      <c r="E61" s="1144"/>
      <c r="F61" s="1144"/>
      <c r="G61" s="1144"/>
      <c r="H61" s="1143"/>
      <c r="I61" s="502"/>
      <c r="J61" s="502"/>
      <c r="K61" s="502"/>
      <c r="L61" s="502"/>
      <c r="M61" s="536"/>
      <c r="N61" s="42"/>
      <c r="O61" s="42"/>
      <c r="P61" s="43"/>
      <c r="Q61" s="81"/>
      <c r="R61" s="109"/>
      <c r="S61" s="82"/>
      <c r="T61" s="81"/>
      <c r="U61" s="1079"/>
      <c r="V61" s="1080"/>
      <c r="W61" s="1081"/>
      <c r="X61" s="1081"/>
      <c r="Y61" s="1081"/>
      <c r="Z61" s="1081"/>
      <c r="AA61" s="1081"/>
      <c r="AB61" s="1081"/>
      <c r="AC61" s="1081"/>
      <c r="AD61" s="1081"/>
      <c r="AE61" s="1081"/>
      <c r="AF61" s="1081"/>
      <c r="AG61" s="1081"/>
      <c r="AH61" s="1081"/>
      <c r="AI61" s="1081"/>
      <c r="AJ61" s="1081"/>
      <c r="AK61" s="1081"/>
      <c r="AL61" s="1081"/>
      <c r="AM61" s="1081"/>
      <c r="AN61" s="1081"/>
      <c r="AO61" s="1081"/>
      <c r="AP61" s="1081"/>
      <c r="AQ61" s="1123"/>
      <c r="AS61" s="151"/>
      <c r="AT61" s="151" t="str">
        <f t="shared" si="2"/>
        <v/>
      </c>
      <c r="AU61" s="151"/>
      <c r="AV61" s="151"/>
      <c r="AW61" s="43">
        <v>0</v>
      </c>
    </row>
    <row r="62" s="44" customFormat="1" hidden="1" customHeight="1" spans="1:49">
      <c r="A62" s="1145" t="s">
        <v>172</v>
      </c>
      <c r="B62" s="1145" t="s">
        <v>173</v>
      </c>
      <c r="C62" s="1145" t="s">
        <v>174</v>
      </c>
      <c r="D62" s="1145"/>
      <c r="E62" s="1144"/>
      <c r="F62" s="1144"/>
      <c r="G62" s="1143"/>
      <c r="H62" s="1145"/>
      <c r="I62" s="1145"/>
      <c r="J62" s="1145"/>
      <c r="K62" s="1145"/>
      <c r="L62" s="1145"/>
      <c r="M62" s="1147"/>
      <c r="N62" s="1148"/>
      <c r="O62" s="1148"/>
      <c r="P62" s="37"/>
      <c r="Q62" s="152"/>
      <c r="R62" s="1082"/>
      <c r="S62" s="152"/>
      <c r="T62" s="152"/>
      <c r="U62" s="1084"/>
      <c r="V62" s="1085" t="s">
        <v>410</v>
      </c>
      <c r="W62" s="307"/>
      <c r="X62" s="307"/>
      <c r="Y62" s="307"/>
      <c r="Z62" s="307"/>
      <c r="AA62" s="307"/>
      <c r="AB62" s="307"/>
      <c r="AC62" s="307"/>
      <c r="AD62" s="307"/>
      <c r="AE62" s="307"/>
      <c r="AF62" s="307"/>
      <c r="AG62" s="307"/>
      <c r="AH62" s="307"/>
      <c r="AI62" s="307"/>
      <c r="AJ62" s="307"/>
      <c r="AK62" s="307"/>
      <c r="AL62" s="307"/>
      <c r="AM62" s="307"/>
      <c r="AN62" s="307"/>
      <c r="AO62" s="307"/>
      <c r="AP62" s="307"/>
      <c r="AQ62" s="307"/>
      <c r="AS62" s="151"/>
      <c r="AT62" s="151" t="str">
        <f t="shared" si="2"/>
        <v>Добавить источник для дифференциации</v>
      </c>
      <c r="AU62" s="151"/>
      <c r="AV62" s="151"/>
      <c r="AW62" s="44">
        <v>0</v>
      </c>
    </row>
    <row r="63" s="44" customFormat="1" hidden="1" customHeight="1" spans="1:49">
      <c r="A63" s="1145" t="s">
        <v>172</v>
      </c>
      <c r="B63" s="1145" t="s">
        <v>173</v>
      </c>
      <c r="C63" s="1145"/>
      <c r="D63" s="1145"/>
      <c r="E63" s="1144"/>
      <c r="F63" s="1143"/>
      <c r="G63" s="1145"/>
      <c r="H63" s="1145"/>
      <c r="I63" s="1145"/>
      <c r="J63" s="1145"/>
      <c r="K63" s="1145"/>
      <c r="L63" s="1145"/>
      <c r="M63" s="1147"/>
      <c r="N63" s="1149"/>
      <c r="O63" s="1149"/>
      <c r="P63" s="37"/>
      <c r="Q63" s="152"/>
      <c r="R63" s="1082"/>
      <c r="S63" s="152"/>
      <c r="T63" s="152"/>
      <c r="U63" s="1084"/>
      <c r="V63" s="1085" t="s">
        <v>411</v>
      </c>
      <c r="W63" s="307"/>
      <c r="X63" s="307"/>
      <c r="Y63" s="307"/>
      <c r="Z63" s="307"/>
      <c r="AA63" s="307"/>
      <c r="AB63" s="307"/>
      <c r="AC63" s="307"/>
      <c r="AD63" s="307"/>
      <c r="AE63" s="307"/>
      <c r="AF63" s="307"/>
      <c r="AG63" s="307"/>
      <c r="AH63" s="307"/>
      <c r="AI63" s="307"/>
      <c r="AJ63" s="307"/>
      <c r="AK63" s="307"/>
      <c r="AL63" s="307"/>
      <c r="AM63" s="307"/>
      <c r="AN63" s="307"/>
      <c r="AO63" s="307"/>
      <c r="AP63" s="307"/>
      <c r="AQ63" s="307"/>
      <c r="AS63" s="151"/>
      <c r="AT63" s="151" t="str">
        <f t="shared" si="2"/>
        <v>Добавить централизованную систему для дифференциации</v>
      </c>
      <c r="AU63" s="151"/>
      <c r="AV63" s="151"/>
      <c r="AW63" s="44">
        <v>0</v>
      </c>
    </row>
    <row r="64" s="44" customFormat="1" hidden="1" customHeight="1" spans="1:49">
      <c r="A64" s="1145" t="s">
        <v>172</v>
      </c>
      <c r="B64" s="1145"/>
      <c r="C64" s="1145"/>
      <c r="D64" s="1145"/>
      <c r="E64" s="1143"/>
      <c r="F64" s="1145"/>
      <c r="G64" s="1145"/>
      <c r="H64" s="1145"/>
      <c r="I64" s="1145"/>
      <c r="J64" s="1145"/>
      <c r="K64" s="1145"/>
      <c r="L64" s="1145"/>
      <c r="M64" s="1147"/>
      <c r="N64" s="1149"/>
      <c r="O64" s="1149"/>
      <c r="P64" s="37"/>
      <c r="Q64" s="152"/>
      <c r="R64" s="1082"/>
      <c r="S64" s="152"/>
      <c r="T64" s="152"/>
      <c r="U64" s="1084"/>
      <c r="V64" s="1085" t="s">
        <v>412</v>
      </c>
      <c r="W64" s="307"/>
      <c r="X64" s="307"/>
      <c r="Y64" s="307"/>
      <c r="Z64" s="307"/>
      <c r="AA64" s="307"/>
      <c r="AB64" s="307"/>
      <c r="AC64" s="307"/>
      <c r="AD64" s="307"/>
      <c r="AE64" s="307"/>
      <c r="AF64" s="307"/>
      <c r="AG64" s="307"/>
      <c r="AH64" s="307"/>
      <c r="AI64" s="307"/>
      <c r="AJ64" s="307"/>
      <c r="AK64" s="307"/>
      <c r="AL64" s="307"/>
      <c r="AM64" s="307"/>
      <c r="AN64" s="307"/>
      <c r="AO64" s="307"/>
      <c r="AP64" s="307"/>
      <c r="AQ64" s="307"/>
      <c r="AS64" s="151"/>
      <c r="AT64" s="151" t="str">
        <f t="shared" si="2"/>
        <v>Добавить территорию для дифференциации</v>
      </c>
      <c r="AU64" s="151"/>
      <c r="AV64" s="151"/>
      <c r="AW64" s="44">
        <v>0</v>
      </c>
    </row>
    <row r="65" s="44" customFormat="1" ht="4.2" customHeight="1" spans="1:49">
      <c r="A65" s="1145"/>
      <c r="B65" s="1145"/>
      <c r="C65" s="1145"/>
      <c r="D65" s="1145"/>
      <c r="E65" s="1145"/>
      <c r="F65" s="1145"/>
      <c r="G65" s="1145"/>
      <c r="H65" s="1145"/>
      <c r="I65" s="1145"/>
      <c r="J65" s="1145"/>
      <c r="K65" s="1145"/>
      <c r="L65" s="1145"/>
      <c r="M65" s="1147"/>
      <c r="N65" s="1149"/>
      <c r="O65" s="1149"/>
      <c r="P65" s="37"/>
      <c r="Q65" s="152"/>
      <c r="R65" s="1082"/>
      <c r="S65" s="152"/>
      <c r="T65" s="152"/>
      <c r="U65" s="1084"/>
      <c r="V65" s="1085" t="s">
        <v>440</v>
      </c>
      <c r="W65" s="307"/>
      <c r="X65" s="307"/>
      <c r="Y65" s="307"/>
      <c r="Z65" s="307"/>
      <c r="AA65" s="307"/>
      <c r="AB65" s="307"/>
      <c r="AC65" s="307"/>
      <c r="AD65" s="307"/>
      <c r="AE65" s="307"/>
      <c r="AF65" s="307"/>
      <c r="AG65" s="307"/>
      <c r="AH65" s="307"/>
      <c r="AI65" s="307"/>
      <c r="AJ65" s="307"/>
      <c r="AK65" s="307"/>
      <c r="AL65" s="307"/>
      <c r="AM65" s="307"/>
      <c r="AN65" s="307"/>
      <c r="AO65" s="307"/>
      <c r="AP65" s="307"/>
      <c r="AQ65" s="307"/>
      <c r="AS65" s="151"/>
      <c r="AT65" s="151" t="str">
        <f t="shared" si="2"/>
        <v>Добавить наименование тарифа</v>
      </c>
      <c r="AU65" s="151"/>
      <c r="AV65" s="151"/>
      <c r="AW65" s="44">
        <v>4</v>
      </c>
    </row>
    <row r="66" ht="11.55" customHeight="1" spans="14:49">
      <c r="N66" s="43"/>
      <c r="O66" s="43"/>
      <c r="P66" s="43"/>
      <c r="Q66" s="43"/>
      <c r="R66" s="43"/>
      <c r="S66" s="43"/>
      <c r="T66" s="43"/>
      <c r="U66" s="43"/>
      <c r="AR66" s="43"/>
      <c r="AS66" s="43"/>
      <c r="AT66" s="43"/>
      <c r="AU66" s="43"/>
      <c r="AV66" s="43"/>
      <c r="AW66" s="43">
        <v>11</v>
      </c>
    </row>
    <row r="67" ht="35.7" customHeight="1" spans="16:49">
      <c r="P67" s="43"/>
      <c r="U67" s="786"/>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W67" s="43">
        <v>34</v>
      </c>
    </row>
    <row r="68" ht="21" customHeight="1" spans="16:49">
      <c r="P68" s="43"/>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W68" s="43">
        <v>20</v>
      </c>
    </row>
    <row r="69" ht="14.7" customHeight="1" spans="16:49">
      <c r="P69" s="43"/>
      <c r="AW69" s="43">
        <v>14</v>
      </c>
    </row>
    <row r="70" ht="28.5" customHeight="1" spans="16:49">
      <c r="P70" s="43"/>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W70" s="43">
        <v>27</v>
      </c>
    </row>
    <row r="71" ht="18.75" customHeight="1" spans="16:49">
      <c r="P71" s="43"/>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W71" s="43">
        <v>18</v>
      </c>
    </row>
    <row r="72" ht="22.5" hidden="1" customHeight="1" spans="1:49">
      <c r="A72" s="43" t="s">
        <v>83</v>
      </c>
      <c r="B72" s="43">
        <v>0</v>
      </c>
      <c r="C72" s="43">
        <v>0</v>
      </c>
      <c r="D72" s="43">
        <v>0</v>
      </c>
      <c r="E72" s="43">
        <v>0</v>
      </c>
      <c r="F72" s="43">
        <v>0</v>
      </c>
      <c r="G72" s="43">
        <v>0</v>
      </c>
      <c r="H72" s="43">
        <v>0</v>
      </c>
      <c r="I72" s="43">
        <v>0</v>
      </c>
      <c r="J72" s="43">
        <v>0</v>
      </c>
      <c r="K72" s="43">
        <v>0</v>
      </c>
      <c r="L72" s="43">
        <v>0</v>
      </c>
      <c r="M72" s="86">
        <v>0</v>
      </c>
      <c r="N72" s="40">
        <v>0</v>
      </c>
      <c r="O72" s="40">
        <v>0</v>
      </c>
      <c r="P72" s="40">
        <v>0</v>
      </c>
      <c r="Q72" s="40">
        <v>0</v>
      </c>
      <c r="R72" s="41">
        <v>3</v>
      </c>
      <c r="S72" s="41">
        <v>3</v>
      </c>
      <c r="T72" s="41">
        <v>3</v>
      </c>
      <c r="U72" s="42">
        <v>12</v>
      </c>
      <c r="V72" s="43">
        <v>31</v>
      </c>
      <c r="W72" s="43">
        <v>0</v>
      </c>
      <c r="X72" s="43">
        <v>0</v>
      </c>
      <c r="Y72" s="43">
        <v>0</v>
      </c>
      <c r="Z72" s="43">
        <v>0</v>
      </c>
      <c r="AA72" s="43">
        <v>0</v>
      </c>
      <c r="AB72" s="43">
        <v>0</v>
      </c>
      <c r="AC72" s="43">
        <v>0</v>
      </c>
      <c r="AD72" s="43">
        <v>0</v>
      </c>
      <c r="AE72" s="43">
        <v>0</v>
      </c>
      <c r="AF72" s="43">
        <v>0</v>
      </c>
      <c r="AG72" s="43">
        <v>21</v>
      </c>
      <c r="AH72" s="43">
        <v>21</v>
      </c>
      <c r="AI72" s="43">
        <v>21</v>
      </c>
      <c r="AJ72" s="43">
        <v>21</v>
      </c>
      <c r="AK72" s="43">
        <v>21</v>
      </c>
      <c r="AL72" s="43">
        <v>11</v>
      </c>
      <c r="AM72" s="43">
        <v>3</v>
      </c>
      <c r="AN72" s="43">
        <v>11</v>
      </c>
      <c r="AO72" s="43">
        <v>8</v>
      </c>
      <c r="AP72" s="43">
        <v>4</v>
      </c>
      <c r="AQ72" s="43">
        <v>115</v>
      </c>
      <c r="AR72" s="44">
        <v>10</v>
      </c>
      <c r="AS72" s="44">
        <v>10</v>
      </c>
      <c r="AT72" s="44">
        <v>10</v>
      </c>
      <c r="AU72" s="44">
        <v>10</v>
      </c>
      <c r="AV72" s="44">
        <v>10</v>
      </c>
      <c r="AW72" s="43">
        <v>23</v>
      </c>
    </row>
  </sheetData>
  <sheetProtection formatColumns="0" formatRows="0" insertRows="0" deleteColumns="0" deleteRows="0" sort="0" autoFilter="0"/>
  <mergeCells count="122">
    <mergeCell ref="X2:AF2"/>
    <mergeCell ref="AG2:AP2"/>
    <mergeCell ref="X3:AF3"/>
    <mergeCell ref="AG3:AP3"/>
    <mergeCell ref="X4:AF4"/>
    <mergeCell ref="AG4:AP4"/>
    <mergeCell ref="X5:AF5"/>
    <mergeCell ref="AG5:AP5"/>
    <mergeCell ref="X6:AF6"/>
    <mergeCell ref="AG6:AP6"/>
    <mergeCell ref="X7:AF7"/>
    <mergeCell ref="AG7:AP7"/>
    <mergeCell ref="U30:AN30"/>
    <mergeCell ref="U31:AN31"/>
    <mergeCell ref="U33:V33"/>
    <mergeCell ref="X33:AE33"/>
    <mergeCell ref="AG33:AN33"/>
    <mergeCell ref="U34:V34"/>
    <mergeCell ref="X34:AE34"/>
    <mergeCell ref="AG34:AN34"/>
    <mergeCell ref="U35:V35"/>
    <mergeCell ref="X35:AE35"/>
    <mergeCell ref="AG35:AN35"/>
    <mergeCell ref="U36:V36"/>
    <mergeCell ref="X36:AE36"/>
    <mergeCell ref="AG36:AN36"/>
    <mergeCell ref="U38:V38"/>
    <mergeCell ref="X38:AE38"/>
    <mergeCell ref="AG38:AN38"/>
    <mergeCell ref="U39:V39"/>
    <mergeCell ref="X39:AE39"/>
    <mergeCell ref="AG39:AN39"/>
    <mergeCell ref="X41:AF41"/>
    <mergeCell ref="AG41:AO41"/>
    <mergeCell ref="U42:AP42"/>
    <mergeCell ref="X43:AE43"/>
    <mergeCell ref="AG43:AN43"/>
    <mergeCell ref="Y44:AB44"/>
    <mergeCell ref="AH44:AK44"/>
    <mergeCell ref="Z45:AB45"/>
    <mergeCell ref="AI45:AK45"/>
    <mergeCell ref="AA46:AB46"/>
    <mergeCell ref="AJ46:AK46"/>
    <mergeCell ref="AD48:AE48"/>
    <mergeCell ref="AM48:AN48"/>
    <mergeCell ref="X49:AF49"/>
    <mergeCell ref="AG49:AP49"/>
    <mergeCell ref="X50:AF50"/>
    <mergeCell ref="AG50:AP50"/>
    <mergeCell ref="X51:AF51"/>
    <mergeCell ref="AG51:AP51"/>
    <mergeCell ref="X52:AF52"/>
    <mergeCell ref="AG52:AP52"/>
    <mergeCell ref="X53:AF53"/>
    <mergeCell ref="AG53:AP53"/>
    <mergeCell ref="X54:AF54"/>
    <mergeCell ref="AG54:AP54"/>
    <mergeCell ref="V67:AQ67"/>
    <mergeCell ref="V68:AQ68"/>
    <mergeCell ref="V70:AQ70"/>
    <mergeCell ref="V71:AQ71"/>
    <mergeCell ref="E2:E17"/>
    <mergeCell ref="E49:E64"/>
    <mergeCell ref="F3:F16"/>
    <mergeCell ref="F50:F63"/>
    <mergeCell ref="G4:G15"/>
    <mergeCell ref="G51:G62"/>
    <mergeCell ref="H5:H14"/>
    <mergeCell ref="H52:H61"/>
    <mergeCell ref="I6:I13"/>
    <mergeCell ref="I53:I60"/>
    <mergeCell ref="J7:J12"/>
    <mergeCell ref="J54:J59"/>
    <mergeCell ref="K8:K11"/>
    <mergeCell ref="K55:K58"/>
    <mergeCell ref="L9:L10"/>
    <mergeCell ref="L56:L57"/>
    <mergeCell ref="Q6:Q13"/>
    <mergeCell ref="Q53:Q60"/>
    <mergeCell ref="R7:R12"/>
    <mergeCell ref="R54:R59"/>
    <mergeCell ref="S8:S11"/>
    <mergeCell ref="U43:U47"/>
    <mergeCell ref="V43:V47"/>
    <mergeCell ref="X44:X47"/>
    <mergeCell ref="Y45:Y47"/>
    <mergeCell ref="Z46:Z47"/>
    <mergeCell ref="AC8:AC11"/>
    <mergeCell ref="AC46:AC47"/>
    <mergeCell ref="AC55:AC58"/>
    <mergeCell ref="AD8:AD11"/>
    <mergeCell ref="AD55:AD58"/>
    <mergeCell ref="AE8:AE11"/>
    <mergeCell ref="AE55:AE58"/>
    <mergeCell ref="AF8:AF11"/>
    <mergeCell ref="AF43:AF47"/>
    <mergeCell ref="AF55:AF58"/>
    <mergeCell ref="AG44:AG47"/>
    <mergeCell ref="AH45:AH47"/>
    <mergeCell ref="AI46:AI47"/>
    <mergeCell ref="AL8:AL11"/>
    <mergeCell ref="AL19:AL22"/>
    <mergeCell ref="AL46:AL47"/>
    <mergeCell ref="AL55:AL58"/>
    <mergeCell ref="AM8:AM11"/>
    <mergeCell ref="AM19:AM22"/>
    <mergeCell ref="AM55:AM58"/>
    <mergeCell ref="AN8:AN11"/>
    <mergeCell ref="AN19:AN22"/>
    <mergeCell ref="AN55:AN58"/>
    <mergeCell ref="AO8:AO11"/>
    <mergeCell ref="AO19:AO22"/>
    <mergeCell ref="AO43:AO47"/>
    <mergeCell ref="AO55:AO58"/>
    <mergeCell ref="AP43:AP47"/>
    <mergeCell ref="AQ9:AQ12"/>
    <mergeCell ref="AQ42:AQ47"/>
    <mergeCell ref="AQ56:AQ59"/>
    <mergeCell ref="AC44:AE45"/>
    <mergeCell ref="AL44:AN45"/>
    <mergeCell ref="AM46:AN47"/>
    <mergeCell ref="AD46:AE47"/>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8 AE8 AL8 AN8 AC55 AE55 AL55 AN55 AC65592 AE65592 AL65592 AN65592 AC131128 AE131128 AL131128 AN131128 AC196664 AE196664 AL196664 AN196664 AC262200 AE262200 AL262200 AN262200 AC327736 AE327736 AL327736 AN327736 AC393272 AE393272 AL393272 AN393272 AC458808 AE458808 AL458808 AN458808 AC524344 AE524344 AL524344 AN524344 AC589880 AE589880 AL589880 AN589880 AC655416 AE655416 AL655416 AN655416 AC720952 AE720952 AL720952 AN720952 AC786488 AE786488 AL786488 AN786488 AC852024 AE852024 AL852024 AN852024 AC917560 AE917560 AL917560 AN917560 AC983096 AE983096 AL983096 AN983096 AL19:AL21 AN19:AN21"/>
    <dataValidation allowBlank="1" showInputMessage="1" showErrorMessage="1" prompt="Для выбора выполните двойной щелчок левой клавиши мыши по соответствующей ячейке." sqref="AD8 AF8 AM8 AO8 AD55 AF55 AM55 AO55 AD65592 AF65592 AM65592 AO65592 AD131128 AF131128 AM131128 AO131128 AD196664 AF196664 AM196664 AO196664 AD262200 AF262200 AM262200 AO262200 AD327736 AF327736 AM327736 AO327736 AD393272 AF393272 AM393272 AO393272 AD458808 AF458808 AM458808 AO458808 AD524344 AF524344 AM524344 AO524344 AD589880 AF589880 AM589880 AO589880 AD655416 AF655416 AM655416 AO655416 AD720952 AF720952 AM720952 AO720952 AD786488 AF786488 AM786488 AO786488 AD852024 AF852024 AM852024 AO852024 AD917560 AF917560 AM917560 AO917560 AD983096 AF983096 AM983096 AO983096 AM19:AM21 AO19:AO21"/>
    <dataValidation allowBlank="1" promptTitle="checkPeriodRange" sqref="AK22 AB57 AK57 AB65593 AK65593 AB131129 AK131129 AB196665 AK196665 AB262201 AK262201 AB327737 AK327737 AB393273 AK393273 AB458809 AK458809 AB524345 AK524345 AB589881 AK589881 AB655417 AK655417 AB720953 AK720953 AB786489 AK786489 AB852025 AK852025 AB917561 AK917561 AB983097 AK983097 AB10:AB11 AK10:AK11"/>
    <dataValidation type="list" allowBlank="1" showInputMessage="1" showErrorMessage="1" errorTitle="Ошибка" error="Выберите значение из списка" sqref="X65590:Z65590 AG65590:AI65590 X131126:Z131126 AG131126:AI131126 X196662:Z196662 AG196662:AI196662 X262198:Z262198 AG262198:AI262198 X327734:Z327734 AG327734:AI327734 X393270:Z393270 AG393270:AI393270 X458806:Z458806 AG458806:AI458806 X524342:Z524342 AG524342:AI524342 X589878:Z589878 AG589878:AI589878 X655414:Z655414 AG655414:AI655414 X720950:Z720950 AG720950:AI720950 X786486:Z786486 AG786486:AI786486 X852022:Z852022 AG852022:AI852022 X917558:Z917558 AG917558:AI917558 X983094:Z983094 AG983094:AI983094">
      <formula1>kind_of_scheme_in</formula1>
    </dataValidation>
    <dataValidation type="list" allowBlank="1" showInputMessage="1" errorTitle="Ошибка" error="Выберите значение из списка" prompt="Выберите значение из списка" sqref="X65591:AP65591 X131127:AP131127 X196663:AP196663 X262199:AP262199 X327735:AP327735 X393271:AP393271 X458807:AP458807 X524343:AP524343 X589879:AP589879 X655415:AP655415 X720951:AP720951 X786487:AP786487 X852023:AP852023 X917559:AP917559 X983095:AP983095">
      <formula1>kind_of_cons</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589882:AQ589888 U196666:AQ196672 U655418:AQ655424 U262202:AQ262208 U720954:AQ720960 U327738:AQ327744 U786490:AQ786496 U393274:AQ393280 U852026:AQ852032 U458810:AQ458816 U917562:AQ917568 U65594:AQ65600 U524346:AQ524352 U983098:AQ983104"/>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Q79"/>
  <sheetViews>
    <sheetView showGridLines="0" tabSelected="1" zoomScale="90" zoomScaleNormal="90" topLeftCell="C1" workbookViewId="0">
      <selection activeCell="I59" sqref="I59"/>
    </sheetView>
  </sheetViews>
  <sheetFormatPr defaultColWidth="9.14285714285714" defaultRowHeight="11.25" customHeight="1"/>
  <cols>
    <col min="1" max="1" width="10.7142857142857" style="1328" hidden="1" customWidth="1"/>
    <col min="2" max="2" width="10.7142857142857" style="1031" hidden="1" customWidth="1"/>
    <col min="3" max="3" width="3" style="1329" customWidth="1"/>
    <col min="4" max="4" width="1" style="43" customWidth="1"/>
    <col min="5" max="6" width="55" style="43" customWidth="1"/>
    <col min="7" max="7" width="1" style="86" customWidth="1"/>
    <col min="8" max="8" width="18" style="43" hidden="1" customWidth="1"/>
    <col min="9" max="9" width="59" style="1330" customWidth="1"/>
    <col min="10" max="10" width="52.1428571428571" style="38" hidden="1" customWidth="1"/>
    <col min="11" max="11" width="8" style="43" customWidth="1"/>
    <col min="12" max="12" width="77" style="43" customWidth="1"/>
    <col min="13" max="16" width="8" style="43" customWidth="1"/>
    <col min="17" max="17" width="12" style="43" hidden="1" customWidth="1"/>
  </cols>
  <sheetData>
    <row r="1" s="976" customFormat="1" ht="3" customHeight="1" spans="1:17">
      <c r="A1" s="1328"/>
      <c r="B1" s="1331"/>
      <c r="F1" s="976" t="s">
        <v>13</v>
      </c>
      <c r="G1" s="1330"/>
      <c r="H1" s="575"/>
      <c r="I1" s="1330"/>
      <c r="J1" s="44"/>
      <c r="Q1" s="976" t="s">
        <v>14</v>
      </c>
    </row>
    <row r="2" s="575" customFormat="1" ht="14.25" customHeight="1" spans="1:17">
      <c r="A2" s="1328"/>
      <c r="B2" s="1031"/>
      <c r="E2" s="1332" t="str">
        <f>code</f>
        <v>Код отчёта: PP110.OPEN.INFO.INVEST.HEAT.EIAS</v>
      </c>
      <c r="F2" s="1333"/>
      <c r="G2" s="40"/>
      <c r="H2" s="40"/>
      <c r="I2" s="40"/>
      <c r="J2" s="39"/>
      <c r="K2" s="40"/>
      <c r="Q2" s="575">
        <v>14</v>
      </c>
    </row>
    <row r="3" ht="14.7" customHeight="1" spans="5:17">
      <c r="E3" s="504" t="str">
        <f>version</f>
        <v>Версия отчёта: 1.1.6</v>
      </c>
      <c r="F3" s="1333"/>
      <c r="G3"/>
      <c r="H3"/>
      <c r="I3"/>
      <c r="J3" s="264"/>
      <c r="K3"/>
      <c r="Q3" s="43">
        <v>14</v>
      </c>
    </row>
    <row r="4" s="208" customFormat="1" ht="6.3" customHeight="1" spans="1:17">
      <c r="A4" s="1328"/>
      <c r="B4" s="1334"/>
      <c r="C4" s="1335"/>
      <c r="D4" s="1198"/>
      <c r="F4" s="1336"/>
      <c r="G4" s="86"/>
      <c r="H4" s="43"/>
      <c r="I4" s="1330"/>
      <c r="J4" s="1220"/>
      <c r="Q4" s="208">
        <v>6</v>
      </c>
    </row>
    <row r="5" ht="39.75" customHeight="1" spans="4:17">
      <c r="D5" s="1337"/>
      <c r="E5" s="127" t="str">
        <f>NameTemplatesInTitle</f>
        <v>Информация об инвестиционных программах регулируемой организации в области теплоснабжения</v>
      </c>
      <c r="F5" s="126"/>
      <c r="G5" s="1338"/>
      <c r="J5" s="1364"/>
      <c r="Q5" s="43">
        <v>38</v>
      </c>
    </row>
    <row r="6" s="208" customFormat="1" ht="6.3" customHeight="1" spans="1:17">
      <c r="A6" s="1328"/>
      <c r="B6" s="1334"/>
      <c r="C6" s="1335"/>
      <c r="D6" s="1198"/>
      <c r="E6" s="1339"/>
      <c r="F6" s="1340"/>
      <c r="G6" s="1338"/>
      <c r="H6" s="43"/>
      <c r="I6" s="1330"/>
      <c r="J6" s="1220"/>
      <c r="Q6" s="208">
        <v>6</v>
      </c>
    </row>
    <row r="7" ht="21" customHeight="1" spans="4:17">
      <c r="D7" s="1337"/>
      <c r="E7" s="1341" t="s">
        <v>15</v>
      </c>
      <c r="F7" s="327" t="s">
        <v>16</v>
      </c>
      <c r="G7" s="1338"/>
      <c r="Q7" s="43">
        <v>20</v>
      </c>
    </row>
    <row r="8" s="208" customFormat="1" ht="6.3" customHeight="1" spans="1:17">
      <c r="A8" s="1342"/>
      <c r="B8" s="1334"/>
      <c r="C8" s="1335"/>
      <c r="D8" s="1343"/>
      <c r="E8" s="1339"/>
      <c r="F8" s="1344"/>
      <c r="G8" s="662"/>
      <c r="H8" s="43"/>
      <c r="I8" s="1330"/>
      <c r="J8" s="1365"/>
      <c r="Q8" s="208">
        <v>6</v>
      </c>
    </row>
    <row r="9" s="43" customFormat="1" ht="19.5" hidden="1" customHeight="1" spans="1:17">
      <c r="A9" s="1328"/>
      <c r="B9" s="1031"/>
      <c r="C9" s="1329"/>
      <c r="D9" s="1337"/>
      <c r="E9" s="1341" t="s">
        <v>17</v>
      </c>
      <c r="F9" s="1345"/>
      <c r="G9" s="1338"/>
      <c r="I9" s="42" t="str">
        <f>IF(TITLE_STRUCTURE_INFO_ROIV="","","раскрывается "&amp;INDEX(ROIV_INFO_COMMENT,MATCH(TITLE_STRUCTURE_INFO_ROIV,ROIV_INFO_LIST,0)))</f>
        <v/>
      </c>
      <c r="J9" s="38"/>
      <c r="Q9" s="43">
        <v>0</v>
      </c>
    </row>
    <row r="10" s="208" customFormat="1" ht="24" hidden="1" customHeight="1" spans="1:17">
      <c r="A10" s="1342"/>
      <c r="B10" s="1334"/>
      <c r="C10" s="1335"/>
      <c r="D10" s="1343"/>
      <c r="E10" s="1341" t="s">
        <v>18</v>
      </c>
      <c r="F10" s="1107" t="s">
        <v>19</v>
      </c>
      <c r="G10" s="662"/>
      <c r="H10" s="43"/>
      <c r="I10" s="1330"/>
      <c r="J10" s="1365"/>
      <c r="Q10" s="208">
        <v>24</v>
      </c>
    </row>
    <row r="11" ht="22.5" hidden="1" customHeight="1" spans="1:17">
      <c r="A11" s="1346" t="s">
        <v>20</v>
      </c>
      <c r="D11" s="1337"/>
      <c r="E11" s="1341" t="s">
        <v>21</v>
      </c>
      <c r="F11" s="255" t="s">
        <v>22</v>
      </c>
      <c r="G11" s="662"/>
      <c r="H11" s="1347" t="s">
        <v>23</v>
      </c>
      <c r="J11" s="38" t="s">
        <v>24</v>
      </c>
      <c r="Q11" s="43">
        <v>0</v>
      </c>
    </row>
    <row r="12" ht="22.5" hidden="1" customHeight="1" spans="1:17">
      <c r="A12" s="1346"/>
      <c r="D12" s="1337"/>
      <c r="E12" s="1341" t="s">
        <v>25</v>
      </c>
      <c r="F12" s="255"/>
      <c r="G12" s="53"/>
      <c r="J12" s="38" t="s">
        <v>26</v>
      </c>
      <c r="Q12" s="43">
        <v>0</v>
      </c>
    </row>
    <row r="13" s="43" customFormat="1" ht="22.5" hidden="1" customHeight="1" spans="1:17">
      <c r="A13" s="1348" t="s">
        <v>27</v>
      </c>
      <c r="B13" s="1031"/>
      <c r="C13" s="1329"/>
      <c r="D13" s="1337"/>
      <c r="E13" s="1349" t="s">
        <v>28</v>
      </c>
      <c r="F13" s="255" t="s">
        <v>22</v>
      </c>
      <c r="G13" s="662"/>
      <c r="H13"/>
      <c r="I13" s="1330"/>
      <c r="J13" s="39" t="s">
        <v>29</v>
      </c>
      <c r="Q13" s="43">
        <v>0</v>
      </c>
    </row>
    <row r="14" s="43" customFormat="1" ht="27" customHeight="1" spans="1:17">
      <c r="A14" s="1348" t="s">
        <v>30</v>
      </c>
      <c r="B14" s="1031"/>
      <c r="C14" s="1329"/>
      <c r="D14" s="1337"/>
      <c r="E14" s="1341" t="s">
        <v>31</v>
      </c>
      <c r="F14" s="817">
        <v>2026</v>
      </c>
      <c r="G14" s="662"/>
      <c r="H14"/>
      <c r="I14" s="1330"/>
      <c r="J14" s="38" t="s">
        <v>32</v>
      </c>
      <c r="Q14" s="43">
        <v>0</v>
      </c>
    </row>
    <row r="15" s="43" customFormat="1" ht="19.5" hidden="1" customHeight="1" spans="1:17">
      <c r="A15" s="1348" t="s">
        <v>33</v>
      </c>
      <c r="B15" s="1031"/>
      <c r="C15" s="1329"/>
      <c r="D15" s="1337"/>
      <c r="E15" s="1341" t="s">
        <v>34</v>
      </c>
      <c r="F15" s="817"/>
      <c r="G15" s="662"/>
      <c r="H15"/>
      <c r="I15" s="1330"/>
      <c r="J15" s="38" t="s">
        <v>35</v>
      </c>
      <c r="Q15" s="43">
        <v>0</v>
      </c>
    </row>
    <row r="16" s="43" customFormat="1" ht="19.5" hidden="1" customHeight="1" spans="1:17">
      <c r="A16" s="1328"/>
      <c r="B16" s="1031"/>
      <c r="C16" s="1329"/>
      <c r="D16" s="1337"/>
      <c r="E16" s="1341" t="s">
        <v>36</v>
      </c>
      <c r="F16" s="320"/>
      <c r="G16" s="53"/>
      <c r="H16" s="1347" t="s">
        <v>23</v>
      </c>
      <c r="I16" s="1330"/>
      <c r="J16" s="38"/>
      <c r="Q16" s="43">
        <v>20</v>
      </c>
    </row>
    <row r="17" ht="21" customHeight="1" spans="4:17">
      <c r="D17" s="1337"/>
      <c r="E17" s="1341" t="s">
        <v>37</v>
      </c>
      <c r="F17" s="449" t="s">
        <v>38</v>
      </c>
      <c r="G17" s="53"/>
      <c r="H17" s="1347" t="s">
        <v>23</v>
      </c>
      <c r="Q17" s="43">
        <v>20</v>
      </c>
    </row>
    <row r="18" ht="25.5" hidden="1" customHeight="1" spans="4:17">
      <c r="D18" s="1337"/>
      <c r="E18" s="1349" t="s">
        <v>39</v>
      </c>
      <c r="F18" s="625"/>
      <c r="G18" s="53"/>
      <c r="I18" s="1366"/>
      <c r="J18" s="1367" t="s">
        <v>40</v>
      </c>
      <c r="Q18" s="43">
        <v>0</v>
      </c>
    </row>
    <row r="19" ht="25.5" hidden="1" customHeight="1" spans="4:17">
      <c r="D19" s="1337"/>
      <c r="E19" s="134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625"/>
      <c r="G19" s="53"/>
      <c r="I19" s="1366"/>
      <c r="J19" s="1367"/>
      <c r="Q19" s="43">
        <v>0</v>
      </c>
    </row>
    <row r="20" ht="22.5" hidden="1" customHeight="1" spans="4:17">
      <c r="D20" s="1337"/>
      <c r="E20" s="1350"/>
      <c r="F20" s="86" t="str">
        <f>"Первичное "&amp;IF(TEMPLATE_GROUP="P","установление тарифов","предложение по тарифам")</f>
        <v>Первичное предложение по тарифам</v>
      </c>
      <c r="G20" s="53"/>
      <c r="I20" s="662"/>
      <c r="J20" s="1364" t="s">
        <v>41</v>
      </c>
      <c r="Q20" s="43">
        <v>0</v>
      </c>
    </row>
    <row r="21" ht="19.5" hidden="1" customHeight="1" spans="4:17">
      <c r="D21" s="1337"/>
      <c r="E21" s="1341" t="str">
        <f>"Дата "&amp;IF(TEMPLATE_GROUP="P","документа","подачи заявления")&amp;" об утверждении тарифов"</f>
        <v>Дата подачи заявления об утверждении тарифов</v>
      </c>
      <c r="F21" s="255"/>
      <c r="G21" s="53"/>
      <c r="I21" s="1368"/>
      <c r="Q21" s="43">
        <v>0</v>
      </c>
    </row>
    <row r="22" ht="19.5" hidden="1" customHeight="1" spans="4:17">
      <c r="D22" s="1337"/>
      <c r="E22" s="1341" t="str">
        <f>"Номер "&amp;IF(TEMPLATE_GROUP="P","документа","подачи заявления")&amp;" об утверждении тарифов"</f>
        <v>Номер подачи заявления об утверждении тарифов</v>
      </c>
      <c r="F22" s="449"/>
      <c r="G22" s="53"/>
      <c r="I22" s="1368"/>
      <c r="Q22" s="43">
        <v>0</v>
      </c>
    </row>
    <row r="23" ht="22.5" hidden="1" customHeight="1" spans="4:17">
      <c r="D23" s="1337"/>
      <c r="E23" s="1341" t="s">
        <v>42</v>
      </c>
      <c r="F23" s="449"/>
      <c r="G23" s="53"/>
      <c r="Q23" s="43">
        <v>0</v>
      </c>
    </row>
    <row r="24" ht="19.5" hidden="1" customHeight="1" spans="4:17">
      <c r="D24" s="1337"/>
      <c r="E24" s="1341" t="s">
        <v>43</v>
      </c>
      <c r="F24" s="449"/>
      <c r="G24" s="53"/>
      <c r="Q24" s="43">
        <v>0</v>
      </c>
    </row>
    <row r="25" ht="22.5" hidden="1" customHeight="1" spans="4:17">
      <c r="D25" s="1337"/>
      <c r="E25" s="1350"/>
      <c r="F25" s="86" t="str">
        <f>"Изменение "&amp;IF(TEMPLATE_GROUP="P","тарифов","предложения по тарифам")</f>
        <v>Изменение предложения по тарифам</v>
      </c>
      <c r="G25" s="53"/>
      <c r="J25" s="1364" t="s">
        <v>44</v>
      </c>
      <c r="Q25" s="43">
        <v>0</v>
      </c>
    </row>
    <row r="26" ht="19.5" hidden="1" customHeight="1" spans="4:17">
      <c r="D26" s="1337"/>
      <c r="E26" s="1341" t="str">
        <f>"Дата "&amp;IF(TEMPLATE_GROUP="P","принятия решения","подачи заявления")&amp;" об изменении тарифов"</f>
        <v>Дата подачи заявления об изменении тарифов</v>
      </c>
      <c r="F26" s="625"/>
      <c r="G26" s="53"/>
      <c r="Q26" s="43">
        <v>0</v>
      </c>
    </row>
    <row r="27" ht="19.5" hidden="1" customHeight="1" spans="4:17">
      <c r="D27" s="1337"/>
      <c r="E27" s="1341" t="str">
        <f>"Номер "&amp;IF(TEMPLATE_GROUP="P","принятия решения","заявления")&amp;" об изменении тарифов"</f>
        <v>Номер заявления об изменении тарифов</v>
      </c>
      <c r="F27" s="1160"/>
      <c r="G27" s="53"/>
      <c r="Q27" s="43">
        <v>0</v>
      </c>
    </row>
    <row r="28" ht="24.75" hidden="1" customHeight="1" spans="4:17">
      <c r="D28" s="1337"/>
      <c r="E28" s="1341" t="s">
        <v>45</v>
      </c>
      <c r="F28" s="1160"/>
      <c r="G28" s="53"/>
      <c r="Q28" s="43">
        <v>0</v>
      </c>
    </row>
    <row r="29" ht="19.5" hidden="1" customHeight="1" spans="4:17">
      <c r="D29" s="1337"/>
      <c r="E29" s="1341" t="s">
        <v>43</v>
      </c>
      <c r="F29" s="1160"/>
      <c r="G29" s="53"/>
      <c r="Q29" s="43">
        <v>0</v>
      </c>
    </row>
    <row r="30" s="208" customFormat="1" ht="6.3" customHeight="1" spans="1:17">
      <c r="A30" s="1342"/>
      <c r="B30" s="1334"/>
      <c r="C30" s="1335"/>
      <c r="D30" s="1343"/>
      <c r="E30" s="1339"/>
      <c r="F30" s="1344"/>
      <c r="G30" s="662"/>
      <c r="H30" s="43"/>
      <c r="I30" s="1330"/>
      <c r="J30" s="1220"/>
      <c r="Q30" s="208">
        <v>6</v>
      </c>
    </row>
    <row r="31" ht="21" customHeight="1" spans="3:17">
      <c r="C31" s="1351"/>
      <c r="D31" s="1352"/>
      <c r="E31" s="1341" t="str">
        <f>"Наименование "&amp;IF(TEMPLATE_GROUP="ROIV","органа тарифного регулирования","ЮЛ / ИП")</f>
        <v>Наименование ЮЛ / ИП</v>
      </c>
      <c r="F31" s="1353" t="s">
        <v>46</v>
      </c>
      <c r="G31" s="1354"/>
      <c r="Q31" s="43">
        <v>20</v>
      </c>
    </row>
    <row r="32" ht="21" hidden="1" customHeight="1" spans="3:17">
      <c r="C32" s="1351"/>
      <c r="D32" s="1352"/>
      <c r="E32" s="1355" t="s">
        <v>47</v>
      </c>
      <c r="F32" s="1353"/>
      <c r="G32" s="1354"/>
      <c r="Q32" s="43">
        <v>20</v>
      </c>
    </row>
    <row r="33" ht="21" customHeight="1" spans="3:17">
      <c r="C33" s="1351"/>
      <c r="D33" s="1352"/>
      <c r="E33" s="1341" t="s">
        <v>48</v>
      </c>
      <c r="F33" s="1353" t="s">
        <v>49</v>
      </c>
      <c r="G33" s="1354"/>
      <c r="Q33" s="43">
        <v>20</v>
      </c>
    </row>
    <row r="34" ht="21" customHeight="1" spans="3:17">
      <c r="C34" s="1351"/>
      <c r="D34" s="1352"/>
      <c r="E34" s="1341" t="s">
        <v>50</v>
      </c>
      <c r="F34" s="1353" t="s">
        <v>51</v>
      </c>
      <c r="G34" s="1354"/>
      <c r="H34" s="503"/>
      <c r="Q34" s="43">
        <v>20</v>
      </c>
    </row>
    <row r="35" s="208" customFormat="1" ht="11.55" customHeight="1" spans="1:17">
      <c r="A35" s="1342"/>
      <c r="B35" s="1334"/>
      <c r="C35" s="1335"/>
      <c r="D35" s="1343"/>
      <c r="E35" s="1339"/>
      <c r="F35" s="1344"/>
      <c r="G35" s="662"/>
      <c r="H35" s="43"/>
      <c r="I35" s="1330"/>
      <c r="J35" s="1220"/>
      <c r="Q35" s="208">
        <v>11</v>
      </c>
    </row>
    <row r="36" ht="19.5" customHeight="1" spans="1:17">
      <c r="A36" s="1356"/>
      <c r="D36" s="1352"/>
      <c r="E36" s="1341" t="s">
        <v>52</v>
      </c>
      <c r="F36" s="320" t="s">
        <v>53</v>
      </c>
      <c r="G36" s="662"/>
      <c r="Q36" s="43">
        <v>0</v>
      </c>
    </row>
    <row r="37" ht="21" customHeight="1" spans="1:17">
      <c r="A37" s="1356"/>
      <c r="D37" s="1352"/>
      <c r="E37" s="1341" t="s">
        <v>54</v>
      </c>
      <c r="F37" s="320" t="s">
        <v>55</v>
      </c>
      <c r="G37" s="662"/>
      <c r="Q37" s="43">
        <v>20</v>
      </c>
    </row>
    <row r="38" s="208" customFormat="1" ht="6.3" customHeight="1" spans="1:17">
      <c r="A38" s="1342"/>
      <c r="B38" s="1334"/>
      <c r="C38" s="1335"/>
      <c r="D38" s="1198"/>
      <c r="E38" s="1357"/>
      <c r="F38" s="1358"/>
      <c r="G38" s="53"/>
      <c r="H38" s="43"/>
      <c r="I38" s="1330"/>
      <c r="J38" s="38"/>
      <c r="Q38" s="208">
        <v>6</v>
      </c>
    </row>
    <row r="39" ht="36.75" customHeight="1" spans="1:17">
      <c r="A39" s="1342"/>
      <c r="D39" s="1337"/>
      <c r="E39" s="1341" t="s">
        <v>56</v>
      </c>
      <c r="F39" s="1107" t="s">
        <v>19</v>
      </c>
      <c r="G39" s="53"/>
      <c r="H39" s="1347" t="s">
        <v>23</v>
      </c>
      <c r="Q39" s="43">
        <v>35</v>
      </c>
    </row>
    <row r="40" s="208" customFormat="1" ht="6" hidden="1" customHeight="1" spans="1:17">
      <c r="A40" s="1328"/>
      <c r="B40" s="1334"/>
      <c r="C40" s="1335"/>
      <c r="D40" s="1198"/>
      <c r="E40" s="1357"/>
      <c r="F40" s="1358"/>
      <c r="G40" s="53"/>
      <c r="H40" s="43"/>
      <c r="I40" s="1330"/>
      <c r="J40" s="38"/>
      <c r="Q40" s="208">
        <v>6</v>
      </c>
    </row>
    <row r="41" s="43" customFormat="1" ht="26.25" hidden="1" customHeight="1" spans="1:17">
      <c r="A41" s="1348" t="s">
        <v>27</v>
      </c>
      <c r="B41" s="1031"/>
      <c r="C41" s="1329"/>
      <c r="D41" s="1337"/>
      <c r="E41" s="1341"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107" t="s">
        <v>19</v>
      </c>
      <c r="G41" s="53"/>
      <c r="I41" s="1330"/>
      <c r="J41" s="38"/>
      <c r="Q41" s="43">
        <v>0</v>
      </c>
    </row>
    <row r="42" s="208" customFormat="1" ht="6" hidden="1" customHeight="1" spans="1:17">
      <c r="A42" s="1328"/>
      <c r="B42" s="1334"/>
      <c r="C42" s="1335"/>
      <c r="D42" s="1198"/>
      <c r="E42" s="1357"/>
      <c r="F42" s="1358"/>
      <c r="G42" s="53"/>
      <c r="H42" s="43"/>
      <c r="I42" s="1330"/>
      <c r="J42" s="1220"/>
      <c r="Q42" s="208">
        <v>0</v>
      </c>
    </row>
    <row r="43" s="43" customFormat="1" ht="27" hidden="1" customHeight="1" spans="1:17">
      <c r="A43" s="1328"/>
      <c r="B43" s="1031"/>
      <c r="C43" s="1329"/>
      <c r="D43" s="1337"/>
      <c r="E43" s="1341" t="s">
        <v>57</v>
      </c>
      <c r="F43" s="1107" t="s">
        <v>19</v>
      </c>
      <c r="G43" s="53"/>
      <c r="I43" s="1330"/>
      <c r="J43" s="38"/>
      <c r="Q43" s="43">
        <v>0</v>
      </c>
    </row>
    <row r="44" s="43" customFormat="1" ht="27" hidden="1" customHeight="1" spans="1:17">
      <c r="A44" s="1328"/>
      <c r="B44" s="1031"/>
      <c r="C44" s="1329"/>
      <c r="D44" s="1337"/>
      <c r="E44" s="1341" t="s">
        <v>58</v>
      </c>
      <c r="F44" s="1359"/>
      <c r="G44" s="53"/>
      <c r="I44" s="1330"/>
      <c r="J44" s="38"/>
      <c r="Q44" s="43">
        <v>0</v>
      </c>
    </row>
    <row r="45" s="208" customFormat="1" ht="6" hidden="1" customHeight="1" spans="1:17">
      <c r="A45" s="1328"/>
      <c r="B45" s="1334"/>
      <c r="C45" s="1335"/>
      <c r="D45" s="1198"/>
      <c r="E45" s="1357"/>
      <c r="F45" s="1358"/>
      <c r="G45" s="53"/>
      <c r="H45" s="43"/>
      <c r="I45" s="1330"/>
      <c r="J45" s="38"/>
      <c r="Q45" s="208">
        <v>0</v>
      </c>
    </row>
    <row r="46" s="208" customFormat="1" ht="24.75" hidden="1" customHeight="1" spans="1:17">
      <c r="A46" s="1328"/>
      <c r="B46" s="1334"/>
      <c r="C46" s="1335"/>
      <c r="D46" s="1198"/>
      <c r="E46" s="1341" t="s">
        <v>59</v>
      </c>
      <c r="F46" s="1107" t="s">
        <v>19</v>
      </c>
      <c r="G46" s="53"/>
      <c r="H46" s="43"/>
      <c r="I46" s="1330"/>
      <c r="J46" s="38"/>
      <c r="Q46" s="208">
        <v>0</v>
      </c>
    </row>
    <row r="47" s="43" customFormat="1" ht="24.75" hidden="1" customHeight="1" spans="1:17">
      <c r="A47" s="1328"/>
      <c r="B47" s="1031"/>
      <c r="C47" s="1329"/>
      <c r="D47" s="1337"/>
      <c r="E47" s="1341" t="s">
        <v>60</v>
      </c>
      <c r="F47" s="1107" t="s">
        <v>19</v>
      </c>
      <c r="G47" s="53"/>
      <c r="I47" s="1330"/>
      <c r="J47" s="38"/>
      <c r="Q47" s="43">
        <v>0</v>
      </c>
    </row>
    <row r="48" s="208" customFormat="1" ht="6" hidden="1" customHeight="1" spans="1:17">
      <c r="A48" s="1328"/>
      <c r="B48" s="1334"/>
      <c r="C48" s="1335"/>
      <c r="D48" s="1198"/>
      <c r="E48" s="1357"/>
      <c r="F48" s="1358"/>
      <c r="G48" s="53"/>
      <c r="H48" s="43"/>
      <c r="I48" s="1330"/>
      <c r="J48" s="38"/>
      <c r="Q48" s="208">
        <v>0</v>
      </c>
    </row>
    <row r="49" ht="29.25" hidden="1" customHeight="1" spans="4:17">
      <c r="D49" s="1337"/>
      <c r="E49" s="134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107"/>
      <c r="G49" s="53"/>
      <c r="Q49" s="43">
        <v>0</v>
      </c>
    </row>
    <row r="50" s="208" customFormat="1" ht="6" hidden="1" customHeight="1" spans="1:17">
      <c r="A50" s="1342"/>
      <c r="B50" s="1334"/>
      <c r="C50" s="1335"/>
      <c r="D50" s="1343"/>
      <c r="E50" s="1339"/>
      <c r="F50" s="1344"/>
      <c r="G50" s="662"/>
      <c r="H50" s="43"/>
      <c r="I50" s="1330"/>
      <c r="J50" s="38"/>
      <c r="Q50" s="208">
        <v>0</v>
      </c>
    </row>
    <row r="51" s="43" customFormat="1" ht="28.5" hidden="1" customHeight="1" spans="1:17">
      <c r="A51" s="1360"/>
      <c r="B51" s="1031"/>
      <c r="C51" s="1329"/>
      <c r="D51" s="1330"/>
      <c r="E51" s="1341" t="s">
        <v>61</v>
      </c>
      <c r="F51" s="1107" t="s">
        <v>19</v>
      </c>
      <c r="G51" s="86"/>
      <c r="I51" s="48"/>
      <c r="J51" s="38"/>
      <c r="P51" s="754"/>
      <c r="Q51" s="43">
        <v>0</v>
      </c>
    </row>
    <row r="52" s="208" customFormat="1" ht="6" hidden="1" customHeight="1" spans="1:17">
      <c r="A52" s="1342"/>
      <c r="B52" s="1334"/>
      <c r="C52" s="1335"/>
      <c r="D52" s="1343"/>
      <c r="E52" s="1339"/>
      <c r="F52" s="1344"/>
      <c r="G52" s="662"/>
      <c r="H52" s="43"/>
      <c r="I52" s="1330"/>
      <c r="J52" s="1220"/>
      <c r="Q52" s="208">
        <v>0</v>
      </c>
    </row>
    <row r="53" s="43" customFormat="1" ht="27" hidden="1" customHeight="1" spans="1:17">
      <c r="A53" s="1360"/>
      <c r="B53" s="1031"/>
      <c r="C53" s="1329"/>
      <c r="D53" s="1330"/>
      <c r="E53" s="1341" t="s">
        <v>62</v>
      </c>
      <c r="F53" s="277" t="s">
        <v>19</v>
      </c>
      <c r="G53" s="86"/>
      <c r="I53" s="48"/>
      <c r="J53" s="38"/>
      <c r="P53" s="754"/>
      <c r="Q53" s="43">
        <v>0</v>
      </c>
    </row>
    <row r="54" s="43" customFormat="1" ht="27" hidden="1" customHeight="1" spans="1:17">
      <c r="A54" s="1360"/>
      <c r="B54" s="1031"/>
      <c r="C54" s="1329"/>
      <c r="D54" s="1330"/>
      <c r="E54" s="1341" t="s">
        <v>63</v>
      </c>
      <c r="F54" s="1361"/>
      <c r="G54" s="86"/>
      <c r="I54" s="48"/>
      <c r="J54" s="38"/>
      <c r="P54" s="754"/>
      <c r="Q54" s="43">
        <v>0</v>
      </c>
    </row>
    <row r="55" s="208" customFormat="1" ht="6" hidden="1" customHeight="1" spans="1:17">
      <c r="A55" s="1342"/>
      <c r="B55" s="1334"/>
      <c r="C55" s="1335"/>
      <c r="D55" s="1343"/>
      <c r="E55" s="1339"/>
      <c r="F55" s="1344"/>
      <c r="G55" s="662"/>
      <c r="H55" s="43"/>
      <c r="I55" s="1330"/>
      <c r="J55" s="1220"/>
      <c r="Q55" s="208">
        <v>0</v>
      </c>
    </row>
    <row r="56" s="43" customFormat="1" ht="25.5" hidden="1" customHeight="1" spans="1:17">
      <c r="A56" s="1360"/>
      <c r="B56" s="1031"/>
      <c r="C56" s="1329"/>
      <c r="D56" s="1330"/>
      <c r="E56" s="1341" t="s">
        <v>64</v>
      </c>
      <c r="F56" s="277" t="s">
        <v>19</v>
      </c>
      <c r="G56" s="86"/>
      <c r="I56" s="48"/>
      <c r="J56" s="38"/>
      <c r="P56" s="754"/>
      <c r="Q56" s="43">
        <v>0</v>
      </c>
    </row>
    <row r="57" s="208" customFormat="1" ht="6" hidden="1" customHeight="1" spans="1:17">
      <c r="A57" s="1342"/>
      <c r="B57" s="1334"/>
      <c r="C57" s="1335"/>
      <c r="D57" s="1343"/>
      <c r="E57" s="1339"/>
      <c r="F57" s="1344"/>
      <c r="G57" s="662"/>
      <c r="H57" s="43"/>
      <c r="I57" s="1330"/>
      <c r="J57" s="1220"/>
      <c r="Q57" s="208">
        <v>0</v>
      </c>
    </row>
    <row r="58" s="43" customFormat="1" ht="15" hidden="1" customHeight="1" spans="1:17">
      <c r="A58" s="1360"/>
      <c r="B58" s="1031"/>
      <c r="C58" s="1329"/>
      <c r="D58" s="1330"/>
      <c r="E58" s="1341" t="s">
        <v>65</v>
      </c>
      <c r="F58" s="277" t="s">
        <v>66</v>
      </c>
      <c r="G58" s="86"/>
      <c r="I58" s="48"/>
      <c r="J58" s="38"/>
      <c r="P58" s="754"/>
      <c r="Q58" s="43">
        <v>0</v>
      </c>
    </row>
    <row r="59" s="43" customFormat="1" ht="75" customHeight="1" spans="1:17">
      <c r="A59" s="1360"/>
      <c r="B59" s="1031"/>
      <c r="C59" s="1329"/>
      <c r="D59" s="1330"/>
      <c r="E59" s="134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277" t="s">
        <v>66</v>
      </c>
      <c r="G59" s="86"/>
      <c r="I59" s="48"/>
      <c r="J59" s="38"/>
      <c r="P59" s="754"/>
      <c r="Q59" s="43">
        <v>0</v>
      </c>
    </row>
    <row r="60" s="43" customFormat="1" ht="15" customHeight="1" spans="1:17">
      <c r="A60" s="1360"/>
      <c r="B60" s="1031"/>
      <c r="C60" s="1329"/>
      <c r="D60" s="1330"/>
      <c r="E60" s="1341" t="s">
        <v>67</v>
      </c>
      <c r="F60" s="320" t="s">
        <v>68</v>
      </c>
      <c r="G60" s="86"/>
      <c r="I60" s="48"/>
      <c r="J60" s="38"/>
      <c r="P60" s="754"/>
      <c r="Q60" s="43">
        <v>0</v>
      </c>
    </row>
    <row r="61" s="208" customFormat="1" ht="6" hidden="1" customHeight="1" spans="1:17">
      <c r="A61" s="1342"/>
      <c r="B61" s="1334"/>
      <c r="C61" s="1335"/>
      <c r="D61" s="1198"/>
      <c r="E61" s="1357"/>
      <c r="F61" s="1358"/>
      <c r="G61" s="53"/>
      <c r="H61" s="43"/>
      <c r="I61" s="1330"/>
      <c r="J61" s="38"/>
      <c r="Q61" s="208">
        <v>0</v>
      </c>
    </row>
    <row r="62" s="43" customFormat="1" ht="33.75" hidden="1" customHeight="1" spans="1:17">
      <c r="A62" s="1342"/>
      <c r="B62" s="1031"/>
      <c r="C62" s="1329"/>
      <c r="D62" s="1337"/>
      <c r="E62" s="1341" t="s">
        <v>69</v>
      </c>
      <c r="F62" s="1107"/>
      <c r="G62" s="53"/>
      <c r="H62" s="1347" t="s">
        <v>23</v>
      </c>
      <c r="I62" s="1330"/>
      <c r="J62" s="38"/>
      <c r="Q62" s="43">
        <v>0</v>
      </c>
    </row>
    <row r="63" s="208" customFormat="1" ht="6.3" customHeight="1" spans="1:17">
      <c r="A63" s="1342"/>
      <c r="B63" s="1334"/>
      <c r="C63" s="1335"/>
      <c r="D63" s="1343"/>
      <c r="E63" s="1339"/>
      <c r="F63" s="1344"/>
      <c r="G63" s="662"/>
      <c r="H63" s="43"/>
      <c r="I63" s="1330"/>
      <c r="J63" s="1220"/>
      <c r="Q63" s="208">
        <v>6</v>
      </c>
    </row>
    <row r="64" ht="21" customHeight="1" spans="2:17">
      <c r="B64" s="1362"/>
      <c r="D64" s="1363"/>
      <c r="E64" s="1341" t="s">
        <v>70</v>
      </c>
      <c r="F64" s="449" t="s">
        <v>71</v>
      </c>
      <c r="G64" s="662"/>
      <c r="Q64" s="43">
        <v>20</v>
      </c>
    </row>
    <row r="65" ht="21" customHeight="1" spans="2:17">
      <c r="B65" s="1362"/>
      <c r="D65" s="1363"/>
      <c r="E65" s="1341" t="s">
        <v>72</v>
      </c>
      <c r="F65" s="449" t="s">
        <v>73</v>
      </c>
      <c r="G65" s="662"/>
      <c r="Q65" s="43">
        <v>20</v>
      </c>
    </row>
    <row r="66" ht="36.75" customHeight="1" spans="4:17">
      <c r="D66" s="1337"/>
      <c r="E66" s="1369" t="s">
        <v>74</v>
      </c>
      <c r="F66" s="589"/>
      <c r="G66" s="53"/>
      <c r="Q66" s="43">
        <v>35</v>
      </c>
    </row>
    <row r="67" ht="21" customHeight="1" spans="4:17">
      <c r="D67" s="1337"/>
      <c r="E67" s="1341" t="s">
        <v>75</v>
      </c>
      <c r="F67" s="449" t="s">
        <v>76</v>
      </c>
      <c r="G67" s="662"/>
      <c r="Q67" s="43">
        <v>20</v>
      </c>
    </row>
    <row r="68" ht="21" customHeight="1" spans="2:17">
      <c r="B68" s="1362"/>
      <c r="D68" s="1363"/>
      <c r="E68" s="1341" t="s">
        <v>77</v>
      </c>
      <c r="F68" s="449" t="s">
        <v>78</v>
      </c>
      <c r="G68" s="662"/>
      <c r="Q68" s="43">
        <v>20</v>
      </c>
    </row>
    <row r="69" ht="21" customHeight="1" spans="2:17">
      <c r="B69" s="1362"/>
      <c r="D69" s="1363"/>
      <c r="E69" s="1341" t="s">
        <v>79</v>
      </c>
      <c r="F69" s="449" t="s">
        <v>80</v>
      </c>
      <c r="G69" s="662"/>
      <c r="Q69" s="43">
        <v>20</v>
      </c>
    </row>
    <row r="70" ht="21" customHeight="1" spans="4:17">
      <c r="D70" s="1337"/>
      <c r="E70" s="1341" t="s">
        <v>81</v>
      </c>
      <c r="F70" s="1370" t="s">
        <v>82</v>
      </c>
      <c r="G70" s="53"/>
      <c r="Q70" s="43">
        <v>20</v>
      </c>
    </row>
    <row r="71" ht="21" customHeight="1" spans="4:17">
      <c r="D71" s="53"/>
      <c r="F71" s="1371"/>
      <c r="G71" s="662"/>
      <c r="Q71" s="43">
        <v>20</v>
      </c>
    </row>
    <row r="72" ht="21" customHeight="1" spans="2:17">
      <c r="B72" s="1362"/>
      <c r="D72" s="1363"/>
      <c r="E72" s="1372"/>
      <c r="F72" s="297" t="s">
        <v>13</v>
      </c>
      <c r="G72" s="662"/>
      <c r="Q72" s="43">
        <v>20</v>
      </c>
    </row>
    <row r="73" ht="21" customHeight="1" spans="2:17">
      <c r="B73" s="1362"/>
      <c r="D73" s="1363"/>
      <c r="E73" s="1372"/>
      <c r="F73" s="522"/>
      <c r="G73" s="662"/>
      <c r="Q73" s="43">
        <v>20</v>
      </c>
    </row>
    <row r="74" ht="21" customHeight="1" spans="2:17">
      <c r="B74" s="1362"/>
      <c r="D74" s="1363"/>
      <c r="E74" s="1373"/>
      <c r="F74" s="522"/>
      <c r="G74" s="662"/>
      <c r="Q74" s="43">
        <v>20</v>
      </c>
    </row>
    <row r="75" ht="21" customHeight="1" spans="2:17">
      <c r="B75" s="1362"/>
      <c r="D75" s="1363"/>
      <c r="E75" s="1372"/>
      <c r="F75" s="522"/>
      <c r="G75" s="662"/>
      <c r="Q75" s="43">
        <v>20</v>
      </c>
    </row>
    <row r="76" ht="11.55" customHeight="1" spans="17:17">
      <c r="Q76" s="43">
        <v>11</v>
      </c>
    </row>
    <row r="77" ht="11.55" customHeight="1" spans="17:17">
      <c r="Q77" s="43">
        <v>11</v>
      </c>
    </row>
    <row r="78" ht="11.55" customHeight="1" spans="5:17">
      <c r="E78" s="1374"/>
      <c r="F78" s="1374"/>
      <c r="G78" s="1374"/>
      <c r="H78" s="1374"/>
      <c r="I78" s="1374"/>
      <c r="Q78" s="43">
        <v>11</v>
      </c>
    </row>
    <row r="79" hidden="1" customHeight="1" spans="1:17">
      <c r="A79" s="1328" t="s">
        <v>83</v>
      </c>
      <c r="B79" s="1031">
        <v>0</v>
      </c>
      <c r="C79" s="1329">
        <v>3</v>
      </c>
      <c r="D79" s="43">
        <v>1</v>
      </c>
      <c r="E79" s="43">
        <v>55</v>
      </c>
      <c r="F79" s="43">
        <v>54</v>
      </c>
      <c r="G79" s="86">
        <v>1</v>
      </c>
      <c r="H79" s="43">
        <v>0</v>
      </c>
      <c r="I79" s="1330">
        <v>59</v>
      </c>
      <c r="J79" s="38">
        <v>0</v>
      </c>
      <c r="K79" s="43">
        <v>8</v>
      </c>
      <c r="L79" s="43">
        <v>77</v>
      </c>
      <c r="M79" s="43">
        <v>8</v>
      </c>
      <c r="N79" s="43">
        <v>8</v>
      </c>
      <c r="O79" s="43">
        <v>8</v>
      </c>
      <c r="P79" s="43">
        <v>8</v>
      </c>
      <c r="Q79" s="43">
        <v>11</v>
      </c>
    </row>
  </sheetData>
  <sheetProtection formatColumns="0" formatRows="0" insertRows="0" deleteColumns="0" deleteRows="0" sort="0" autoFilter="0"/>
  <mergeCells count="3">
    <mergeCell ref="E5:F5"/>
    <mergeCell ref="A11:A12"/>
    <mergeCell ref="J18:J19"/>
  </mergeCells>
  <dataValidations count="14">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Для выбора выполните двойной щелчок левой клавиши мыши по соответствующей ячейке." sqref="F10 F43 F49 F51 F53 F56 F58 F62 F39:F41 F45:F47"/>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26 F11:F13 F18:F19"/>
    <dataValidation allowBlank="1" showInputMessage="1" showErrorMessage="1" prompt="Выбор организации двойным щелчком левой клавиши мыши" sqref="F31"/>
    <dataValidation type="textLength" operator="lessThanOrEqual" allowBlank="1" showInputMessage="1" showErrorMessage="1" errorTitle="Ошибка" error="Допускается ввод не более 900 символов!" sqref="F32 F22:F24 F27:F29 F64:F65 F67:F70 F72:F75">
      <formula1>900</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10;ОСН - Общая система налогообложения&#10;УСН - Упрощённая система налогообложения&#10;ЕСХН - Единый сельскохозяйственный налог&#10;ПСН - Патентная система налогообложения&#10;НПД - Налог на профессиональный доход" sqref="F37">
      <formula1>kind_of_NDS</formula1>
    </dataValidation>
    <dataValidation type="list" allowBlank="1" showInputMessage="1" showErrorMessage="1" errorTitle="Ошибка" error="Выберите значение из списка" prompt="Выберите значение из списка" sqref="F38 F61">
      <formula1>kind_of_NDS</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s>
  <hyperlinks>
    <hyperlink ref="H11" location="Титульный!H9" display="Как заполнить?" tooltip="Помощь по работе с полями отчётной формы"/>
    <hyperlink ref="H16" location="Титульный!H9" display="Как заполнить?" tooltip="Помощь по работе с полями отчётной формы"/>
    <hyperlink ref="H17" location="Титульный!H9" display="Как заполнить?" tooltip="Помощь по работе с полями отчётной формы"/>
    <hyperlink ref="H39" location="Титульный!H9" display="Как заполнить?" tooltip="Помощь по работе с полями отчётной формы"/>
    <hyperlink ref="H62" location="Титульный!H9" display="Как заполнить?" tooltip="Помощь по работе с полями отчётной формы"/>
    <hyperlink ref="F70" r:id="rId4" display="tke-opr@yandex.ru"/>
  </hyperlinks>
  <pageMargins left="0.75" right="0.75" top="1" bottom="1" header="0.5" footer="0.5"/>
  <pageSetup paperSize="8" orientation="portrait"/>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A70"/>
  <sheetViews>
    <sheetView showGridLines="0" zoomScale="90" zoomScaleNormal="90" workbookViewId="0">
      <pane xSplit="27" ySplit="44" topLeftCell="AB45"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 style="39" customWidth="1"/>
    <col min="17" max="17" width="3" style="1051" customWidth="1"/>
    <col min="18" max="18" width="3" style="41" customWidth="1"/>
    <col min="19" max="19" width="12" style="42" customWidth="1"/>
    <col min="20" max="20" width="31" style="43" customWidth="1"/>
    <col min="21" max="21" width="0.142857142857143" style="43" customWidth="1"/>
    <col min="22" max="23" width="21.7142857142857" style="43" hidden="1" customWidth="1"/>
    <col min="24" max="24" width="11.7142857142857" style="43" hidden="1" customWidth="1"/>
    <col min="25" max="25" width="3.71428571428571" style="43" hidden="1" customWidth="1"/>
    <col min="26" max="26" width="11.7142857142857" style="43" hidden="1" customWidth="1"/>
    <col min="27" max="27" width="8.57142857142857" style="43" hidden="1" customWidth="1"/>
    <col min="28" max="28" width="5.41904761904762" style="43" customWidth="1"/>
    <col min="29" max="30" width="3" style="43" customWidth="1"/>
    <col min="31" max="31" width="24" style="43" customWidth="1"/>
    <col min="32" max="32" width="3.71428571428571" style="43" customWidth="1"/>
    <col min="33" max="34" width="3" style="43" customWidth="1"/>
    <col min="35" max="35" width="24" style="43" customWidth="1"/>
    <col min="36" max="36" width="3.71428571428571" style="43" customWidth="1"/>
    <col min="37" max="38" width="3" style="43" customWidth="1"/>
    <col min="39" max="39" width="18" style="43" customWidth="1"/>
    <col min="40" max="41" width="21" style="43" customWidth="1"/>
    <col min="42" max="42" width="11" style="43" customWidth="1"/>
    <col min="43" max="43" width="3.71428571428571" style="43" customWidth="1"/>
    <col min="44" max="44" width="11" style="43" customWidth="1"/>
    <col min="45" max="45" width="8.57142857142857" style="43" hidden="1" customWidth="1"/>
    <col min="46" max="46" width="4" style="43" customWidth="1"/>
    <col min="47" max="47" width="115" style="43" customWidth="1"/>
    <col min="48" max="52" width="10" style="44" customWidth="1"/>
    <col min="53" max="53" width="10.5714285714286" style="43" hidden="1"/>
  </cols>
  <sheetData>
    <row r="1" ht="22.5" hidden="1" customHeight="1" spans="53:53">
      <c r="BA1" s="43" t="s">
        <v>14</v>
      </c>
    </row>
    <row r="2" ht="21" hidden="1" customHeight="1" spans="1:53">
      <c r="A2" s="46"/>
      <c r="B2" s="46"/>
      <c r="C2" s="46"/>
      <c r="D2" s="46"/>
      <c r="E2" s="1052">
        <v>1</v>
      </c>
      <c r="F2" s="46"/>
      <c r="G2" s="46"/>
      <c r="H2" s="46"/>
      <c r="I2" s="46"/>
      <c r="J2" s="46"/>
      <c r="K2" s="46"/>
      <c r="L2" s="1054"/>
      <c r="M2" s="47"/>
      <c r="N2" s="47"/>
      <c r="O2" s="47"/>
      <c r="Q2" s="264"/>
      <c r="R2" s="82"/>
      <c r="S2" s="65" t="e">
        <f>INDEX(PT_DIFFERENTIATION_NUM_NTAR,MATCH(A2,PT_DIFFERENTIATION_NTAR_ID,0))</f>
        <v>#N/A</v>
      </c>
      <c r="T2" s="83" t="s">
        <v>121</v>
      </c>
      <c r="U2" s="84"/>
      <c r="V2" s="1061"/>
      <c r="W2" s="1061"/>
      <c r="X2" s="1061"/>
      <c r="Y2" s="1061"/>
      <c r="Z2" s="1061"/>
      <c r="AA2" s="1089"/>
      <c r="AB2" s="1090" t="e">
        <f>INDEX(PT_DIFFERENTIATION_NTAR,MATCH(A2,PT_DIFFERENTIATION_NTAR_ID,0))</f>
        <v>#N/A</v>
      </c>
      <c r="AC2" s="1061"/>
      <c r="AD2" s="1061"/>
      <c r="AE2" s="1061"/>
      <c r="AF2" s="1061"/>
      <c r="AG2" s="1061"/>
      <c r="AH2" s="1061"/>
      <c r="AI2" s="1061"/>
      <c r="AJ2" s="1061"/>
      <c r="AK2" s="1061"/>
      <c r="AL2" s="1061"/>
      <c r="AM2" s="1061"/>
      <c r="AN2" s="1061"/>
      <c r="AO2" s="1061"/>
      <c r="AP2" s="1061"/>
      <c r="AQ2" s="1061"/>
      <c r="AR2" s="1061"/>
      <c r="AS2" s="1061"/>
      <c r="AT2" s="1089"/>
      <c r="AU2" s="136" t="s">
        <v>392</v>
      </c>
      <c r="AW2" s="151"/>
      <c r="AX2" s="151" t="str">
        <f t="shared" ref="AX2:AX8" si="0">IF(T2="","",T2)</f>
        <v>Наименование тарифа</v>
      </c>
      <c r="AY2" s="151"/>
      <c r="AZ2" s="151"/>
      <c r="BA2" s="43">
        <v>0</v>
      </c>
    </row>
    <row r="3" ht="21" hidden="1" customHeight="1" spans="1:53">
      <c r="A3" s="46"/>
      <c r="B3" s="46"/>
      <c r="C3" s="46"/>
      <c r="D3" s="46"/>
      <c r="E3" s="1053"/>
      <c r="F3" s="1052">
        <v>1</v>
      </c>
      <c r="G3" s="46"/>
      <c r="H3" s="46"/>
      <c r="I3" s="46"/>
      <c r="J3" s="46"/>
      <c r="K3" s="46"/>
      <c r="L3" s="1054"/>
      <c r="M3" s="47"/>
      <c r="N3" s="47"/>
      <c r="O3" s="47"/>
      <c r="P3" s="48"/>
      <c r="Q3" s="1062"/>
      <c r="R3" s="88"/>
      <c r="S3" s="65" t="e">
        <f>INDEX(PT_DIFFERENTIATION_NUM_TER,MATCH(B3,PT_DIFFERENTIATION_TER_ID,0))</f>
        <v>#N/A</v>
      </c>
      <c r="T3" s="89" t="s">
        <v>393</v>
      </c>
      <c r="U3" s="84"/>
      <c r="V3" s="1061"/>
      <c r="W3" s="1061"/>
      <c r="X3" s="1061"/>
      <c r="Y3" s="1061"/>
      <c r="Z3" s="1061"/>
      <c r="AA3" s="1089"/>
      <c r="AB3" s="1090" t="e">
        <f>INDEX(PT_DIFFERENTIATION_TER,MATCH(B3,PT_DIFFERENTIATION_TER_ID,0))</f>
        <v>#N/A</v>
      </c>
      <c r="AC3" s="1061"/>
      <c r="AD3" s="1061"/>
      <c r="AE3" s="1061"/>
      <c r="AF3" s="1061"/>
      <c r="AG3" s="1061"/>
      <c r="AH3" s="1061"/>
      <c r="AI3" s="1061"/>
      <c r="AJ3" s="1061"/>
      <c r="AK3" s="1061"/>
      <c r="AL3" s="1061"/>
      <c r="AM3" s="1061"/>
      <c r="AN3" s="1061"/>
      <c r="AO3" s="1061"/>
      <c r="AP3" s="1061"/>
      <c r="AQ3" s="1061"/>
      <c r="AR3" s="1061"/>
      <c r="AS3" s="1061"/>
      <c r="AT3" s="1089"/>
      <c r="AU3" s="136" t="s">
        <v>394</v>
      </c>
      <c r="AW3" s="151"/>
      <c r="AX3" s="151" t="str">
        <f t="shared" si="0"/>
        <v>Территория действия тарифа</v>
      </c>
      <c r="AY3" s="151"/>
      <c r="AZ3" s="151"/>
      <c r="BA3" s="43">
        <v>0</v>
      </c>
    </row>
    <row r="4" ht="22.5" hidden="1" customHeight="1" spans="1:53">
      <c r="A4" s="46"/>
      <c r="B4" s="46"/>
      <c r="C4" s="46"/>
      <c r="D4" s="46"/>
      <c r="E4" s="1053"/>
      <c r="F4" s="1053"/>
      <c r="G4" s="1052">
        <v>1</v>
      </c>
      <c r="H4" s="46"/>
      <c r="I4" s="46"/>
      <c r="J4" s="46"/>
      <c r="K4" s="46"/>
      <c r="L4" s="1054"/>
      <c r="M4" s="47"/>
      <c r="N4" s="47"/>
      <c r="O4" s="47"/>
      <c r="P4" s="1055"/>
      <c r="Q4" s="1062"/>
      <c r="R4" s="88"/>
      <c r="S4" s="65" t="e">
        <f>INDEX(PT_DIFFERENTIATION_NUM_CS,MATCH(C4,PT_DIFFERENTIATION_CS_ID,0))</f>
        <v>#N/A</v>
      </c>
      <c r="T4" s="91" t="s">
        <v>395</v>
      </c>
      <c r="U4" s="84"/>
      <c r="V4" s="1061"/>
      <c r="W4" s="1061"/>
      <c r="X4" s="1061"/>
      <c r="Y4" s="1061"/>
      <c r="Z4" s="1061"/>
      <c r="AA4" s="1089"/>
      <c r="AB4" s="1090" t="e">
        <f>INDEX(PT_DIFFERENTIATION_CS,MATCH(C4,PT_DIFFERENTIATION_CS_ID,0))</f>
        <v>#N/A</v>
      </c>
      <c r="AC4" s="1061"/>
      <c r="AD4" s="1061"/>
      <c r="AE4" s="1061"/>
      <c r="AF4" s="1061"/>
      <c r="AG4" s="1061"/>
      <c r="AH4" s="1061"/>
      <c r="AI4" s="1061"/>
      <c r="AJ4" s="1061"/>
      <c r="AK4" s="1061"/>
      <c r="AL4" s="1061"/>
      <c r="AM4" s="1061"/>
      <c r="AN4" s="1061"/>
      <c r="AO4" s="1061"/>
      <c r="AP4" s="1061"/>
      <c r="AQ4" s="1061"/>
      <c r="AR4" s="1061"/>
      <c r="AS4" s="1061"/>
      <c r="AT4" s="1089"/>
      <c r="AU4" s="136" t="s">
        <v>396</v>
      </c>
      <c r="AW4" s="151"/>
      <c r="AX4" s="151" t="str">
        <f t="shared" si="0"/>
        <v>Наименование системы теплоснабжения </v>
      </c>
      <c r="AY4" s="151"/>
      <c r="AZ4" s="151"/>
      <c r="BA4" s="43">
        <v>0</v>
      </c>
    </row>
    <row r="5" ht="21" hidden="1" customHeight="1" spans="1:53">
      <c r="A5" s="46"/>
      <c r="B5" s="46"/>
      <c r="C5" s="46"/>
      <c r="D5" s="46"/>
      <c r="E5" s="1053"/>
      <c r="F5" s="1053"/>
      <c r="G5" s="1053"/>
      <c r="H5" s="1052">
        <v>1</v>
      </c>
      <c r="I5" s="46"/>
      <c r="J5" s="46"/>
      <c r="K5" s="46"/>
      <c r="L5" s="1054"/>
      <c r="M5" s="47"/>
      <c r="N5" s="47"/>
      <c r="O5" s="47"/>
      <c r="P5" s="1055"/>
      <c r="Q5" s="1062"/>
      <c r="R5" s="88"/>
      <c r="S5" s="65" t="e">
        <f>INDEX(PT_DIFFERENTIATION_NUM_IST_TE,MATCH(D5,PT_DIFFERENTIATION_IST_TE_ID,0))</f>
        <v>#N/A</v>
      </c>
      <c r="T5" s="92" t="s">
        <v>397</v>
      </c>
      <c r="U5" s="84"/>
      <c r="V5" s="1061"/>
      <c r="W5" s="1061"/>
      <c r="X5" s="1061"/>
      <c r="Y5" s="1061"/>
      <c r="Z5" s="1061"/>
      <c r="AA5" s="1089"/>
      <c r="AB5" s="1090" t="e">
        <f>INDEX(PT_DIFFERENTIATION_IST_TE,MATCH(D5,PT_DIFFERENTIATION_IST_TE_ID,0))</f>
        <v>#N/A</v>
      </c>
      <c r="AC5" s="1061"/>
      <c r="AD5" s="1061"/>
      <c r="AE5" s="1061"/>
      <c r="AF5" s="1061"/>
      <c r="AG5" s="1061"/>
      <c r="AH5" s="1061"/>
      <c r="AI5" s="1061"/>
      <c r="AJ5" s="1061"/>
      <c r="AK5" s="1061"/>
      <c r="AL5" s="1061"/>
      <c r="AM5" s="1061"/>
      <c r="AN5" s="1061"/>
      <c r="AO5" s="1061"/>
      <c r="AP5" s="1061"/>
      <c r="AQ5" s="1061"/>
      <c r="AR5" s="1061"/>
      <c r="AS5" s="1061"/>
      <c r="AT5" s="1089"/>
      <c r="AU5" s="136" t="s">
        <v>398</v>
      </c>
      <c r="AW5" s="151"/>
      <c r="AX5" s="151" t="str">
        <f t="shared" si="0"/>
        <v>Источник тепловой энергии  </v>
      </c>
      <c r="AY5" s="151"/>
      <c r="AZ5" s="151"/>
      <c r="BA5" s="43">
        <v>0</v>
      </c>
    </row>
    <row r="6" s="44" customFormat="1" ht="0.75" hidden="1" customHeight="1" spans="1:53">
      <c r="A6" s="590"/>
      <c r="B6" s="590"/>
      <c r="C6" s="590"/>
      <c r="D6" s="590"/>
      <c r="E6" s="1053"/>
      <c r="F6" s="1053"/>
      <c r="G6" s="1053"/>
      <c r="H6" s="1053"/>
      <c r="I6" s="229" t="e">
        <f>S5&amp;".1"</f>
        <v>#N/A</v>
      </c>
      <c r="J6" s="590"/>
      <c r="K6" s="590"/>
      <c r="L6" s="611" t="s">
        <v>399</v>
      </c>
      <c r="M6" s="1057"/>
      <c r="N6" s="1057"/>
      <c r="O6" s="1057"/>
      <c r="P6" s="93">
        <v>1</v>
      </c>
      <c r="Q6" s="93"/>
      <c r="R6" s="94"/>
      <c r="S6" s="330"/>
      <c r="T6" s="1067"/>
      <c r="U6" s="1065"/>
      <c r="V6" s="1066"/>
      <c r="W6" s="1066"/>
      <c r="X6" s="1066"/>
      <c r="Y6" s="1066"/>
      <c r="Z6" s="1066"/>
      <c r="AA6" s="1091"/>
      <c r="AB6" s="1092"/>
      <c r="AC6" s="1066"/>
      <c r="AD6" s="1066"/>
      <c r="AE6" s="1066"/>
      <c r="AF6" s="1066"/>
      <c r="AG6" s="1066"/>
      <c r="AH6" s="1066"/>
      <c r="AI6" s="1066"/>
      <c r="AJ6" s="1066"/>
      <c r="AK6" s="1066"/>
      <c r="AL6" s="1066"/>
      <c r="AM6" s="1066"/>
      <c r="AN6" s="1066"/>
      <c r="AO6" s="1066"/>
      <c r="AP6" s="1066"/>
      <c r="AQ6" s="1066"/>
      <c r="AR6" s="1066"/>
      <c r="AS6" s="1066"/>
      <c r="AT6" s="1091"/>
      <c r="AU6" s="995"/>
      <c r="AW6" s="151"/>
      <c r="AX6" s="151" t="str">
        <f t="shared" si="0"/>
        <v/>
      </c>
      <c r="AY6" s="151"/>
      <c r="AZ6" s="151"/>
      <c r="BA6" s="44">
        <v>0</v>
      </c>
    </row>
    <row r="7" s="44" customFormat="1" ht="0.75" hidden="1" customHeight="1" spans="1:53">
      <c r="A7" s="590"/>
      <c r="B7" s="590"/>
      <c r="C7" s="590"/>
      <c r="D7" s="590"/>
      <c r="E7" s="1053"/>
      <c r="F7" s="1053"/>
      <c r="G7" s="1053"/>
      <c r="H7" s="1053"/>
      <c r="I7" s="1058"/>
      <c r="J7" s="229" t="e">
        <f>S5&amp;".1"</f>
        <v>#N/A</v>
      </c>
      <c r="K7" s="590"/>
      <c r="L7" s="611"/>
      <c r="M7" s="1057"/>
      <c r="N7" s="1057"/>
      <c r="O7" s="1057"/>
      <c r="P7" s="93"/>
      <c r="Q7" s="93">
        <v>1</v>
      </c>
      <c r="R7" s="97"/>
      <c r="S7" s="330"/>
      <c r="T7" s="1068"/>
      <c r="U7" s="1065"/>
      <c r="V7" s="1066"/>
      <c r="W7" s="1066"/>
      <c r="X7" s="1066"/>
      <c r="Y7" s="1066"/>
      <c r="Z7" s="1066"/>
      <c r="AA7" s="1091"/>
      <c r="AB7" s="1092"/>
      <c r="AC7" s="1066"/>
      <c r="AD7" s="1066"/>
      <c r="AE7" s="1066"/>
      <c r="AF7" s="1066"/>
      <c r="AG7" s="1066"/>
      <c r="AH7" s="1066"/>
      <c r="AI7" s="1066"/>
      <c r="AJ7" s="1066"/>
      <c r="AK7" s="1066"/>
      <c r="AL7" s="1066"/>
      <c r="AM7" s="1066"/>
      <c r="AN7" s="1066"/>
      <c r="AO7" s="1066"/>
      <c r="AP7" s="1066"/>
      <c r="AQ7" s="1066"/>
      <c r="AR7" s="1066"/>
      <c r="AS7" s="1066"/>
      <c r="AT7" s="1091"/>
      <c r="AU7" s="995"/>
      <c r="AW7" s="151"/>
      <c r="AX7" s="151" t="str">
        <f t="shared" si="0"/>
        <v/>
      </c>
      <c r="AY7" s="151"/>
      <c r="AZ7" s="151"/>
      <c r="BA7" s="44">
        <v>0</v>
      </c>
    </row>
    <row r="8" ht="21" hidden="1" customHeight="1" spans="1:53">
      <c r="A8" s="46"/>
      <c r="B8" s="46"/>
      <c r="C8" s="46"/>
      <c r="D8" s="46"/>
      <c r="E8" s="1053"/>
      <c r="F8" s="1053"/>
      <c r="G8" s="1053"/>
      <c r="H8" s="1053"/>
      <c r="I8" s="1058"/>
      <c r="J8" s="1058"/>
      <c r="K8" s="229" t="e">
        <f>S5&amp;".1"</f>
        <v>#N/A</v>
      </c>
      <c r="L8" s="1054"/>
      <c r="P8" s="93"/>
      <c r="Q8" s="93"/>
      <c r="R8" s="1069">
        <v>1</v>
      </c>
      <c r="S8" s="1070" t="e">
        <f>$K8</f>
        <v>#N/A</v>
      </c>
      <c r="T8" s="1151"/>
      <c r="U8" s="84"/>
      <c r="V8" s="102"/>
      <c r="W8" s="138"/>
      <c r="X8" s="139"/>
      <c r="Y8" s="140" t="s">
        <v>66</v>
      </c>
      <c r="Z8" s="139"/>
      <c r="AA8" s="140" t="s">
        <v>66</v>
      </c>
      <c r="AB8" s="140" t="s">
        <v>19</v>
      </c>
      <c r="AC8" s="1093"/>
      <c r="AD8" s="664">
        <v>1</v>
      </c>
      <c r="AE8" s="1107"/>
      <c r="AF8" s="140" t="s">
        <v>19</v>
      </c>
      <c r="AG8" s="1093"/>
      <c r="AH8" s="664">
        <v>1</v>
      </c>
      <c r="AI8" s="1107"/>
      <c r="AJ8" s="140" t="s">
        <v>19</v>
      </c>
      <c r="AK8" s="1117"/>
      <c r="AL8" s="664">
        <v>1</v>
      </c>
      <c r="AM8" s="277"/>
      <c r="AN8" s="102"/>
      <c r="AO8" s="138"/>
      <c r="AP8" s="139"/>
      <c r="AQ8" s="140" t="s">
        <v>66</v>
      </c>
      <c r="AR8" s="139"/>
      <c r="AS8" s="140" t="s">
        <v>66</v>
      </c>
      <c r="AT8" s="1120"/>
      <c r="AU8" s="141" t="s">
        <v>456</v>
      </c>
      <c r="AV8" s="44" t="e">
        <f>STRCHECKDATE(V11:AT11)</f>
        <v>#NAME?</v>
      </c>
      <c r="AW8" s="151"/>
      <c r="AX8" s="151" t="str">
        <f t="shared" si="0"/>
        <v/>
      </c>
      <c r="AY8" s="151"/>
      <c r="AZ8" s="151"/>
      <c r="BA8" s="43">
        <v>0</v>
      </c>
    </row>
    <row r="9" ht="11.25" hidden="1" customHeight="1" spans="1:53">
      <c r="A9" s="46"/>
      <c r="B9" s="46"/>
      <c r="C9" s="46"/>
      <c r="D9" s="46"/>
      <c r="E9" s="1053"/>
      <c r="F9" s="1053"/>
      <c r="G9" s="1053"/>
      <c r="H9" s="1053"/>
      <c r="I9" s="1058"/>
      <c r="J9" s="1058"/>
      <c r="K9" s="229"/>
      <c r="L9" s="1054"/>
      <c r="P9" s="93"/>
      <c r="Q9" s="93"/>
      <c r="R9" s="1069"/>
      <c r="S9" s="1072"/>
      <c r="T9" s="1158"/>
      <c r="U9" s="84"/>
      <c r="V9" s="1074"/>
      <c r="W9" s="1121"/>
      <c r="X9" s="139"/>
      <c r="Y9" s="140"/>
      <c r="Z9" s="139"/>
      <c r="AA9" s="140"/>
      <c r="AB9" s="140"/>
      <c r="AC9" s="1093"/>
      <c r="AD9" s="664"/>
      <c r="AE9" s="1107"/>
      <c r="AF9" s="140"/>
      <c r="AG9" s="1093"/>
      <c r="AH9" s="664"/>
      <c r="AI9" s="1107"/>
      <c r="AJ9" s="140"/>
      <c r="AK9" s="331"/>
      <c r="AL9" s="332"/>
      <c r="AM9" s="227" t="s">
        <v>457</v>
      </c>
      <c r="AN9" s="1074"/>
      <c r="AO9" s="1075"/>
      <c r="AP9" s="1074"/>
      <c r="AQ9" s="1074"/>
      <c r="AR9" s="1074"/>
      <c r="AS9" s="1074"/>
      <c r="AT9" s="1162"/>
      <c r="AU9" s="144"/>
      <c r="AW9" s="151"/>
      <c r="AX9" s="151"/>
      <c r="AY9" s="151"/>
      <c r="AZ9" s="151"/>
      <c r="BA9" s="43">
        <v>0</v>
      </c>
    </row>
    <row r="10" ht="11.25" hidden="1" customHeight="1" spans="1:53">
      <c r="A10" s="46"/>
      <c r="B10" s="46"/>
      <c r="C10" s="46"/>
      <c r="D10" s="46"/>
      <c r="E10" s="1053"/>
      <c r="F10" s="1053"/>
      <c r="G10" s="1053"/>
      <c r="H10" s="1053"/>
      <c r="I10" s="1058"/>
      <c r="J10" s="1058"/>
      <c r="K10" s="229"/>
      <c r="L10" s="1054"/>
      <c r="P10" s="93"/>
      <c r="Q10" s="93"/>
      <c r="R10" s="1069"/>
      <c r="S10" s="1072"/>
      <c r="T10" s="1158"/>
      <c r="U10" s="84"/>
      <c r="V10" s="1074"/>
      <c r="W10" s="1121"/>
      <c r="X10" s="139"/>
      <c r="Y10" s="140"/>
      <c r="Z10" s="139"/>
      <c r="AA10" s="140"/>
      <c r="AB10" s="140"/>
      <c r="AC10" s="1093"/>
      <c r="AD10" s="664"/>
      <c r="AE10" s="1107"/>
      <c r="AF10" s="140"/>
      <c r="AG10" s="911"/>
      <c r="AH10" s="227"/>
      <c r="AI10" s="227" t="s">
        <v>458</v>
      </c>
      <c r="AJ10" s="1074"/>
      <c r="AK10" s="1074"/>
      <c r="AL10" s="1074"/>
      <c r="AM10" s="1074"/>
      <c r="AN10" s="1074"/>
      <c r="AO10" s="1075"/>
      <c r="AP10" s="1074"/>
      <c r="AQ10" s="1074"/>
      <c r="AR10" s="1074"/>
      <c r="AS10" s="1074"/>
      <c r="AT10" s="1162"/>
      <c r="AU10" s="144"/>
      <c r="AW10" s="151"/>
      <c r="AX10" s="151"/>
      <c r="AY10" s="151"/>
      <c r="AZ10" s="151"/>
      <c r="BA10" s="43">
        <v>0</v>
      </c>
    </row>
    <row r="11" ht="11.25" hidden="1" customHeight="1" spans="1:53">
      <c r="A11" s="46"/>
      <c r="B11" s="46"/>
      <c r="C11" s="46"/>
      <c r="D11" s="46"/>
      <c r="E11" s="1053"/>
      <c r="F11" s="1053"/>
      <c r="G11" s="1053"/>
      <c r="H11" s="1053"/>
      <c r="I11" s="1058"/>
      <c r="J11" s="1058"/>
      <c r="K11" s="229"/>
      <c r="L11" s="1054"/>
      <c r="P11" s="93"/>
      <c r="Q11" s="93"/>
      <c r="R11" s="1069"/>
      <c r="S11" s="1076"/>
      <c r="T11" s="1159"/>
      <c r="U11" s="84"/>
      <c r="V11" s="1074"/>
      <c r="W11" s="1122" t="str">
        <f>X8&amp;"-"&amp;Z8</f>
        <v>-</v>
      </c>
      <c r="X11" s="143"/>
      <c r="Y11" s="140"/>
      <c r="Z11" s="143"/>
      <c r="AA11" s="140"/>
      <c r="AB11" s="140"/>
      <c r="AC11" s="1094"/>
      <c r="AD11" s="1095"/>
      <c r="AE11" s="227" t="s">
        <v>459</v>
      </c>
      <c r="AF11" s="1074"/>
      <c r="AG11" s="1074"/>
      <c r="AH11" s="1074"/>
      <c r="AI11" s="1074"/>
      <c r="AJ11" s="1074"/>
      <c r="AK11" s="1074"/>
      <c r="AL11" s="1074"/>
      <c r="AM11" s="1074"/>
      <c r="AN11" s="1074"/>
      <c r="AO11" s="1078" t="str">
        <f>AP8&amp;"-"&amp;AR8</f>
        <v>-</v>
      </c>
      <c r="AP11" s="1074"/>
      <c r="AQ11" s="1074"/>
      <c r="AR11" s="1074"/>
      <c r="AS11" s="1074"/>
      <c r="AT11" s="1163"/>
      <c r="AU11" s="144"/>
      <c r="AW11" s="151"/>
      <c r="AX11" s="151" t="str">
        <f t="shared" ref="AX11:AX17" si="1">IF(T11="","",T11)</f>
        <v/>
      </c>
      <c r="AY11" s="151"/>
      <c r="AZ11" s="151"/>
      <c r="BA11" s="43">
        <v>0</v>
      </c>
    </row>
    <row r="12" ht="11.25" hidden="1" customHeight="1" spans="1:53">
      <c r="A12" s="46"/>
      <c r="B12" s="46"/>
      <c r="C12" s="46"/>
      <c r="D12" s="46"/>
      <c r="E12" s="1053"/>
      <c r="F12" s="1053"/>
      <c r="G12" s="1053"/>
      <c r="H12" s="1053"/>
      <c r="I12" s="1058"/>
      <c r="J12" s="229"/>
      <c r="K12" s="46"/>
      <c r="L12" s="1054"/>
      <c r="P12" s="93"/>
      <c r="Q12" s="93"/>
      <c r="R12" s="94"/>
      <c r="S12" s="105"/>
      <c r="T12" s="108" t="s">
        <v>460</v>
      </c>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45"/>
      <c r="AU12" s="146"/>
      <c r="AW12" s="151"/>
      <c r="AX12" s="151" t="str">
        <f t="shared" si="1"/>
        <v>Добавить строку</v>
      </c>
      <c r="AY12" s="151"/>
      <c r="AZ12" s="151"/>
      <c r="BA12" s="43">
        <v>0</v>
      </c>
    </row>
    <row r="13" s="44" customFormat="1" ht="0.75" hidden="1" customHeight="1" spans="1:53">
      <c r="A13" s="590"/>
      <c r="B13" s="590"/>
      <c r="C13" s="590"/>
      <c r="D13" s="590"/>
      <c r="E13" s="1053"/>
      <c r="F13" s="1053"/>
      <c r="G13" s="1053"/>
      <c r="H13" s="1053"/>
      <c r="I13" s="229"/>
      <c r="J13" s="590"/>
      <c r="K13" s="590"/>
      <c r="L13" s="611"/>
      <c r="M13" s="1057"/>
      <c r="N13" s="1057"/>
      <c r="O13" s="1057"/>
      <c r="P13" s="93"/>
      <c r="Q13" s="93"/>
      <c r="R13" s="94"/>
      <c r="S13" s="1079"/>
      <c r="T13" s="1080"/>
      <c r="U13" s="1081"/>
      <c r="V13" s="1081"/>
      <c r="W13" s="1081"/>
      <c r="X13" s="1081"/>
      <c r="Y13" s="1081"/>
      <c r="Z13" s="1081"/>
      <c r="AA13" s="1081"/>
      <c r="AB13" s="1081"/>
      <c r="AC13" s="1081"/>
      <c r="AD13" s="1081"/>
      <c r="AE13" s="1081"/>
      <c r="AF13" s="1081"/>
      <c r="AG13" s="1081"/>
      <c r="AH13" s="1081"/>
      <c r="AI13" s="1081"/>
      <c r="AJ13" s="1081"/>
      <c r="AK13" s="1081"/>
      <c r="AL13" s="1081"/>
      <c r="AM13" s="1081"/>
      <c r="AN13" s="1081"/>
      <c r="AO13" s="1081"/>
      <c r="AP13" s="1081"/>
      <c r="AQ13" s="1081"/>
      <c r="AR13" s="1081"/>
      <c r="AS13" s="1081"/>
      <c r="AT13" s="1081"/>
      <c r="AU13" s="1123"/>
      <c r="AW13" s="151"/>
      <c r="AX13" s="151" t="str">
        <f t="shared" si="1"/>
        <v/>
      </c>
      <c r="AY13" s="151"/>
      <c r="AZ13" s="151"/>
      <c r="BA13" s="44">
        <v>0</v>
      </c>
    </row>
    <row r="14" s="44" customFormat="1" ht="0.75" hidden="1" customHeight="1" spans="1:53">
      <c r="A14" s="590"/>
      <c r="B14" s="590"/>
      <c r="C14" s="590"/>
      <c r="D14" s="590"/>
      <c r="E14" s="1053"/>
      <c r="F14" s="1053"/>
      <c r="G14" s="1053"/>
      <c r="H14" s="1052"/>
      <c r="I14" s="590"/>
      <c r="J14" s="590"/>
      <c r="K14" s="590"/>
      <c r="L14" s="611"/>
      <c r="M14" s="283"/>
      <c r="N14" s="283"/>
      <c r="P14" s="152"/>
      <c r="Q14" s="1082"/>
      <c r="R14" s="1083"/>
      <c r="S14" s="1079"/>
      <c r="T14" s="1080"/>
      <c r="U14" s="1081"/>
      <c r="V14" s="1081"/>
      <c r="W14" s="1081"/>
      <c r="X14" s="1081"/>
      <c r="Y14" s="1081"/>
      <c r="Z14" s="1081"/>
      <c r="AA14" s="1081"/>
      <c r="AB14" s="1081"/>
      <c r="AC14" s="1081"/>
      <c r="AD14" s="1081"/>
      <c r="AE14" s="1081"/>
      <c r="AF14" s="1081"/>
      <c r="AG14" s="1081"/>
      <c r="AH14" s="1081"/>
      <c r="AI14" s="1081"/>
      <c r="AJ14" s="1081"/>
      <c r="AK14" s="1081"/>
      <c r="AL14" s="1081"/>
      <c r="AM14" s="1081"/>
      <c r="AN14" s="1081"/>
      <c r="AO14" s="1081"/>
      <c r="AP14" s="1081"/>
      <c r="AQ14" s="1081"/>
      <c r="AR14" s="1081"/>
      <c r="AS14" s="1081"/>
      <c r="AT14" s="1081"/>
      <c r="AU14" s="1123"/>
      <c r="AW14" s="151"/>
      <c r="AX14" s="151" t="str">
        <f t="shared" si="1"/>
        <v/>
      </c>
      <c r="AY14" s="151"/>
      <c r="AZ14" s="151"/>
      <c r="BA14" s="44">
        <v>0</v>
      </c>
    </row>
    <row r="15" s="44" customFormat="1" ht="0.75" hidden="1" customHeight="1" spans="1:53">
      <c r="A15" s="590"/>
      <c r="B15" s="590"/>
      <c r="C15" s="590"/>
      <c r="D15" s="590"/>
      <c r="E15" s="1053"/>
      <c r="F15" s="1053"/>
      <c r="G15" s="1052"/>
      <c r="H15" s="590"/>
      <c r="I15" s="590"/>
      <c r="J15" s="590"/>
      <c r="K15" s="590"/>
      <c r="L15" s="611"/>
      <c r="M15" s="283"/>
      <c r="N15" s="283"/>
      <c r="P15" s="152"/>
      <c r="Q15" s="1082"/>
      <c r="R15" s="152"/>
      <c r="S15" s="1084"/>
      <c r="T15" s="1085" t="s">
        <v>410</v>
      </c>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W15" s="151"/>
      <c r="AX15" s="151" t="str">
        <f t="shared" si="1"/>
        <v>Добавить источник для дифференциации</v>
      </c>
      <c r="AY15" s="151"/>
      <c r="AZ15" s="151"/>
      <c r="BA15" s="44">
        <v>0</v>
      </c>
    </row>
    <row r="16" s="44" customFormat="1" ht="0.75" hidden="1" customHeight="1" spans="1:53">
      <c r="A16" s="590"/>
      <c r="B16" s="590"/>
      <c r="C16" s="590"/>
      <c r="D16" s="590"/>
      <c r="E16" s="1053"/>
      <c r="F16" s="1052"/>
      <c r="G16" s="590"/>
      <c r="H16" s="590"/>
      <c r="I16" s="590"/>
      <c r="J16" s="590"/>
      <c r="K16" s="590"/>
      <c r="L16" s="611"/>
      <c r="M16" s="1059"/>
      <c r="N16" s="1059"/>
      <c r="P16" s="152"/>
      <c r="Q16" s="1082"/>
      <c r="R16" s="152"/>
      <c r="S16" s="1084"/>
      <c r="T16" s="1085" t="s">
        <v>411</v>
      </c>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W16" s="151"/>
      <c r="AX16" s="151" t="str">
        <f t="shared" si="1"/>
        <v>Добавить централизованную систему для дифференциации</v>
      </c>
      <c r="AY16" s="151"/>
      <c r="AZ16" s="151"/>
      <c r="BA16" s="44">
        <v>0</v>
      </c>
    </row>
    <row r="17" s="44" customFormat="1" ht="0.75" hidden="1" customHeight="1" spans="1:53">
      <c r="A17" s="590"/>
      <c r="B17" s="590"/>
      <c r="C17" s="590"/>
      <c r="D17" s="590"/>
      <c r="E17" s="1052"/>
      <c r="F17" s="590"/>
      <c r="G17" s="590"/>
      <c r="H17" s="590"/>
      <c r="I17" s="590"/>
      <c r="J17" s="590"/>
      <c r="K17" s="590"/>
      <c r="L17" s="611"/>
      <c r="M17" s="1059"/>
      <c r="N17" s="1059"/>
      <c r="P17" s="152"/>
      <c r="Q17" s="1082"/>
      <c r="R17" s="152"/>
      <c r="S17" s="1084"/>
      <c r="T17" s="1085" t="s">
        <v>412</v>
      </c>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W17" s="151"/>
      <c r="AX17" s="151" t="str">
        <f t="shared" si="1"/>
        <v>Добавить территорию для дифференциации</v>
      </c>
      <c r="AY17" s="151"/>
      <c r="AZ17" s="151"/>
      <c r="BA17" s="44">
        <v>0</v>
      </c>
    </row>
    <row r="18" hidden="1" customHeight="1" spans="53:53">
      <c r="BA18" s="43">
        <v>0</v>
      </c>
    </row>
    <row r="19" hidden="1" customHeight="1" spans="28:53">
      <c r="AB19" s="307" t="s">
        <v>19</v>
      </c>
      <c r="AC19" s="1097"/>
      <c r="AD19" s="307">
        <v>1</v>
      </c>
      <c r="AE19" s="1109"/>
      <c r="AF19" s="307" t="s">
        <v>19</v>
      </c>
      <c r="AG19" s="1097"/>
      <c r="AH19" s="307">
        <v>1</v>
      </c>
      <c r="AI19" s="1109"/>
      <c r="AJ19" s="307" t="s">
        <v>19</v>
      </c>
      <c r="AK19" s="1110"/>
      <c r="AL19" s="307">
        <v>1</v>
      </c>
      <c r="AM19" s="1161"/>
      <c r="AN19" s="487"/>
      <c r="AO19" s="1155"/>
      <c r="AP19" s="1124"/>
      <c r="AQ19" s="496" t="s">
        <v>66</v>
      </c>
      <c r="AR19" s="1124"/>
      <c r="AS19" s="496" t="s">
        <v>66</v>
      </c>
      <c r="BA19" s="43">
        <v>0</v>
      </c>
    </row>
    <row r="20" hidden="1" customHeight="1" spans="48:53">
      <c r="AV20" s="37"/>
      <c r="AW20" s="37"/>
      <c r="AX20" s="37"/>
      <c r="AY20" s="37"/>
      <c r="AZ20" s="37"/>
      <c r="BA20" s="43">
        <v>0</v>
      </c>
    </row>
    <row r="21" hidden="1" customHeight="1" spans="15:53">
      <c r="O21" s="1060" t="s">
        <v>413</v>
      </c>
      <c r="X21" s="1098"/>
      <c r="Z21" s="1098"/>
      <c r="AP21" s="1098"/>
      <c r="AR21" s="1098"/>
      <c r="AV21" s="37"/>
      <c r="AW21" s="37"/>
      <c r="AX21" s="37"/>
      <c r="AY21" s="37"/>
      <c r="AZ21" s="37"/>
      <c r="BA21" s="43">
        <v>0</v>
      </c>
    </row>
    <row r="22" hidden="1" customHeight="1" spans="48:53">
      <c r="AV22" s="37"/>
      <c r="AW22" s="37"/>
      <c r="AX22" s="37"/>
      <c r="AY22" s="37"/>
      <c r="AZ22" s="37"/>
      <c r="BA22" s="43">
        <v>0</v>
      </c>
    </row>
    <row r="23" s="1050" customFormat="1" hidden="1" customHeight="1" spans="13:53">
      <c r="M23" s="49"/>
      <c r="N23" s="49"/>
      <c r="O23" s="1050" t="s">
        <v>414</v>
      </c>
      <c r="P23" s="49"/>
      <c r="Q23" s="1086"/>
      <c r="R23" s="1086"/>
      <c r="Y23" s="1050" t="s">
        <v>416</v>
      </c>
      <c r="AA23" s="1050" t="s">
        <v>417</v>
      </c>
      <c r="AB23" s="1050" t="s">
        <v>461</v>
      </c>
      <c r="AE23" s="1050" t="s">
        <v>462</v>
      </c>
      <c r="AF23" s="1050" t="s">
        <v>461</v>
      </c>
      <c r="AI23" s="1050" t="s">
        <v>463</v>
      </c>
      <c r="AJ23" s="1050" t="s">
        <v>461</v>
      </c>
      <c r="AM23" s="1050" t="s">
        <v>464</v>
      </c>
      <c r="AQ23" s="1050" t="s">
        <v>416</v>
      </c>
      <c r="AS23" s="1050" t="s">
        <v>417</v>
      </c>
      <c r="AV23" s="1125"/>
      <c r="AW23" s="1125"/>
      <c r="AX23" s="1125"/>
      <c r="AY23" s="1125"/>
      <c r="AZ23" s="1125"/>
      <c r="BA23" s="1050">
        <v>0</v>
      </c>
    </row>
    <row r="24" hidden="1" customHeight="1" spans="15:53">
      <c r="O24" s="1054"/>
      <c r="AV24" s="37"/>
      <c r="AW24" s="37"/>
      <c r="AX24" s="37"/>
      <c r="AY24" s="37"/>
      <c r="AZ24" s="37"/>
      <c r="BA24" s="43">
        <v>0</v>
      </c>
    </row>
    <row r="25" hidden="1" customHeight="1" spans="15:53">
      <c r="O25" s="1054"/>
      <c r="AV25" s="37"/>
      <c r="AW25" s="37"/>
      <c r="AX25" s="37"/>
      <c r="AY25" s="37"/>
      <c r="AZ25" s="37"/>
      <c r="BA25" s="43">
        <v>0</v>
      </c>
    </row>
    <row r="26" ht="14.7" customHeight="1" spans="17:53">
      <c r="Q26" s="1087"/>
      <c r="R26" s="51"/>
      <c r="S26" s="52"/>
      <c r="T26" s="53"/>
      <c r="U26" s="53"/>
      <c r="BA26" s="43">
        <v>14</v>
      </c>
    </row>
    <row r="27" ht="27.3" customHeight="1" spans="17:53">
      <c r="Q27" s="1087"/>
      <c r="R27" s="51"/>
      <c r="S27" s="7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755"/>
      <c r="U27" s="755"/>
      <c r="V27" s="755"/>
      <c r="W27" s="755"/>
      <c r="X27" s="755"/>
      <c r="Y27" s="755"/>
      <c r="Z27" s="755"/>
      <c r="AA27" s="755"/>
      <c r="AB27" s="755"/>
      <c r="AC27" s="755"/>
      <c r="AD27" s="755"/>
      <c r="AE27" s="755"/>
      <c r="AF27" s="755"/>
      <c r="AG27" s="755"/>
      <c r="AH27" s="755"/>
      <c r="AI27" s="755"/>
      <c r="AJ27" s="755"/>
      <c r="AK27" s="755"/>
      <c r="AL27" s="755"/>
      <c r="AM27" s="755"/>
      <c r="AN27" s="755"/>
      <c r="AO27" s="755"/>
      <c r="AP27" s="755"/>
      <c r="AQ27" s="755"/>
      <c r="AR27" s="755"/>
      <c r="AS27" s="121"/>
      <c r="BA27" s="43">
        <v>26</v>
      </c>
    </row>
    <row r="28" ht="14.7" customHeight="1" spans="17:53">
      <c r="Q28" s="1087"/>
      <c r="R28" s="51"/>
      <c r="S28" s="660" t="str">
        <f>IF(org=0,"Не определено",org)</f>
        <v>АО "Теплокоммунэнерго"</v>
      </c>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121"/>
      <c r="BA28" s="43">
        <v>14</v>
      </c>
    </row>
    <row r="29" hidden="1" customHeight="1" spans="17:53">
      <c r="Q29" s="1087"/>
      <c r="R29" s="51"/>
      <c r="S29" s="52"/>
      <c r="T29" s="53"/>
      <c r="U29" s="53"/>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BA29" s="43">
        <v>0</v>
      </c>
    </row>
    <row r="30" s="36" customFormat="1" ht="25.5" hidden="1" customHeight="1" spans="1:53">
      <c r="A30" s="45"/>
      <c r="B30" s="45"/>
      <c r="C30" s="45"/>
      <c r="D30" s="45"/>
      <c r="E30" s="45"/>
      <c r="F30" s="45"/>
      <c r="G30" s="45"/>
      <c r="H30" s="45"/>
      <c r="I30" s="45"/>
      <c r="J30" s="45"/>
      <c r="K30" s="45"/>
      <c r="L30" s="1054"/>
      <c r="M30" s="45"/>
      <c r="N30" s="45"/>
      <c r="O30" s="45"/>
      <c r="P30" s="45"/>
      <c r="Q30" s="45"/>
      <c r="S30"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58"/>
      <c r="U30" s="1088"/>
      <c r="V30" s="60" t="str">
        <f>IF(TITLE_NAME_OR_PR_CHANGE="",IF(TITLE_NAME_OR_PR="","",TITLE_NAME_OR_PR),TITLE_NAME_OR_PR_CHANGE)</f>
        <v/>
      </c>
      <c r="W30" s="60"/>
      <c r="X30" s="60"/>
      <c r="Y30" s="60"/>
      <c r="Z30" s="60"/>
      <c r="AA30" s="43"/>
      <c r="AB30" s="60" t="str">
        <f>IF(TITLE_NAME_OR_PR_CHANGE="",IF(TITLE_NAME_OR_PR="","",TITLE_NAME_OR_PR),TITLE_NAME_OR_PR_CHANGE)</f>
        <v/>
      </c>
      <c r="AC30" s="60"/>
      <c r="AD30" s="60"/>
      <c r="AE30" s="60"/>
      <c r="AF30" s="60"/>
      <c r="AG30" s="60"/>
      <c r="AH30" s="60"/>
      <c r="AI30" s="60"/>
      <c r="AJ30" s="60"/>
      <c r="AK30" s="60"/>
      <c r="AL30" s="60"/>
      <c r="AM30" s="60"/>
      <c r="AN30" s="60"/>
      <c r="AO30" s="60"/>
      <c r="AP30" s="60"/>
      <c r="AQ30" s="60"/>
      <c r="AR30" s="60"/>
      <c r="AS30" s="43"/>
      <c r="AT30" s="43"/>
      <c r="AU30" s="122"/>
      <c r="AV30" s="151"/>
      <c r="AW30" s="151"/>
      <c r="AX30" s="151"/>
      <c r="AY30" s="151"/>
      <c r="AZ30" s="151"/>
      <c r="BA30" s="36">
        <v>0</v>
      </c>
    </row>
    <row r="31" s="36" customFormat="1" ht="18.75" hidden="1" customHeight="1" spans="1:53">
      <c r="A31" s="45"/>
      <c r="B31" s="45"/>
      <c r="C31" s="45"/>
      <c r="D31" s="45"/>
      <c r="E31" s="45"/>
      <c r="F31" s="45"/>
      <c r="G31" s="45"/>
      <c r="H31" s="45"/>
      <c r="I31" s="45"/>
      <c r="J31" s="45"/>
      <c r="K31" s="45"/>
      <c r="L31" s="1054"/>
      <c r="M31" s="45"/>
      <c r="N31" s="45"/>
      <c r="O31" s="45"/>
      <c r="P31" s="45"/>
      <c r="Q31" s="45"/>
      <c r="S31" s="58" t="str">
        <f>"Дата документа об "&amp;IF(TITLE_DATE_PR_CHANGE="","утверждении","изменении")&amp;" тарифов"</f>
        <v>Дата документа об утверждении тарифов</v>
      </c>
      <c r="T31" s="58"/>
      <c r="U31" s="1088"/>
      <c r="V31" s="793" t="str">
        <f>IF(TITLE_DATE_PR_CHANGE="",IF(TITLE_DATE_PR="","",TITLE_DATE_PR),TITLE_DATE_PR_CHANGE)</f>
        <v/>
      </c>
      <c r="W31" s="793"/>
      <c r="X31" s="793"/>
      <c r="Y31" s="793"/>
      <c r="Z31" s="793"/>
      <c r="AA31" s="43"/>
      <c r="AB31" s="793" t="str">
        <f>IF(TITLE_DATE_PR_CHANGE="",IF(TITLE_DATE_PR="","",TITLE_DATE_PR),TITLE_DATE_PR_CHANGE)</f>
        <v/>
      </c>
      <c r="AC31" s="793"/>
      <c r="AD31" s="793"/>
      <c r="AE31" s="793"/>
      <c r="AF31" s="793"/>
      <c r="AG31" s="793"/>
      <c r="AH31" s="793"/>
      <c r="AI31" s="793"/>
      <c r="AJ31" s="793"/>
      <c r="AK31" s="793"/>
      <c r="AL31" s="793"/>
      <c r="AM31" s="793"/>
      <c r="AN31" s="793"/>
      <c r="AO31" s="793"/>
      <c r="AP31" s="793"/>
      <c r="AQ31" s="793"/>
      <c r="AR31" s="793"/>
      <c r="AS31" s="43"/>
      <c r="AT31" s="43"/>
      <c r="AU31" s="122"/>
      <c r="AV31" s="151"/>
      <c r="AW31" s="151"/>
      <c r="AX31" s="151"/>
      <c r="AY31" s="151"/>
      <c r="AZ31" s="151"/>
      <c r="BA31" s="36">
        <v>0</v>
      </c>
    </row>
    <row r="32" s="36" customFormat="1" ht="18.75" hidden="1" customHeight="1" spans="1:53">
      <c r="A32" s="45"/>
      <c r="B32" s="45"/>
      <c r="C32" s="45"/>
      <c r="D32" s="45"/>
      <c r="E32" s="45"/>
      <c r="F32" s="45"/>
      <c r="G32" s="45"/>
      <c r="H32" s="45"/>
      <c r="I32" s="45"/>
      <c r="J32" s="45"/>
      <c r="K32" s="45"/>
      <c r="L32" s="1054"/>
      <c r="M32" s="45"/>
      <c r="N32" s="45"/>
      <c r="O32" s="45"/>
      <c r="P32" s="45"/>
      <c r="Q32" s="45"/>
      <c r="S32" s="58" t="str">
        <f>"Номер документа об "&amp;IF(TITLE_DATE_PR_CHANGE="","утверждении","изменении")&amp;" тарифов"</f>
        <v>Номер документа об утверждении тарифов</v>
      </c>
      <c r="T32" s="58"/>
      <c r="U32" s="1088"/>
      <c r="V32" s="60" t="str">
        <f>IF(TITLE_NUMBER_PR_CHANGE="",IF(TITLE_NUMBER_PR="","",TITLE_NUMBER_PR),TITLE_NUMBER_PR_CHANGE)</f>
        <v/>
      </c>
      <c r="W32" s="60"/>
      <c r="X32" s="60"/>
      <c r="Y32" s="60"/>
      <c r="Z32" s="60"/>
      <c r="AA32" s="43"/>
      <c r="AB32" s="60" t="str">
        <f>IF(TITLE_NUMBER_PR_CHANGE="",IF(TITLE_NUMBER_PR="","",TITLE_NUMBER_PR),TITLE_NUMBER_PR_CHANGE)</f>
        <v/>
      </c>
      <c r="AC32" s="60"/>
      <c r="AD32" s="60"/>
      <c r="AE32" s="60"/>
      <c r="AF32" s="60"/>
      <c r="AG32" s="60"/>
      <c r="AH32" s="60"/>
      <c r="AI32" s="60"/>
      <c r="AJ32" s="60"/>
      <c r="AK32" s="60"/>
      <c r="AL32" s="60"/>
      <c r="AM32" s="60"/>
      <c r="AN32" s="60"/>
      <c r="AO32" s="60"/>
      <c r="AP32" s="60"/>
      <c r="AQ32" s="60"/>
      <c r="AR32" s="60"/>
      <c r="AS32" s="43"/>
      <c r="AT32" s="43"/>
      <c r="AU32" s="122"/>
      <c r="AV32" s="151"/>
      <c r="AW32" s="151"/>
      <c r="AX32" s="151"/>
      <c r="AY32" s="151"/>
      <c r="AZ32" s="151"/>
      <c r="BA32" s="36">
        <v>0</v>
      </c>
    </row>
    <row r="33" s="36" customFormat="1" ht="18.75" hidden="1" customHeight="1" spans="1:53">
      <c r="A33" s="45"/>
      <c r="B33" s="45"/>
      <c r="C33" s="45"/>
      <c r="D33" s="45"/>
      <c r="E33" s="45"/>
      <c r="F33" s="45"/>
      <c r="G33" s="45"/>
      <c r="H33" s="45"/>
      <c r="I33" s="45"/>
      <c r="J33" s="45"/>
      <c r="K33" s="45"/>
      <c r="L33" s="1054"/>
      <c r="M33" s="45"/>
      <c r="N33" s="45"/>
      <c r="O33" s="45"/>
      <c r="P33" s="45"/>
      <c r="Q33" s="45"/>
      <c r="S33" s="58" t="s">
        <v>43</v>
      </c>
      <c r="T33" s="58"/>
      <c r="U33" s="1088"/>
      <c r="V33" s="60" t="str">
        <f>IF(TITLE_IST_PUB_CHANGE="",IF(TITLE_IST_PUB="","",TITLE_IST_PUB),TITLE_IST_PUB_CHANGE)</f>
        <v/>
      </c>
      <c r="W33" s="60"/>
      <c r="X33" s="60"/>
      <c r="Y33" s="60"/>
      <c r="Z33" s="60"/>
      <c r="AA33" s="43"/>
      <c r="AB33" s="60" t="str">
        <f>IF(TITLE_IST_PUB_CHANGE="",IF(TITLE_IST_PUB="","",TITLE_IST_PUB),TITLE_IST_PUB_CHANGE)</f>
        <v/>
      </c>
      <c r="AC33" s="60"/>
      <c r="AD33" s="60"/>
      <c r="AE33" s="60"/>
      <c r="AF33" s="60"/>
      <c r="AG33" s="60"/>
      <c r="AH33" s="60"/>
      <c r="AI33" s="60"/>
      <c r="AJ33" s="60"/>
      <c r="AK33" s="60"/>
      <c r="AL33" s="60"/>
      <c r="AM33" s="60"/>
      <c r="AN33" s="60"/>
      <c r="AO33" s="60"/>
      <c r="AP33" s="60"/>
      <c r="AQ33" s="60"/>
      <c r="AR33" s="60"/>
      <c r="AS33" s="43"/>
      <c r="AT33" s="43"/>
      <c r="AU33" s="122"/>
      <c r="AV33" s="151"/>
      <c r="AW33" s="151"/>
      <c r="AX33" s="151"/>
      <c r="AY33" s="151"/>
      <c r="AZ33" s="151"/>
      <c r="BA33" s="36">
        <v>0</v>
      </c>
    </row>
    <row r="34" hidden="1" customHeight="1" spans="17:53">
      <c r="Q34" s="1087"/>
      <c r="R34" s="51"/>
      <c r="S34" s="52"/>
      <c r="T34" s="53"/>
      <c r="U34" s="53"/>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BA34" s="43">
        <v>0</v>
      </c>
    </row>
    <row r="35" s="36" customFormat="1" ht="18.75" hidden="1" customHeight="1" spans="1:53">
      <c r="A35" s="45"/>
      <c r="B35" s="45"/>
      <c r="C35" s="45"/>
      <c r="D35" s="45"/>
      <c r="E35" s="45"/>
      <c r="F35" s="45"/>
      <c r="G35" s="45"/>
      <c r="H35" s="45"/>
      <c r="I35" s="45"/>
      <c r="J35" s="45"/>
      <c r="K35" s="45"/>
      <c r="L35" s="1054"/>
      <c r="M35" s="45"/>
      <c r="N35" s="45"/>
      <c r="O35" s="45"/>
      <c r="P35" s="45"/>
      <c r="Q35" s="45"/>
      <c r="S35" s="58" t="str">
        <f>"Дата подачи заявления об "&amp;IF(TITLE_DATE_PR_CHANGE="","утверждении","изменении")&amp;" тарифов"</f>
        <v>Дата подачи заявления об утверждении тарифов</v>
      </c>
      <c r="T35" s="58"/>
      <c r="U35" s="1088"/>
      <c r="V35" s="793" t="str">
        <f>IF(TITLE_DATE_PR_CHANGE="",IF(TITLE_DATE_PR="","",TITLE_DATE_PR),TITLE_DATE_PR_CHANGE)</f>
        <v/>
      </c>
      <c r="W35" s="793"/>
      <c r="X35" s="793"/>
      <c r="Y35" s="793"/>
      <c r="Z35" s="793"/>
      <c r="AA35" s="43"/>
      <c r="AB35" s="793" t="str">
        <f>IF(TITLE_DATE_PR_CHANGE="",IF(TITLE_DATE_PR="","",TITLE_DATE_PR),TITLE_DATE_PR_CHANGE)</f>
        <v/>
      </c>
      <c r="AC35" s="793"/>
      <c r="AD35" s="793"/>
      <c r="AE35" s="793"/>
      <c r="AF35" s="793"/>
      <c r="AG35" s="793"/>
      <c r="AH35" s="793"/>
      <c r="AI35" s="793"/>
      <c r="AJ35" s="793"/>
      <c r="AK35" s="793"/>
      <c r="AL35" s="793"/>
      <c r="AM35" s="793"/>
      <c r="AN35" s="793"/>
      <c r="AO35" s="793"/>
      <c r="AP35" s="793"/>
      <c r="AQ35" s="793"/>
      <c r="AR35" s="793"/>
      <c r="AS35" s="43"/>
      <c r="AT35" s="43"/>
      <c r="AU35" s="122"/>
      <c r="AV35" s="151"/>
      <c r="AW35" s="151"/>
      <c r="AX35" s="151"/>
      <c r="AY35" s="151"/>
      <c r="AZ35" s="151"/>
      <c r="BA35" s="36">
        <v>0</v>
      </c>
    </row>
    <row r="36" s="36" customFormat="1" ht="18" hidden="1" customHeight="1" spans="1:53">
      <c r="A36" s="45"/>
      <c r="B36" s="45"/>
      <c r="C36" s="45"/>
      <c r="D36" s="45"/>
      <c r="E36" s="45"/>
      <c r="F36" s="45"/>
      <c r="G36" s="45"/>
      <c r="H36" s="45"/>
      <c r="I36" s="45"/>
      <c r="J36" s="45"/>
      <c r="K36" s="45"/>
      <c r="L36" s="1054"/>
      <c r="M36" s="45"/>
      <c r="N36" s="45"/>
      <c r="O36" s="45"/>
      <c r="P36" s="45"/>
      <c r="Q36" s="45"/>
      <c r="S36" s="58" t="str">
        <f>"Номер подачи заявления об "&amp;IF(TITLE_DATE_PR_CHANGE="","утверждении","изменении")&amp;" тарифов"</f>
        <v>Номер подачи заявления об утверждении тарифов</v>
      </c>
      <c r="T36" s="58"/>
      <c r="U36" s="1088"/>
      <c r="V36" s="60" t="str">
        <f>IF(TITLE_NUMBER_PR_CHANGE="",IF(TITLE_NUMBER_PR="","",TITLE_NUMBER_PR),TITLE_NUMBER_PR_CHANGE)</f>
        <v/>
      </c>
      <c r="W36" s="60"/>
      <c r="X36" s="60"/>
      <c r="Y36" s="60"/>
      <c r="Z36" s="60"/>
      <c r="AA36" s="43"/>
      <c r="AB36" s="60" t="str">
        <f>IF(TITLE_NUMBER_PR_CHANGE="",IF(TITLE_NUMBER_PR="","",TITLE_NUMBER_PR),TITLE_NUMBER_PR_CHANGE)</f>
        <v/>
      </c>
      <c r="AC36" s="60"/>
      <c r="AD36" s="60"/>
      <c r="AE36" s="60"/>
      <c r="AF36" s="60"/>
      <c r="AG36" s="60"/>
      <c r="AH36" s="60"/>
      <c r="AI36" s="60"/>
      <c r="AJ36" s="60"/>
      <c r="AK36" s="60"/>
      <c r="AL36" s="60"/>
      <c r="AM36" s="60"/>
      <c r="AN36" s="60"/>
      <c r="AO36" s="60"/>
      <c r="AP36" s="60"/>
      <c r="AQ36" s="60"/>
      <c r="AR36" s="60"/>
      <c r="AS36" s="43"/>
      <c r="AT36" s="43"/>
      <c r="AU36" s="122"/>
      <c r="AV36" s="151"/>
      <c r="AW36" s="151"/>
      <c r="AX36" s="151"/>
      <c r="AY36" s="151"/>
      <c r="AZ36" s="151"/>
      <c r="BA36" s="36">
        <v>0</v>
      </c>
    </row>
    <row r="37" s="36" customFormat="1" ht="1.05" customHeight="1" spans="1:53">
      <c r="A37" s="45"/>
      <c r="B37" s="45"/>
      <c r="C37" s="45"/>
      <c r="D37" s="45"/>
      <c r="E37" s="45"/>
      <c r="F37" s="45"/>
      <c r="G37" s="45"/>
      <c r="H37" s="45"/>
      <c r="I37" s="45"/>
      <c r="J37" s="45"/>
      <c r="K37" s="45"/>
      <c r="L37" s="1054"/>
      <c r="M37" s="45"/>
      <c r="N37" s="45"/>
      <c r="O37" s="45"/>
      <c r="P37" s="45"/>
      <c r="Q37" s="45"/>
      <c r="S37" s="43"/>
      <c r="T37" s="43"/>
      <c r="U37" s="61"/>
      <c r="V37" s="43"/>
      <c r="W37" s="43"/>
      <c r="X37" s="43"/>
      <c r="Y37" s="43"/>
      <c r="Z37" s="43"/>
      <c r="AA37" s="44" t="s">
        <v>419</v>
      </c>
      <c r="AB37" s="43"/>
      <c r="AC37" s="43"/>
      <c r="AD37" s="43"/>
      <c r="AE37" s="43"/>
      <c r="AF37" s="43"/>
      <c r="AG37" s="43"/>
      <c r="AH37" s="43"/>
      <c r="AI37" s="43"/>
      <c r="AJ37" s="43"/>
      <c r="AK37" s="43"/>
      <c r="AL37" s="43"/>
      <c r="AM37" s="43"/>
      <c r="AN37" s="43"/>
      <c r="AO37" s="43"/>
      <c r="AP37" s="43"/>
      <c r="AQ37" s="43"/>
      <c r="AR37" s="43"/>
      <c r="AS37" s="44" t="s">
        <v>419</v>
      </c>
      <c r="AV37" s="151"/>
      <c r="AW37" s="151"/>
      <c r="AX37" s="151"/>
      <c r="AY37" s="151"/>
      <c r="AZ37" s="151"/>
      <c r="BA37" s="36">
        <v>1</v>
      </c>
    </row>
    <row r="38" ht="14.7" customHeight="1" spans="17:53">
      <c r="Q38" s="1087"/>
      <c r="R38" s="51"/>
      <c r="S38" s="52"/>
      <c r="T38" s="53"/>
      <c r="U38" s="62"/>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BA38" s="43">
        <v>14</v>
      </c>
    </row>
    <row r="39" ht="14.7" customHeight="1" spans="17:53">
      <c r="Q39" s="1087"/>
      <c r="R39" s="51"/>
      <c r="S39" s="64" t="s">
        <v>296</v>
      </c>
      <c r="T39" s="64"/>
      <c r="U39" s="64"/>
      <c r="V39" s="64"/>
      <c r="W39" s="64"/>
      <c r="X39" s="64"/>
      <c r="Y39" s="64"/>
      <c r="Z39" s="64"/>
      <c r="AA39" s="64"/>
      <c r="AB39" s="71"/>
      <c r="AC39" s="71"/>
      <c r="AD39" s="71"/>
      <c r="AE39" s="71"/>
      <c r="AF39" s="64"/>
      <c r="AG39" s="64"/>
      <c r="AH39" s="64"/>
      <c r="AI39" s="64"/>
      <c r="AJ39" s="64"/>
      <c r="AK39" s="64"/>
      <c r="AL39" s="64"/>
      <c r="AM39" s="64"/>
      <c r="AN39" s="64"/>
      <c r="AO39" s="64"/>
      <c r="AP39" s="64"/>
      <c r="AQ39" s="64"/>
      <c r="AR39" s="64"/>
      <c r="AS39" s="64"/>
      <c r="AT39" s="64"/>
      <c r="AU39" s="64" t="s">
        <v>297</v>
      </c>
      <c r="BA39" s="43">
        <v>14</v>
      </c>
    </row>
    <row r="40" ht="14.7" customHeight="1" spans="17:53">
      <c r="Q40" s="1087"/>
      <c r="R40" s="51"/>
      <c r="S40" s="65" t="s">
        <v>89</v>
      </c>
      <c r="T40" s="66" t="s">
        <v>465</v>
      </c>
      <c r="U40" s="67"/>
      <c r="V40" s="69"/>
      <c r="W40" s="69"/>
      <c r="X40" s="69"/>
      <c r="Y40" s="69"/>
      <c r="Z40" s="123"/>
      <c r="AA40" s="853" t="s">
        <v>422</v>
      </c>
      <c r="AB40" s="913" t="s">
        <v>466</v>
      </c>
      <c r="AC40" s="1099"/>
      <c r="AD40" s="1099"/>
      <c r="AE40" s="1111"/>
      <c r="AF40" s="1099" t="s">
        <v>467</v>
      </c>
      <c r="AG40" s="1099"/>
      <c r="AH40" s="1099"/>
      <c r="AI40" s="1111"/>
      <c r="AJ40" s="913" t="s">
        <v>468</v>
      </c>
      <c r="AK40" s="1099"/>
      <c r="AL40" s="1099"/>
      <c r="AM40" s="1111"/>
      <c r="AN40" s="913" t="s">
        <v>421</v>
      </c>
      <c r="AO40" s="1099"/>
      <c r="AP40" s="69"/>
      <c r="AQ40" s="69"/>
      <c r="AR40" s="123"/>
      <c r="AS40" s="124" t="s">
        <v>422</v>
      </c>
      <c r="AT40" s="125" t="s">
        <v>424</v>
      </c>
      <c r="AU40" s="64"/>
      <c r="BA40" s="43">
        <v>14</v>
      </c>
    </row>
    <row r="41" ht="35.7" customHeight="1" spans="17:53">
      <c r="Q41" s="1087"/>
      <c r="R41" s="51"/>
      <c r="S41" s="65"/>
      <c r="T41" s="66"/>
      <c r="U41" s="70"/>
      <c r="V41" s="64" t="s">
        <v>469</v>
      </c>
      <c r="W41" s="64"/>
      <c r="X41" s="903" t="s">
        <v>428</v>
      </c>
      <c r="Y41" s="1100"/>
      <c r="Z41" s="904"/>
      <c r="AA41" s="858"/>
      <c r="AB41" s="1101"/>
      <c r="AC41" s="1102"/>
      <c r="AD41" s="1102"/>
      <c r="AE41" s="1112"/>
      <c r="AF41" s="1102"/>
      <c r="AG41" s="1102"/>
      <c r="AH41" s="1102"/>
      <c r="AI41" s="1112"/>
      <c r="AJ41" s="1101"/>
      <c r="AK41" s="1102"/>
      <c r="AL41" s="1102"/>
      <c r="AM41" s="1102"/>
      <c r="AN41" s="64" t="s">
        <v>469</v>
      </c>
      <c r="AO41" s="64"/>
      <c r="AP41" s="1100" t="s">
        <v>428</v>
      </c>
      <c r="AQ41" s="1100"/>
      <c r="AR41" s="904"/>
      <c r="AS41" s="129"/>
      <c r="AT41" s="130"/>
      <c r="AU41" s="64"/>
      <c r="BA41" s="43">
        <v>34</v>
      </c>
    </row>
    <row r="42" ht="14.7" customHeight="1" spans="17:53">
      <c r="Q42" s="1087"/>
      <c r="R42" s="51"/>
      <c r="S42" s="65"/>
      <c r="T42" s="66"/>
      <c r="U42" s="70"/>
      <c r="V42" s="1153" t="str">
        <f>IF($AN$42&lt;&gt;"",$AN$42,"")</f>
        <v/>
      </c>
      <c r="W42" s="1153"/>
      <c r="X42" s="907"/>
      <c r="Y42" s="1103"/>
      <c r="Z42" s="908"/>
      <c r="AA42" s="858"/>
      <c r="AB42" s="1101"/>
      <c r="AC42" s="1102"/>
      <c r="AD42" s="1102"/>
      <c r="AE42" s="1112"/>
      <c r="AF42" s="1102"/>
      <c r="AG42" s="1102"/>
      <c r="AH42" s="1102"/>
      <c r="AI42" s="1112"/>
      <c r="AJ42" s="1101"/>
      <c r="AK42" s="1102"/>
      <c r="AL42" s="1102"/>
      <c r="AM42" s="1102"/>
      <c r="AN42" s="655"/>
      <c r="AO42" s="655"/>
      <c r="AP42" s="1103"/>
      <c r="AQ42" s="1103"/>
      <c r="AR42" s="908"/>
      <c r="AS42" s="129"/>
      <c r="AT42" s="130"/>
      <c r="AU42" s="64"/>
      <c r="BA42" s="43">
        <v>14</v>
      </c>
    </row>
    <row r="43" ht="14.7" customHeight="1" spans="1:53">
      <c r="A43" s="45"/>
      <c r="B43" s="45" t="s">
        <v>133</v>
      </c>
      <c r="C43" s="45" t="s">
        <v>134</v>
      </c>
      <c r="D43" s="45" t="s">
        <v>135</v>
      </c>
      <c r="E43" s="1054" t="s">
        <v>429</v>
      </c>
      <c r="F43" s="1054" t="s">
        <v>430</v>
      </c>
      <c r="G43" s="1054" t="s">
        <v>431</v>
      </c>
      <c r="H43" s="1054" t="s">
        <v>432</v>
      </c>
      <c r="I43" s="1054" t="s">
        <v>433</v>
      </c>
      <c r="J43" s="1054" t="s">
        <v>434</v>
      </c>
      <c r="K43" s="1054" t="s">
        <v>435</v>
      </c>
      <c r="L43" s="1054" t="s">
        <v>414</v>
      </c>
      <c r="Q43" s="1087"/>
      <c r="R43" s="51"/>
      <c r="S43" s="65"/>
      <c r="T43" s="66"/>
      <c r="U43" s="72"/>
      <c r="V43" s="66" t="s">
        <v>470</v>
      </c>
      <c r="W43" s="66" t="s">
        <v>471</v>
      </c>
      <c r="X43" s="131" t="s">
        <v>438</v>
      </c>
      <c r="Y43" s="132" t="s">
        <v>439</v>
      </c>
      <c r="Z43" s="133"/>
      <c r="AA43" s="855"/>
      <c r="AB43" s="1104"/>
      <c r="AC43" s="1105"/>
      <c r="AD43" s="1105"/>
      <c r="AE43" s="1113"/>
      <c r="AF43" s="1105"/>
      <c r="AG43" s="1105"/>
      <c r="AH43" s="1105"/>
      <c r="AI43" s="1113"/>
      <c r="AJ43" s="1104"/>
      <c r="AK43" s="1105"/>
      <c r="AL43" s="1105"/>
      <c r="AM43" s="1113"/>
      <c r="AN43" s="134" t="s">
        <v>470</v>
      </c>
      <c r="AO43" s="134" t="s">
        <v>471</v>
      </c>
      <c r="AP43" s="131" t="s">
        <v>438</v>
      </c>
      <c r="AQ43" s="132" t="s">
        <v>439</v>
      </c>
      <c r="AR43" s="133"/>
      <c r="AS43" s="134"/>
      <c r="AT43" s="135"/>
      <c r="AU43" s="64"/>
      <c r="BA43" s="43">
        <v>14</v>
      </c>
    </row>
    <row r="44" s="37" customFormat="1" ht="11.25" hidden="1" customHeight="1" spans="1:53">
      <c r="A44" s="45"/>
      <c r="B44" s="45"/>
      <c r="C44" s="45"/>
      <c r="D44" s="45"/>
      <c r="E44" s="45"/>
      <c r="F44" s="45"/>
      <c r="G44" s="45"/>
      <c r="H44" s="45"/>
      <c r="I44" s="45"/>
      <c r="J44" s="45"/>
      <c r="K44" s="45"/>
      <c r="L44" s="1054"/>
      <c r="M44" s="39"/>
      <c r="N44" s="39"/>
      <c r="O44" s="39"/>
      <c r="P44" s="1057"/>
      <c r="Q44" s="76"/>
      <c r="R44" s="76">
        <v>1</v>
      </c>
      <c r="S44" s="77" t="s">
        <v>107</v>
      </c>
      <c r="T44" s="78" t="s">
        <v>108</v>
      </c>
      <c r="U44" s="79" t="str">
        <f ca="1">OFFSET(U44,0,-1)</f>
        <v>2</v>
      </c>
      <c r="V44" s="80">
        <f ca="1">OFFSET(V44,0,-1)+1</f>
        <v>3</v>
      </c>
      <c r="W44" s="80">
        <f ca="1">OFFSET(W44,0,-1)+1</f>
        <v>4</v>
      </c>
      <c r="X44" s="80">
        <f ca="1">OFFSET(X44,0,-1)+1</f>
        <v>5</v>
      </c>
      <c r="Y44" s="80">
        <f ca="1">OFFSET(Y44,0,-1)+1</f>
        <v>6</v>
      </c>
      <c r="Z44" s="80"/>
      <c r="AA44" s="80">
        <f ca="1">OFFSET(AA44,0,-2)+1</f>
        <v>7</v>
      </c>
      <c r="AB44" s="1142">
        <f ca="1">OFFSET(AB44,0,-1)+1</f>
        <v>8</v>
      </c>
      <c r="AC44" s="1142"/>
      <c r="AD44" s="1142"/>
      <c r="AE44" s="1142"/>
      <c r="AF44" s="80"/>
      <c r="AG44" s="80"/>
      <c r="AH44" s="80"/>
      <c r="AI44" s="80"/>
      <c r="AJ44" s="80"/>
      <c r="AK44" s="80"/>
      <c r="AL44" s="80"/>
      <c r="AM44" s="80"/>
      <c r="AN44" s="80">
        <f ca="1">OFFSET(AN44,0,-1)+1</f>
        <v>1</v>
      </c>
      <c r="AO44" s="80">
        <f ca="1">OFFSET(AO44,0,-1)+1</f>
        <v>2</v>
      </c>
      <c r="AP44" s="80">
        <f ca="1">OFFSET(AP44,0,-1)+1</f>
        <v>3</v>
      </c>
      <c r="AQ44" s="80">
        <f ca="1">OFFSET(AQ44,0,-1)+1</f>
        <v>4</v>
      </c>
      <c r="AR44" s="80"/>
      <c r="AS44" s="80">
        <f ca="1">OFFSET(AS44,0,-2)+1</f>
        <v>5</v>
      </c>
      <c r="AT44" s="79">
        <f ca="1">OFFSET(AT44,0,-1)</f>
        <v>5</v>
      </c>
      <c r="AU44" s="80">
        <f ca="1">OFFSET(AU44,0,-1)+1</f>
        <v>6</v>
      </c>
      <c r="AV44" s="44"/>
      <c r="AW44" s="44"/>
      <c r="AX44" s="44"/>
      <c r="AY44" s="44"/>
      <c r="AZ44" s="44"/>
      <c r="BA44" s="37">
        <v>0</v>
      </c>
    </row>
    <row r="45" ht="107.25" customHeight="1" spans="1:53">
      <c r="A45" s="46" t="s">
        <v>196</v>
      </c>
      <c r="B45" s="46"/>
      <c r="C45" s="46"/>
      <c r="D45" s="46"/>
      <c r="E45" s="1052">
        <v>1</v>
      </c>
      <c r="F45" s="46"/>
      <c r="G45" s="46"/>
      <c r="H45" s="46"/>
      <c r="I45" s="46"/>
      <c r="J45" s="46"/>
      <c r="K45" s="46"/>
      <c r="L45" s="1054"/>
      <c r="M45" s="47"/>
      <c r="N45" s="47"/>
      <c r="O45" s="47"/>
      <c r="Q45" s="264"/>
      <c r="R45" s="82"/>
      <c r="S45" s="65">
        <f>INDEX(PT_DIFFERENTIATION_NUM_NTAR,MATCH(A45,PT_DIFFERENTIATION_NTAR_ID,0))</f>
        <v>0</v>
      </c>
      <c r="T45" s="83" t="s">
        <v>121</v>
      </c>
      <c r="U45" s="84"/>
      <c r="V45" s="1061"/>
      <c r="W45" s="1061"/>
      <c r="X45" s="1061"/>
      <c r="Y45" s="1061"/>
      <c r="Z45" s="1061"/>
      <c r="AA45" s="1089"/>
      <c r="AB45" s="1090" t="str">
        <f>INDEX(PT_DIFFERENTIATION_NTAR,MATCH(A45,PT_DIFFERENTIATION_NTAR_ID,0))</f>
        <v/>
      </c>
      <c r="AC45" s="1061"/>
      <c r="AD45" s="1061"/>
      <c r="AE45" s="1061"/>
      <c r="AF45" s="1061"/>
      <c r="AG45" s="1061"/>
      <c r="AH45" s="1061"/>
      <c r="AI45" s="1061"/>
      <c r="AJ45" s="1061"/>
      <c r="AK45" s="1061"/>
      <c r="AL45" s="1061"/>
      <c r="AM45" s="1061"/>
      <c r="AN45" s="1061"/>
      <c r="AO45" s="1061"/>
      <c r="AP45" s="1061"/>
      <c r="AQ45" s="1061"/>
      <c r="AR45" s="1061"/>
      <c r="AS45" s="1061"/>
      <c r="AT45" s="1089"/>
      <c r="AU45" s="13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51"/>
      <c r="AX45" s="151" t="str">
        <f t="shared" ref="AX45:AX51" si="2">IF(T45="","",T45)</f>
        <v>Наименование тарифа</v>
      </c>
      <c r="AY45" s="151"/>
      <c r="AZ45" s="151"/>
      <c r="BA45" s="43">
        <v>102</v>
      </c>
    </row>
    <row r="46" ht="22.05" customHeight="1" spans="1:53">
      <c r="A46" s="46" t="s">
        <v>196</v>
      </c>
      <c r="B46" s="46" t="s">
        <v>197</v>
      </c>
      <c r="C46" s="46"/>
      <c r="D46" s="46"/>
      <c r="E46" s="1053"/>
      <c r="F46" s="1052">
        <v>1</v>
      </c>
      <c r="G46" s="46"/>
      <c r="H46" s="46"/>
      <c r="I46" s="46"/>
      <c r="J46" s="46"/>
      <c r="K46" s="46"/>
      <c r="L46" s="1054"/>
      <c r="M46" s="47"/>
      <c r="N46" s="47"/>
      <c r="O46" s="47"/>
      <c r="P46" s="48"/>
      <c r="Q46" s="1062"/>
      <c r="R46" s="88"/>
      <c r="S46" s="65" t="str">
        <f>INDEX(PT_DIFFERENTIATION_NUM_TER,MATCH(B46,PT_DIFFERENTIATION_TER_ID,0))</f>
        <v>.</v>
      </c>
      <c r="T46" s="89" t="s">
        <v>393</v>
      </c>
      <c r="U46" s="84"/>
      <c r="V46" s="1061"/>
      <c r="W46" s="1061"/>
      <c r="X46" s="1061"/>
      <c r="Y46" s="1061"/>
      <c r="Z46" s="1061"/>
      <c r="AA46" s="1089"/>
      <c r="AB46" s="1090" t="str">
        <f>INDEX(PT_DIFFERENTIATION_TER,MATCH(B46,PT_DIFFERENTIATION_TER_ID,0))</f>
        <v/>
      </c>
      <c r="AC46" s="1061"/>
      <c r="AD46" s="1061"/>
      <c r="AE46" s="1061"/>
      <c r="AF46" s="1061"/>
      <c r="AG46" s="1061"/>
      <c r="AH46" s="1061"/>
      <c r="AI46" s="1061"/>
      <c r="AJ46" s="1061"/>
      <c r="AK46" s="1061"/>
      <c r="AL46" s="1061"/>
      <c r="AM46" s="1061"/>
      <c r="AN46" s="1061"/>
      <c r="AO46" s="1061"/>
      <c r="AP46" s="1061"/>
      <c r="AQ46" s="1061"/>
      <c r="AR46" s="1061"/>
      <c r="AS46" s="1061"/>
      <c r="AT46" s="1089"/>
      <c r="AU46" s="136" t="s">
        <v>394</v>
      </c>
      <c r="AW46" s="151"/>
      <c r="AX46" s="151" t="str">
        <f t="shared" si="2"/>
        <v>Территория действия тарифа</v>
      </c>
      <c r="AY46" s="151"/>
      <c r="AZ46" s="151"/>
      <c r="BA46" s="43">
        <v>21</v>
      </c>
    </row>
    <row r="47" ht="24" customHeight="1" spans="1:53">
      <c r="A47" s="46" t="s">
        <v>196</v>
      </c>
      <c r="B47" s="46" t="s">
        <v>197</v>
      </c>
      <c r="C47" s="46" t="s">
        <v>198</v>
      </c>
      <c r="D47" s="46"/>
      <c r="E47" s="1053"/>
      <c r="F47" s="1053"/>
      <c r="G47" s="1052">
        <v>1</v>
      </c>
      <c r="H47" s="46"/>
      <c r="I47" s="46"/>
      <c r="J47" s="46"/>
      <c r="K47" s="46"/>
      <c r="L47" s="1054"/>
      <c r="M47" s="47"/>
      <c r="N47" s="47"/>
      <c r="O47" s="47"/>
      <c r="P47" s="1055"/>
      <c r="Q47" s="1062"/>
      <c r="R47" s="88"/>
      <c r="S47" s="65" t="str">
        <f>INDEX(PT_DIFFERENTIATION_NUM_CS,MATCH(C47,PT_DIFFERENTIATION_CS_ID,0))</f>
        <v>..</v>
      </c>
      <c r="T47" s="91" t="s">
        <v>395</v>
      </c>
      <c r="U47" s="84"/>
      <c r="V47" s="1061"/>
      <c r="W47" s="1061"/>
      <c r="X47" s="1061"/>
      <c r="Y47" s="1061"/>
      <c r="Z47" s="1061"/>
      <c r="AA47" s="1089"/>
      <c r="AB47" s="1090" t="str">
        <f>INDEX(PT_DIFFERENTIATION_CS,MATCH(C47,PT_DIFFERENTIATION_CS_ID,0))</f>
        <v/>
      </c>
      <c r="AC47" s="1061"/>
      <c r="AD47" s="1061"/>
      <c r="AE47" s="1061"/>
      <c r="AF47" s="1061"/>
      <c r="AG47" s="1061"/>
      <c r="AH47" s="1061"/>
      <c r="AI47" s="1061"/>
      <c r="AJ47" s="1061"/>
      <c r="AK47" s="1061"/>
      <c r="AL47" s="1061"/>
      <c r="AM47" s="1061"/>
      <c r="AN47" s="1061"/>
      <c r="AO47" s="1061"/>
      <c r="AP47" s="1061"/>
      <c r="AQ47" s="1061"/>
      <c r="AR47" s="1061"/>
      <c r="AS47" s="1061"/>
      <c r="AT47" s="1089"/>
      <c r="AU47" s="136" t="s">
        <v>396</v>
      </c>
      <c r="AW47" s="151"/>
      <c r="AX47" s="151" t="str">
        <f t="shared" si="2"/>
        <v>Наименование системы теплоснабжения </v>
      </c>
      <c r="AY47" s="151"/>
      <c r="AZ47" s="151"/>
      <c r="BA47" s="43">
        <v>23</v>
      </c>
    </row>
    <row r="48" ht="21" customHeight="1" spans="1:53">
      <c r="A48" s="46" t="s">
        <v>196</v>
      </c>
      <c r="B48" s="46" t="s">
        <v>197</v>
      </c>
      <c r="C48" s="46" t="s">
        <v>198</v>
      </c>
      <c r="D48" s="46" t="s">
        <v>199</v>
      </c>
      <c r="E48" s="1053"/>
      <c r="F48" s="1053"/>
      <c r="G48" s="1053"/>
      <c r="H48" s="1052">
        <v>1</v>
      </c>
      <c r="I48" s="46"/>
      <c r="J48" s="46"/>
      <c r="K48" s="46"/>
      <c r="L48" s="1054"/>
      <c r="M48" s="47"/>
      <c r="N48" s="47"/>
      <c r="O48" s="47"/>
      <c r="P48" s="1055"/>
      <c r="Q48" s="1062"/>
      <c r="R48" s="88"/>
      <c r="S48" s="65" t="str">
        <f>INDEX(PT_DIFFERENTIATION_NUM_IST_TE,MATCH(D48,PT_DIFFERENTIATION_IST_TE_ID,0))</f>
        <v>...</v>
      </c>
      <c r="T48" s="92" t="s">
        <v>397</v>
      </c>
      <c r="U48" s="84"/>
      <c r="V48" s="1061"/>
      <c r="W48" s="1061"/>
      <c r="X48" s="1061"/>
      <c r="Y48" s="1061"/>
      <c r="Z48" s="1061"/>
      <c r="AA48" s="1089"/>
      <c r="AB48" s="1090" t="str">
        <f>INDEX(PT_DIFFERENTIATION_IST_TE,MATCH(D48,PT_DIFFERENTIATION_IST_TE_ID,0))</f>
        <v/>
      </c>
      <c r="AC48" s="1061"/>
      <c r="AD48" s="1061"/>
      <c r="AE48" s="1061"/>
      <c r="AF48" s="1061"/>
      <c r="AG48" s="1061"/>
      <c r="AH48" s="1061"/>
      <c r="AI48" s="1061"/>
      <c r="AJ48" s="1061"/>
      <c r="AK48" s="1061"/>
      <c r="AL48" s="1061"/>
      <c r="AM48" s="1061"/>
      <c r="AN48" s="1061"/>
      <c r="AO48" s="1061"/>
      <c r="AP48" s="1061"/>
      <c r="AQ48" s="1061"/>
      <c r="AR48" s="1061"/>
      <c r="AS48" s="1061"/>
      <c r="AT48" s="1089"/>
      <c r="AU48" s="136" t="s">
        <v>398</v>
      </c>
      <c r="AW48" s="151"/>
      <c r="AX48" s="151" t="str">
        <f t="shared" si="2"/>
        <v>Источник тепловой энергии  </v>
      </c>
      <c r="AY48" s="151"/>
      <c r="AZ48" s="151"/>
      <c r="BA48" s="43">
        <v>20</v>
      </c>
    </row>
    <row r="49" s="44" customFormat="1" ht="1.05" customHeight="1" spans="1:53">
      <c r="A49" s="590" t="s">
        <v>196</v>
      </c>
      <c r="B49" s="590" t="s">
        <v>197</v>
      </c>
      <c r="C49" s="590" t="s">
        <v>198</v>
      </c>
      <c r="D49" s="590" t="s">
        <v>199</v>
      </c>
      <c r="E49" s="1053"/>
      <c r="F49" s="1053"/>
      <c r="G49" s="1053"/>
      <c r="H49" s="1053"/>
      <c r="I49" s="229" t="str">
        <f>S48&amp;".1"</f>
        <v>....1</v>
      </c>
      <c r="J49" s="590"/>
      <c r="K49" s="590"/>
      <c r="L49" s="611" t="s">
        <v>399</v>
      </c>
      <c r="M49" s="1057"/>
      <c r="N49" s="1057"/>
      <c r="O49" s="1057"/>
      <c r="P49" s="93">
        <v>1</v>
      </c>
      <c r="Q49" s="93"/>
      <c r="R49" s="94"/>
      <c r="S49" s="330"/>
      <c r="T49" s="1067"/>
      <c r="U49" s="1065"/>
      <c r="V49" s="1066"/>
      <c r="W49" s="1066"/>
      <c r="X49" s="1066"/>
      <c r="Y49" s="1066"/>
      <c r="Z49" s="1066"/>
      <c r="AA49" s="1091"/>
      <c r="AB49" s="1092"/>
      <c r="AC49" s="1066"/>
      <c r="AD49" s="1066"/>
      <c r="AE49" s="1066"/>
      <c r="AF49" s="1066"/>
      <c r="AG49" s="1066"/>
      <c r="AH49" s="1066"/>
      <c r="AI49" s="1066"/>
      <c r="AJ49" s="1066"/>
      <c r="AK49" s="1066"/>
      <c r="AL49" s="1066"/>
      <c r="AM49" s="1066"/>
      <c r="AN49" s="1066"/>
      <c r="AO49" s="1066"/>
      <c r="AP49" s="1066"/>
      <c r="AQ49" s="1066"/>
      <c r="AR49" s="1066"/>
      <c r="AS49" s="1066"/>
      <c r="AT49" s="1091"/>
      <c r="AU49" s="995"/>
      <c r="AW49" s="151"/>
      <c r="AX49" s="151" t="str">
        <f t="shared" si="2"/>
        <v/>
      </c>
      <c r="AY49" s="151"/>
      <c r="AZ49" s="151"/>
      <c r="BA49" s="44">
        <v>1</v>
      </c>
    </row>
    <row r="50" s="44" customFormat="1" ht="1.05" customHeight="1" spans="1:53">
      <c r="A50" s="590" t="s">
        <v>196</v>
      </c>
      <c r="B50" s="590" t="s">
        <v>197</v>
      </c>
      <c r="C50" s="590" t="s">
        <v>198</v>
      </c>
      <c r="D50" s="590" t="s">
        <v>199</v>
      </c>
      <c r="E50" s="1053"/>
      <c r="F50" s="1053"/>
      <c r="G50" s="1053"/>
      <c r="H50" s="1053"/>
      <c r="I50" s="1058"/>
      <c r="J50" s="229" t="str">
        <f>S48&amp;".1"</f>
        <v>....1</v>
      </c>
      <c r="K50" s="590"/>
      <c r="L50" s="611"/>
      <c r="M50" s="1057"/>
      <c r="N50" s="1057"/>
      <c r="O50" s="1057"/>
      <c r="P50" s="93"/>
      <c r="Q50" s="93">
        <v>1</v>
      </c>
      <c r="R50" s="97"/>
      <c r="S50" s="330"/>
      <c r="T50" s="1068"/>
      <c r="U50" s="1065"/>
      <c r="V50" s="1066"/>
      <c r="W50" s="1066"/>
      <c r="X50" s="1066"/>
      <c r="Y50" s="1066"/>
      <c r="Z50" s="1066"/>
      <c r="AA50" s="1091"/>
      <c r="AB50" s="1092"/>
      <c r="AC50" s="1066"/>
      <c r="AD50" s="1066"/>
      <c r="AE50" s="1066"/>
      <c r="AF50" s="1066"/>
      <c r="AG50" s="1066"/>
      <c r="AH50" s="1066"/>
      <c r="AI50" s="1066"/>
      <c r="AJ50" s="1066"/>
      <c r="AK50" s="1066"/>
      <c r="AL50" s="1066"/>
      <c r="AM50" s="1066"/>
      <c r="AN50" s="1066"/>
      <c r="AO50" s="1066"/>
      <c r="AP50" s="1066"/>
      <c r="AQ50" s="1066"/>
      <c r="AR50" s="1066"/>
      <c r="AS50" s="1066"/>
      <c r="AT50" s="1091"/>
      <c r="AU50" s="995"/>
      <c r="AW50" s="151"/>
      <c r="AX50" s="151" t="str">
        <f t="shared" si="2"/>
        <v/>
      </c>
      <c r="AY50" s="151"/>
      <c r="AZ50" s="151"/>
      <c r="BA50" s="44">
        <v>1</v>
      </c>
    </row>
    <row r="51" ht="22.05" customHeight="1" spans="1:53">
      <c r="A51" s="46" t="s">
        <v>196</v>
      </c>
      <c r="B51" s="46" t="s">
        <v>197</v>
      </c>
      <c r="C51" s="46" t="s">
        <v>198</v>
      </c>
      <c r="D51" s="46" t="s">
        <v>199</v>
      </c>
      <c r="E51" s="1053"/>
      <c r="F51" s="1053"/>
      <c r="G51" s="1053"/>
      <c r="H51" s="1053"/>
      <c r="I51" s="1058"/>
      <c r="J51" s="1058"/>
      <c r="K51" s="229" t="str">
        <f>S48&amp;".1"</f>
        <v>....1</v>
      </c>
      <c r="L51" s="1054"/>
      <c r="P51" s="93"/>
      <c r="Q51" s="93"/>
      <c r="R51" s="97">
        <v>1</v>
      </c>
      <c r="S51" s="1070" t="str">
        <f>$K51</f>
        <v>....1</v>
      </c>
      <c r="T51" s="1151"/>
      <c r="U51" s="84"/>
      <c r="V51" s="102"/>
      <c r="W51" s="138"/>
      <c r="X51" s="139"/>
      <c r="Y51" s="140" t="s">
        <v>66</v>
      </c>
      <c r="Z51" s="139"/>
      <c r="AA51" s="140" t="s">
        <v>66</v>
      </c>
      <c r="AB51" s="140" t="s">
        <v>19</v>
      </c>
      <c r="AC51" s="1093"/>
      <c r="AD51" s="664">
        <v>1</v>
      </c>
      <c r="AE51" s="1160" t="s">
        <v>22</v>
      </c>
      <c r="AF51" s="140" t="s">
        <v>19</v>
      </c>
      <c r="AG51" s="1093"/>
      <c r="AH51" s="664">
        <v>1</v>
      </c>
      <c r="AI51" s="1160" t="s">
        <v>22</v>
      </c>
      <c r="AJ51" s="140" t="s">
        <v>19</v>
      </c>
      <c r="AK51" s="1117"/>
      <c r="AL51" s="664">
        <v>1</v>
      </c>
      <c r="AM51" s="669"/>
      <c r="AN51" s="102"/>
      <c r="AO51" s="138"/>
      <c r="AP51" s="139"/>
      <c r="AQ51" s="140" t="s">
        <v>66</v>
      </c>
      <c r="AR51" s="139"/>
      <c r="AS51" s="140" t="s">
        <v>66</v>
      </c>
      <c r="AT51" s="1120"/>
      <c r="AU51" s="141" t="s">
        <v>472</v>
      </c>
      <c r="AV51" s="44" t="e">
        <f>STRCHECKDATE(V54:AT54)</f>
        <v>#NAME?</v>
      </c>
      <c r="AW51" s="151"/>
      <c r="AX51" s="151" t="str">
        <f t="shared" si="2"/>
        <v/>
      </c>
      <c r="AY51" s="151"/>
      <c r="AZ51" s="151"/>
      <c r="BA51" s="43">
        <v>21</v>
      </c>
    </row>
    <row r="52" ht="11.55" customHeight="1" spans="1:53">
      <c r="A52" s="46" t="s">
        <v>196</v>
      </c>
      <c r="B52" s="46"/>
      <c r="C52" s="46"/>
      <c r="D52" s="46"/>
      <c r="E52" s="1053"/>
      <c r="F52" s="1053"/>
      <c r="G52" s="1053"/>
      <c r="H52" s="1053"/>
      <c r="I52" s="1058"/>
      <c r="J52" s="1058"/>
      <c r="K52" s="229"/>
      <c r="L52" s="1054"/>
      <c r="P52" s="93"/>
      <c r="Q52" s="93"/>
      <c r="R52" s="97"/>
      <c r="S52" s="1072"/>
      <c r="T52" s="1158"/>
      <c r="U52" s="84"/>
      <c r="V52" s="1074"/>
      <c r="W52" s="1075"/>
      <c r="X52" s="1074"/>
      <c r="Y52" s="1074"/>
      <c r="Z52" s="1074"/>
      <c r="AA52" s="1074"/>
      <c r="AB52" s="140"/>
      <c r="AC52" s="1093"/>
      <c r="AD52" s="664"/>
      <c r="AE52" s="1160"/>
      <c r="AF52" s="140"/>
      <c r="AG52" s="1093"/>
      <c r="AH52" s="664"/>
      <c r="AI52" s="1160"/>
      <c r="AJ52" s="140"/>
      <c r="AK52" s="331"/>
      <c r="AL52" s="332"/>
      <c r="AM52" s="227" t="s">
        <v>457</v>
      </c>
      <c r="AN52" s="1074"/>
      <c r="AO52" s="1075"/>
      <c r="AP52" s="1074"/>
      <c r="AQ52" s="1074"/>
      <c r="AR52" s="1074"/>
      <c r="AS52" s="1074"/>
      <c r="AT52" s="1162"/>
      <c r="AU52" s="144"/>
      <c r="AW52" s="151"/>
      <c r="AX52" s="151"/>
      <c r="AY52" s="151"/>
      <c r="AZ52" s="151"/>
      <c r="BA52" s="43">
        <v>11</v>
      </c>
    </row>
    <row r="53" ht="11.55" customHeight="1" spans="1:53">
      <c r="A53" s="46" t="s">
        <v>196</v>
      </c>
      <c r="B53" s="46"/>
      <c r="C53" s="46"/>
      <c r="D53" s="46"/>
      <c r="E53" s="1053"/>
      <c r="F53" s="1053"/>
      <c r="G53" s="1053"/>
      <c r="H53" s="1053"/>
      <c r="I53" s="1058"/>
      <c r="J53" s="1058"/>
      <c r="K53" s="229"/>
      <c r="L53" s="1054"/>
      <c r="P53" s="93"/>
      <c r="Q53" s="93"/>
      <c r="R53" s="97"/>
      <c r="S53" s="1072"/>
      <c r="T53" s="1158"/>
      <c r="U53" s="84"/>
      <c r="V53" s="1074"/>
      <c r="W53" s="1075"/>
      <c r="X53" s="1074"/>
      <c r="Y53" s="1074"/>
      <c r="Z53" s="1074"/>
      <c r="AA53" s="1074"/>
      <c r="AB53" s="140"/>
      <c r="AC53" s="1093"/>
      <c r="AD53" s="664"/>
      <c r="AE53" s="1160"/>
      <c r="AF53" s="140"/>
      <c r="AG53" s="911"/>
      <c r="AH53" s="227"/>
      <c r="AI53" s="227" t="s">
        <v>458</v>
      </c>
      <c r="AJ53" s="1074"/>
      <c r="AK53" s="1074"/>
      <c r="AL53" s="1074"/>
      <c r="AM53" s="1074"/>
      <c r="AN53" s="1074"/>
      <c r="AO53" s="1075"/>
      <c r="AP53" s="1074"/>
      <c r="AQ53" s="1074"/>
      <c r="AR53" s="1074"/>
      <c r="AS53" s="1074"/>
      <c r="AT53" s="1162"/>
      <c r="AU53" s="144"/>
      <c r="AW53" s="151"/>
      <c r="AX53" s="151"/>
      <c r="AY53" s="151"/>
      <c r="AZ53" s="151"/>
      <c r="BA53" s="43">
        <v>11</v>
      </c>
    </row>
    <row r="54" ht="11.55" customHeight="1" spans="1:53">
      <c r="A54" s="46" t="s">
        <v>196</v>
      </c>
      <c r="B54" s="46" t="s">
        <v>197</v>
      </c>
      <c r="C54" s="46" t="s">
        <v>198</v>
      </c>
      <c r="D54" s="46" t="s">
        <v>199</v>
      </c>
      <c r="E54" s="1053"/>
      <c r="F54" s="1053"/>
      <c r="G54" s="1053"/>
      <c r="H54" s="1053"/>
      <c r="I54" s="1058"/>
      <c r="J54" s="1058"/>
      <c r="K54" s="229"/>
      <c r="L54" s="1054"/>
      <c r="P54" s="93"/>
      <c r="Q54" s="93"/>
      <c r="R54" s="97"/>
      <c r="S54" s="1076"/>
      <c r="T54" s="1159"/>
      <c r="U54" s="84"/>
      <c r="V54" s="1074"/>
      <c r="W54" s="1078" t="str">
        <f>X51&amp;"-"&amp;Z51</f>
        <v>-</v>
      </c>
      <c r="X54" s="1074"/>
      <c r="Y54" s="1074"/>
      <c r="Z54" s="1074"/>
      <c r="AA54" s="1074"/>
      <c r="AB54" s="140"/>
      <c r="AC54" s="1094"/>
      <c r="AD54" s="1095"/>
      <c r="AE54" s="227" t="s">
        <v>459</v>
      </c>
      <c r="AF54" s="1074"/>
      <c r="AG54" s="1074"/>
      <c r="AH54" s="1074"/>
      <c r="AI54" s="1074"/>
      <c r="AJ54" s="1074"/>
      <c r="AK54" s="1074"/>
      <c r="AL54" s="1074"/>
      <c r="AM54" s="1074"/>
      <c r="AN54" s="1074"/>
      <c r="AO54" s="1078" t="str">
        <f>AP51&amp;"-"&amp;AR51</f>
        <v>-</v>
      </c>
      <c r="AP54" s="1074"/>
      <c r="AQ54" s="1074"/>
      <c r="AR54" s="1074"/>
      <c r="AS54" s="1074"/>
      <c r="AT54" s="1163"/>
      <c r="AU54" s="144"/>
      <c r="AW54" s="151"/>
      <c r="AX54" s="151" t="str">
        <f t="shared" ref="AX54:AX62" si="3">IF(T54="","",T54)</f>
        <v/>
      </c>
      <c r="AY54" s="151"/>
      <c r="AZ54" s="151"/>
      <c r="BA54" s="43">
        <v>11</v>
      </c>
    </row>
    <row r="55" ht="11.55" customHeight="1" spans="1:53">
      <c r="A55" s="46" t="s">
        <v>196</v>
      </c>
      <c r="B55" s="46" t="s">
        <v>197</v>
      </c>
      <c r="C55" s="46" t="s">
        <v>198</v>
      </c>
      <c r="D55" s="46" t="s">
        <v>199</v>
      </c>
      <c r="E55" s="1053"/>
      <c r="F55" s="1053"/>
      <c r="G55" s="1053"/>
      <c r="H55" s="1053"/>
      <c r="I55" s="1058"/>
      <c r="J55" s="229"/>
      <c r="K55" s="46"/>
      <c r="L55" s="1054"/>
      <c r="P55" s="93"/>
      <c r="Q55" s="93"/>
      <c r="R55" s="94"/>
      <c r="S55" s="105"/>
      <c r="T55" s="108" t="s">
        <v>460</v>
      </c>
      <c r="U55" s="107"/>
      <c r="V55" s="107"/>
      <c r="W55" s="107"/>
      <c r="X55" s="107"/>
      <c r="Y55" s="107"/>
      <c r="Z55" s="107"/>
      <c r="AA55" s="145"/>
      <c r="AB55" s="1096"/>
      <c r="AC55" s="107"/>
      <c r="AD55" s="107"/>
      <c r="AE55" s="107"/>
      <c r="AF55" s="107"/>
      <c r="AG55" s="107"/>
      <c r="AH55" s="107"/>
      <c r="AI55" s="107"/>
      <c r="AJ55" s="107"/>
      <c r="AK55" s="107"/>
      <c r="AL55" s="107"/>
      <c r="AM55" s="107"/>
      <c r="AN55" s="107"/>
      <c r="AO55" s="107"/>
      <c r="AP55" s="107"/>
      <c r="AQ55" s="107"/>
      <c r="AR55" s="107"/>
      <c r="AS55" s="107"/>
      <c r="AT55" s="145"/>
      <c r="AU55" s="146"/>
      <c r="AW55" s="151"/>
      <c r="AX55" s="151" t="str">
        <f t="shared" si="3"/>
        <v>Добавить строку</v>
      </c>
      <c r="AY55" s="151"/>
      <c r="AZ55" s="151"/>
      <c r="BA55" s="43">
        <v>11</v>
      </c>
    </row>
    <row r="56" s="44" customFormat="1" ht="1.05" customHeight="1" spans="1:53">
      <c r="A56" s="590" t="s">
        <v>196</v>
      </c>
      <c r="B56" s="590" t="s">
        <v>197</v>
      </c>
      <c r="C56" s="590" t="s">
        <v>198</v>
      </c>
      <c r="D56" s="590" t="s">
        <v>199</v>
      </c>
      <c r="E56" s="1053"/>
      <c r="F56" s="1053"/>
      <c r="G56" s="1053"/>
      <c r="H56" s="1053"/>
      <c r="I56" s="229"/>
      <c r="J56" s="590"/>
      <c r="K56" s="590"/>
      <c r="L56" s="611"/>
      <c r="M56" s="1057"/>
      <c r="N56" s="1057"/>
      <c r="O56" s="1057"/>
      <c r="P56" s="93"/>
      <c r="Q56" s="93"/>
      <c r="R56" s="94"/>
      <c r="S56" s="1079"/>
      <c r="T56" s="1080" t="s">
        <v>408</v>
      </c>
      <c r="U56" s="1081"/>
      <c r="V56" s="1081"/>
      <c r="W56" s="1081"/>
      <c r="X56" s="1081"/>
      <c r="Y56" s="1081"/>
      <c r="Z56" s="1081"/>
      <c r="AA56" s="1081"/>
      <c r="AB56" s="1081"/>
      <c r="AC56" s="1081"/>
      <c r="AD56" s="1081"/>
      <c r="AE56" s="1081"/>
      <c r="AF56" s="1081"/>
      <c r="AG56" s="1081"/>
      <c r="AH56" s="1081"/>
      <c r="AI56" s="1081"/>
      <c r="AJ56" s="1081"/>
      <c r="AK56" s="1081"/>
      <c r="AL56" s="1081"/>
      <c r="AM56" s="1081"/>
      <c r="AN56" s="1081"/>
      <c r="AO56" s="1081"/>
      <c r="AP56" s="1081"/>
      <c r="AQ56" s="1081"/>
      <c r="AR56" s="1081"/>
      <c r="AS56" s="1081"/>
      <c r="AT56" s="1081"/>
      <c r="AU56" s="1123"/>
      <c r="AW56" s="151"/>
      <c r="AX56" s="151" t="str">
        <f t="shared" si="3"/>
        <v>Добавить группу потребителей</v>
      </c>
      <c r="AY56" s="151"/>
      <c r="AZ56" s="151"/>
      <c r="BA56" s="44">
        <v>1</v>
      </c>
    </row>
    <row r="57" s="37" customFormat="1" ht="1.05" customHeight="1" spans="1:53">
      <c r="A57" s="590" t="s">
        <v>196</v>
      </c>
      <c r="B57" s="590" t="s">
        <v>197</v>
      </c>
      <c r="C57" s="590" t="s">
        <v>198</v>
      </c>
      <c r="D57" s="590" t="s">
        <v>199</v>
      </c>
      <c r="E57" s="1053"/>
      <c r="F57" s="1053"/>
      <c r="G57" s="1053"/>
      <c r="H57" s="1052"/>
      <c r="I57" s="590"/>
      <c r="J57" s="590"/>
      <c r="K57" s="590"/>
      <c r="L57" s="611"/>
      <c r="M57" s="283"/>
      <c r="N57" s="283"/>
      <c r="O57" s="44"/>
      <c r="P57" s="152"/>
      <c r="Q57" s="1082"/>
      <c r="R57" s="1154"/>
      <c r="S57" s="1079"/>
      <c r="T57" s="1080"/>
      <c r="U57" s="1081"/>
      <c r="V57" s="1081"/>
      <c r="W57" s="1081"/>
      <c r="X57" s="1081"/>
      <c r="Y57" s="1081"/>
      <c r="Z57" s="1081"/>
      <c r="AA57" s="1081"/>
      <c r="AB57" s="1081"/>
      <c r="AC57" s="1081"/>
      <c r="AD57" s="1081"/>
      <c r="AE57" s="1081"/>
      <c r="AF57" s="1081"/>
      <c r="AG57" s="1081"/>
      <c r="AH57" s="1081"/>
      <c r="AI57" s="1081"/>
      <c r="AJ57" s="1081"/>
      <c r="AK57" s="1081"/>
      <c r="AL57" s="1081"/>
      <c r="AM57" s="1081"/>
      <c r="AN57" s="1081"/>
      <c r="AO57" s="1081"/>
      <c r="AP57" s="1081"/>
      <c r="AQ57" s="1081"/>
      <c r="AR57" s="1081"/>
      <c r="AS57" s="1081"/>
      <c r="AT57" s="1081"/>
      <c r="AU57" s="1123"/>
      <c r="AV57" s="44"/>
      <c r="AW57" s="151"/>
      <c r="AX57" s="151" t="str">
        <f t="shared" si="3"/>
        <v/>
      </c>
      <c r="AY57" s="151"/>
      <c r="AZ57" s="151"/>
      <c r="BA57" s="37">
        <v>1</v>
      </c>
    </row>
    <row r="58" s="44" customFormat="1" ht="1.05" customHeight="1" spans="1:53">
      <c r="A58" s="590" t="s">
        <v>196</v>
      </c>
      <c r="B58" s="590" t="s">
        <v>197</v>
      </c>
      <c r="C58" s="590" t="s">
        <v>198</v>
      </c>
      <c r="D58" s="590"/>
      <c r="E58" s="1053"/>
      <c r="F58" s="1053"/>
      <c r="G58" s="1052"/>
      <c r="H58" s="590"/>
      <c r="I58" s="590"/>
      <c r="J58" s="590"/>
      <c r="K58" s="590"/>
      <c r="L58" s="611"/>
      <c r="M58" s="283"/>
      <c r="N58" s="283"/>
      <c r="P58" s="152"/>
      <c r="Q58" s="1082"/>
      <c r="R58" s="152"/>
      <c r="S58" s="1084"/>
      <c r="T58" s="1085" t="s">
        <v>410</v>
      </c>
      <c r="U58" s="307"/>
      <c r="V58" s="307"/>
      <c r="W58" s="307"/>
      <c r="X58" s="307"/>
      <c r="Y58" s="307"/>
      <c r="Z58" s="307"/>
      <c r="AA58" s="307"/>
      <c r="AB58" s="307"/>
      <c r="AC58" s="307"/>
      <c r="AD58" s="307"/>
      <c r="AE58" s="307"/>
      <c r="AF58" s="307"/>
      <c r="AG58" s="307"/>
      <c r="AH58" s="307"/>
      <c r="AI58" s="307"/>
      <c r="AJ58" s="307"/>
      <c r="AK58" s="307"/>
      <c r="AL58" s="307"/>
      <c r="AM58" s="307"/>
      <c r="AN58" s="307"/>
      <c r="AO58" s="307"/>
      <c r="AP58" s="307"/>
      <c r="AQ58" s="307"/>
      <c r="AR58" s="307"/>
      <c r="AS58" s="307"/>
      <c r="AT58" s="307"/>
      <c r="AU58" s="307"/>
      <c r="AW58" s="151"/>
      <c r="AX58" s="151" t="str">
        <f t="shared" si="3"/>
        <v>Добавить источник для дифференциации</v>
      </c>
      <c r="AY58" s="151"/>
      <c r="AZ58" s="151"/>
      <c r="BA58" s="44">
        <v>1</v>
      </c>
    </row>
    <row r="59" s="44" customFormat="1" ht="1.05" customHeight="1" spans="1:53">
      <c r="A59" s="590" t="s">
        <v>196</v>
      </c>
      <c r="B59" s="590" t="s">
        <v>197</v>
      </c>
      <c r="C59" s="590"/>
      <c r="D59" s="590"/>
      <c r="E59" s="1053"/>
      <c r="F59" s="1052"/>
      <c r="G59" s="590"/>
      <c r="H59" s="590"/>
      <c r="I59" s="590"/>
      <c r="J59" s="590"/>
      <c r="K59" s="590"/>
      <c r="L59" s="611"/>
      <c r="M59" s="1059"/>
      <c r="N59" s="1059"/>
      <c r="P59" s="152"/>
      <c r="Q59" s="1082"/>
      <c r="R59" s="152"/>
      <c r="S59" s="1084"/>
      <c r="T59" s="1085" t="s">
        <v>411</v>
      </c>
      <c r="U59" s="307"/>
      <c r="V59" s="307"/>
      <c r="W59" s="307"/>
      <c r="X59" s="307"/>
      <c r="Y59" s="307"/>
      <c r="Z59" s="307"/>
      <c r="AA59" s="307"/>
      <c r="AB59" s="307"/>
      <c r="AC59" s="307"/>
      <c r="AD59" s="307"/>
      <c r="AE59" s="307"/>
      <c r="AF59" s="307"/>
      <c r="AG59" s="307"/>
      <c r="AH59" s="307"/>
      <c r="AI59" s="307"/>
      <c r="AJ59" s="307"/>
      <c r="AK59" s="307"/>
      <c r="AL59" s="307"/>
      <c r="AM59" s="307"/>
      <c r="AN59" s="307"/>
      <c r="AO59" s="307"/>
      <c r="AP59" s="307"/>
      <c r="AQ59" s="307"/>
      <c r="AR59" s="307"/>
      <c r="AS59" s="307"/>
      <c r="AT59" s="307"/>
      <c r="AU59" s="307"/>
      <c r="AW59" s="151"/>
      <c r="AX59" s="151" t="str">
        <f t="shared" si="3"/>
        <v>Добавить централизованную систему для дифференциации</v>
      </c>
      <c r="AY59" s="151"/>
      <c r="AZ59" s="151"/>
      <c r="BA59" s="44">
        <v>1</v>
      </c>
    </row>
    <row r="60" s="44" customFormat="1" ht="1.05" customHeight="1" spans="1:53">
      <c r="A60" s="590" t="s">
        <v>196</v>
      </c>
      <c r="B60" s="590"/>
      <c r="C60" s="590"/>
      <c r="D60" s="590"/>
      <c r="E60" s="1053"/>
      <c r="F60" s="590"/>
      <c r="G60" s="590"/>
      <c r="H60" s="590"/>
      <c r="I60" s="590"/>
      <c r="J60" s="590"/>
      <c r="K60" s="590"/>
      <c r="L60" s="611"/>
      <c r="M60" s="1059"/>
      <c r="N60" s="1059"/>
      <c r="P60" s="152"/>
      <c r="Q60" s="1082"/>
      <c r="R60" s="152"/>
      <c r="S60" s="1084"/>
      <c r="T60" s="1085" t="s">
        <v>412</v>
      </c>
      <c r="U60" s="307"/>
      <c r="V60" s="307"/>
      <c r="W60" s="307"/>
      <c r="X60" s="307"/>
      <c r="Y60" s="307"/>
      <c r="Z60" s="307"/>
      <c r="AA60" s="307"/>
      <c r="AB60" s="307"/>
      <c r="AC60" s="307"/>
      <c r="AD60" s="307"/>
      <c r="AE60" s="307"/>
      <c r="AF60" s="307"/>
      <c r="AG60" s="307"/>
      <c r="AH60" s="307"/>
      <c r="AI60" s="307"/>
      <c r="AJ60" s="307"/>
      <c r="AK60" s="307"/>
      <c r="AL60" s="307"/>
      <c r="AM60" s="307"/>
      <c r="AN60" s="307"/>
      <c r="AO60" s="307"/>
      <c r="AP60" s="307"/>
      <c r="AQ60" s="307"/>
      <c r="AR60" s="307"/>
      <c r="AS60" s="307"/>
      <c r="AT60" s="307"/>
      <c r="AU60" s="307"/>
      <c r="AW60" s="151"/>
      <c r="AX60" s="151" t="str">
        <f t="shared" si="3"/>
        <v>Добавить территорию для дифференциации</v>
      </c>
      <c r="AY60" s="151"/>
      <c r="AZ60" s="151"/>
      <c r="BA60" s="44">
        <v>1</v>
      </c>
    </row>
    <row r="61" s="44" customFormat="1" ht="1.05" customHeight="1" spans="1:53">
      <c r="A61" s="590" t="s">
        <v>196</v>
      </c>
      <c r="B61" s="590"/>
      <c r="C61" s="590"/>
      <c r="D61" s="590"/>
      <c r="E61" s="1052"/>
      <c r="F61" s="590"/>
      <c r="G61" s="590"/>
      <c r="H61" s="590"/>
      <c r="I61" s="590"/>
      <c r="J61" s="590"/>
      <c r="K61" s="590"/>
      <c r="L61" s="611"/>
      <c r="M61" s="1059"/>
      <c r="N61" s="1059"/>
      <c r="P61" s="152"/>
      <c r="Q61" s="1082"/>
      <c r="R61" s="152"/>
      <c r="S61" s="1084"/>
      <c r="T61" s="1085" t="s">
        <v>412</v>
      </c>
      <c r="U61" s="307"/>
      <c r="V61" s="307"/>
      <c r="W61" s="307"/>
      <c r="X61" s="307"/>
      <c r="Y61" s="307"/>
      <c r="Z61" s="307"/>
      <c r="AA61" s="307"/>
      <c r="AB61" s="307"/>
      <c r="AC61" s="307"/>
      <c r="AD61" s="307"/>
      <c r="AE61" s="307"/>
      <c r="AF61" s="307"/>
      <c r="AG61" s="307"/>
      <c r="AH61" s="307"/>
      <c r="AI61" s="307"/>
      <c r="AJ61" s="307"/>
      <c r="AK61" s="307"/>
      <c r="AL61" s="307"/>
      <c r="AM61" s="307"/>
      <c r="AN61" s="307"/>
      <c r="AO61" s="307"/>
      <c r="AP61" s="307"/>
      <c r="AQ61" s="307"/>
      <c r="AR61" s="307"/>
      <c r="AS61" s="307"/>
      <c r="AT61" s="307"/>
      <c r="AU61" s="307"/>
      <c r="AW61" s="151"/>
      <c r="AX61" s="151" t="str">
        <f t="shared" si="3"/>
        <v>Добавить территорию для дифференциации</v>
      </c>
      <c r="AY61" s="151"/>
      <c r="AZ61" s="151"/>
      <c r="BA61" s="44">
        <v>1</v>
      </c>
    </row>
    <row r="62" s="44" customFormat="1" ht="1.05" customHeight="1" spans="1:53">
      <c r="A62" s="590"/>
      <c r="B62" s="590"/>
      <c r="C62" s="590"/>
      <c r="D62" s="590"/>
      <c r="E62" s="590"/>
      <c r="F62" s="590"/>
      <c r="G62" s="590"/>
      <c r="H62" s="590"/>
      <c r="I62" s="590"/>
      <c r="J62" s="590"/>
      <c r="K62" s="590"/>
      <c r="L62" s="611"/>
      <c r="M62" s="1059"/>
      <c r="N62" s="1059"/>
      <c r="P62" s="152"/>
      <c r="Q62" s="1082"/>
      <c r="R62" s="152"/>
      <c r="S62" s="1084"/>
      <c r="T62" s="1085" t="s">
        <v>440</v>
      </c>
      <c r="U62" s="307"/>
      <c r="V62" s="307"/>
      <c r="W62" s="307"/>
      <c r="X62" s="307"/>
      <c r="Y62" s="307"/>
      <c r="Z62" s="307"/>
      <c r="AA62" s="307"/>
      <c r="AB62" s="307"/>
      <c r="AC62" s="307"/>
      <c r="AD62" s="307"/>
      <c r="AE62" s="307"/>
      <c r="AF62" s="307"/>
      <c r="AG62" s="307"/>
      <c r="AH62" s="307"/>
      <c r="AI62" s="307"/>
      <c r="AJ62" s="307"/>
      <c r="AK62" s="307"/>
      <c r="AL62" s="307"/>
      <c r="AM62" s="307"/>
      <c r="AN62" s="307"/>
      <c r="AO62" s="307"/>
      <c r="AP62" s="307"/>
      <c r="AQ62" s="307"/>
      <c r="AR62" s="307"/>
      <c r="AS62" s="307"/>
      <c r="AT62" s="307"/>
      <c r="AU62" s="307"/>
      <c r="AW62" s="151"/>
      <c r="AX62" s="151" t="str">
        <f t="shared" si="3"/>
        <v>Добавить наименование тарифа</v>
      </c>
      <c r="AY62" s="151"/>
      <c r="AZ62" s="151"/>
      <c r="BA62" s="44">
        <v>1</v>
      </c>
    </row>
    <row r="63" ht="11.55" customHeight="1" spans="13:53">
      <c r="M63" s="38"/>
      <c r="N63" s="38"/>
      <c r="O63" s="38"/>
      <c r="P63" s="38"/>
      <c r="Q63" s="38"/>
      <c r="R63" s="43"/>
      <c r="S63" s="43"/>
      <c r="AV63" s="43"/>
      <c r="AW63" s="43"/>
      <c r="AX63" s="43"/>
      <c r="AY63" s="43"/>
      <c r="AZ63" s="43"/>
      <c r="BA63" s="43">
        <v>11</v>
      </c>
    </row>
    <row r="64" ht="19.95" customHeight="1" spans="15:53">
      <c r="O64" s="38"/>
      <c r="S64" s="786"/>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BA64" s="43">
        <v>19</v>
      </c>
    </row>
    <row r="65" ht="21" customHeight="1" spans="15:53">
      <c r="O65" s="38"/>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BA65" s="43">
        <v>20</v>
      </c>
    </row>
    <row r="66" ht="14.7" customHeight="1" spans="15:53">
      <c r="O66" s="38"/>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BA66" s="43">
        <v>14</v>
      </c>
    </row>
    <row r="67" ht="19.95" customHeight="1" spans="15:53">
      <c r="O67" s="38"/>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BA67" s="43">
        <v>19</v>
      </c>
    </row>
    <row r="68" ht="16.8" customHeight="1" spans="15:53">
      <c r="O68" s="38"/>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BA68" s="43">
        <v>16</v>
      </c>
    </row>
    <row r="69" ht="14.7" customHeight="1" spans="15:53">
      <c r="O69" s="38"/>
      <c r="BA69" s="43">
        <v>14</v>
      </c>
    </row>
    <row r="70" ht="22.5" hidden="1" customHeight="1" spans="1:53">
      <c r="A70" s="38" t="s">
        <v>83</v>
      </c>
      <c r="B70" s="38">
        <v>0</v>
      </c>
      <c r="C70" s="38">
        <v>0</v>
      </c>
      <c r="D70" s="38">
        <v>0</v>
      </c>
      <c r="E70" s="38">
        <v>0</v>
      </c>
      <c r="F70" s="38">
        <v>0</v>
      </c>
      <c r="G70" s="38">
        <v>0</v>
      </c>
      <c r="H70" s="38">
        <v>0</v>
      </c>
      <c r="I70" s="38">
        <v>0</v>
      </c>
      <c r="J70" s="38">
        <v>0</v>
      </c>
      <c r="K70" s="38">
        <v>0</v>
      </c>
      <c r="L70" s="48">
        <v>0</v>
      </c>
      <c r="M70" s="39">
        <v>0</v>
      </c>
      <c r="N70" s="39">
        <v>0</v>
      </c>
      <c r="O70" s="39">
        <v>0</v>
      </c>
      <c r="P70" s="39">
        <v>3</v>
      </c>
      <c r="Q70" s="1051">
        <v>3</v>
      </c>
      <c r="R70" s="41">
        <v>3</v>
      </c>
      <c r="S70" s="42">
        <v>12</v>
      </c>
      <c r="T70" s="43">
        <v>31</v>
      </c>
      <c r="U70" s="43">
        <v>0</v>
      </c>
      <c r="V70" s="43">
        <v>0</v>
      </c>
      <c r="W70" s="43">
        <v>0</v>
      </c>
      <c r="X70" s="43">
        <v>0</v>
      </c>
      <c r="Y70" s="43">
        <v>0</v>
      </c>
      <c r="Z70" s="43">
        <v>0</v>
      </c>
      <c r="AA70" s="43">
        <v>0</v>
      </c>
      <c r="AB70" s="43">
        <v>5</v>
      </c>
      <c r="AC70" s="43">
        <v>3</v>
      </c>
      <c r="AD70" s="43">
        <v>3</v>
      </c>
      <c r="AE70" s="43">
        <v>24</v>
      </c>
      <c r="AF70" s="43">
        <v>3</v>
      </c>
      <c r="AG70" s="43">
        <v>3</v>
      </c>
      <c r="AH70" s="43">
        <v>3</v>
      </c>
      <c r="AI70" s="43">
        <v>24</v>
      </c>
      <c r="AJ70" s="43">
        <v>3</v>
      </c>
      <c r="AK70" s="43">
        <v>3</v>
      </c>
      <c r="AL70" s="43">
        <v>3</v>
      </c>
      <c r="AM70" s="43">
        <v>18</v>
      </c>
      <c r="AN70" s="43">
        <v>21</v>
      </c>
      <c r="AO70" s="43">
        <v>21</v>
      </c>
      <c r="AP70" s="43">
        <v>11</v>
      </c>
      <c r="AQ70" s="43">
        <v>3</v>
      </c>
      <c r="AR70" s="43">
        <v>11</v>
      </c>
      <c r="AS70" s="43">
        <v>8</v>
      </c>
      <c r="AT70" s="43">
        <v>4</v>
      </c>
      <c r="AU70" s="43">
        <v>115</v>
      </c>
      <c r="AV70" s="44">
        <v>10</v>
      </c>
      <c r="AW70" s="44">
        <v>10</v>
      </c>
      <c r="AX70" s="44">
        <v>10</v>
      </c>
      <c r="AY70" s="44">
        <v>10</v>
      </c>
      <c r="AZ70" s="44">
        <v>10</v>
      </c>
      <c r="BA70" s="43">
        <v>23</v>
      </c>
    </row>
  </sheetData>
  <sheetProtection formatColumns="0" formatRows="0" insertRows="0" deleteColumns="0" deleteRows="0" sort="0" autoFilter="0"/>
  <mergeCells count="119">
    <mergeCell ref="V2:AA2"/>
    <mergeCell ref="AB2:AT2"/>
    <mergeCell ref="V3:AA3"/>
    <mergeCell ref="AB3:AT3"/>
    <mergeCell ref="V4:AA4"/>
    <mergeCell ref="AB4:AT4"/>
    <mergeCell ref="V5:AA5"/>
    <mergeCell ref="AB5:AT5"/>
    <mergeCell ref="V6:AA6"/>
    <mergeCell ref="AB6:AT6"/>
    <mergeCell ref="V7:AA7"/>
    <mergeCell ref="AB7:AT7"/>
    <mergeCell ref="S27:AR27"/>
    <mergeCell ref="S28:AR28"/>
    <mergeCell ref="S30:T30"/>
    <mergeCell ref="V30:Z30"/>
    <mergeCell ref="AB30:AR30"/>
    <mergeCell ref="S31:T31"/>
    <mergeCell ref="V31:Z31"/>
    <mergeCell ref="AB31:AR31"/>
    <mergeCell ref="S32:T32"/>
    <mergeCell ref="V32:Z32"/>
    <mergeCell ref="AB32:AR32"/>
    <mergeCell ref="S33:T33"/>
    <mergeCell ref="V33:Z33"/>
    <mergeCell ref="AB33:AR33"/>
    <mergeCell ref="S35:T35"/>
    <mergeCell ref="V35:Z35"/>
    <mergeCell ref="AB35:AR35"/>
    <mergeCell ref="S36:T36"/>
    <mergeCell ref="V36:Z36"/>
    <mergeCell ref="AB36:AR36"/>
    <mergeCell ref="V38:AA38"/>
    <mergeCell ref="AB38:AS38"/>
    <mergeCell ref="S39:AT39"/>
    <mergeCell ref="V40:Z40"/>
    <mergeCell ref="AN40:AR40"/>
    <mergeCell ref="V41:W41"/>
    <mergeCell ref="AN41:AO41"/>
    <mergeCell ref="V42:W42"/>
    <mergeCell ref="AN42:AO42"/>
    <mergeCell ref="Y43:Z43"/>
    <mergeCell ref="AQ43:AR43"/>
    <mergeCell ref="Y44:Z44"/>
    <mergeCell ref="AQ44:AR44"/>
    <mergeCell ref="V45:AA45"/>
    <mergeCell ref="AB45:AT45"/>
    <mergeCell ref="V46:AA46"/>
    <mergeCell ref="AB46:AT46"/>
    <mergeCell ref="V47:AA47"/>
    <mergeCell ref="AB47:AT47"/>
    <mergeCell ref="V48:AA48"/>
    <mergeCell ref="AB48:AT48"/>
    <mergeCell ref="V49:AA49"/>
    <mergeCell ref="AB49:AT49"/>
    <mergeCell ref="V50:AA50"/>
    <mergeCell ref="AB50:AT50"/>
    <mergeCell ref="T64:AU64"/>
    <mergeCell ref="T65:AU65"/>
    <mergeCell ref="T67:AU67"/>
    <mergeCell ref="T68:AU68"/>
    <mergeCell ref="E2:E17"/>
    <mergeCell ref="E45:E61"/>
    <mergeCell ref="F3:F16"/>
    <mergeCell ref="F46:F59"/>
    <mergeCell ref="G4:G15"/>
    <mergeCell ref="G47:G58"/>
    <mergeCell ref="H5:H14"/>
    <mergeCell ref="H48:H57"/>
    <mergeCell ref="I6:I13"/>
    <mergeCell ref="I49:I56"/>
    <mergeCell ref="J7:J12"/>
    <mergeCell ref="J50:J55"/>
    <mergeCell ref="K8:K11"/>
    <mergeCell ref="K51:K54"/>
    <mergeCell ref="P6:P13"/>
    <mergeCell ref="P49:P56"/>
    <mergeCell ref="Q7:Q12"/>
    <mergeCell ref="Q50:Q55"/>
    <mergeCell ref="R8:R11"/>
    <mergeCell ref="S8:S11"/>
    <mergeCell ref="S40:S43"/>
    <mergeCell ref="S51:S54"/>
    <mergeCell ref="T8:T11"/>
    <mergeCell ref="T40:T43"/>
    <mergeCell ref="T51:T54"/>
    <mergeCell ref="X8:X11"/>
    <mergeCell ref="Y8:Y11"/>
    <mergeCell ref="Z8:Z11"/>
    <mergeCell ref="AA8:AA11"/>
    <mergeCell ref="AA40:AA43"/>
    <mergeCell ref="AB8:AB11"/>
    <mergeCell ref="AB51:AB54"/>
    <mergeCell ref="AC8:AC10"/>
    <mergeCell ref="AC51:AC53"/>
    <mergeCell ref="AD8:AD10"/>
    <mergeCell ref="AD51:AD53"/>
    <mergeCell ref="AE8:AE10"/>
    <mergeCell ref="AE51:AE53"/>
    <mergeCell ref="AF8:AF10"/>
    <mergeCell ref="AF51:AF53"/>
    <mergeCell ref="AG8:AG9"/>
    <mergeCell ref="AG51:AG52"/>
    <mergeCell ref="AH8:AH9"/>
    <mergeCell ref="AH51:AH52"/>
    <mergeCell ref="AI8:AI9"/>
    <mergeCell ref="AI51:AI52"/>
    <mergeCell ref="AJ8:AJ9"/>
    <mergeCell ref="AJ51:AJ52"/>
    <mergeCell ref="AS40:AS43"/>
    <mergeCell ref="AT40:AT43"/>
    <mergeCell ref="AU8:AU12"/>
    <mergeCell ref="AU39:AU43"/>
    <mergeCell ref="AU51:AU55"/>
    <mergeCell ref="X41:Z42"/>
    <mergeCell ref="AP41:AR42"/>
    <mergeCell ref="AB40:AE43"/>
    <mergeCell ref="AF40:AI43"/>
    <mergeCell ref="AJ40:AM43"/>
  </mergeCells>
  <dataValidations count="10">
    <dataValidation allowBlank="1" showInputMessage="1" showErrorMessage="1" prompt="Для выбора выполните двойной щелчок левой клавиши мыши по соответствующей ячейке." sqref="AB8 AE8:AF8 AI8:AJ8 AQ8 AS8 AB19 AE19:AF19 AI19:AJ19 AQ19 AS19 Y51 AA51:AB51 AE51:AF51 AI51:AJ51 AQ51 AS51 Y65590 AA65590 AQ65590 AS65590 Y131126 AA131126 AQ131126 AS131126 Y196662 AA196662 AQ196662 AS196662 Y262198 AA262198 AQ262198 AS262198 Y327734 AA327734 AQ327734 AS327734 Y393270 AA393270 AQ393270 AS393270 Y458806 AA458806 AQ458806 AS458806 Y524342 AA524342 AQ524342 AS524342 Y589878 AA589878 AQ589878 AS589878 Y655414 AA655414 AQ655414 AS655414 Y720950 AA720950 AQ720950 AS720950 Y786486 AA786486 AQ786486 AS786486 Y852022 AA852022 AQ852022 AS852022 Y917558 AA917558 AQ917558 AS917558 Y983094 AA983094 AQ983094 AS983094 Y8:Y10 AA8:AA1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P8 AR8 AP19 AR19 X51 Z51 AP51 AR51 X65590 Z65590 AP65590 AR65590 X131126 Z131126 AP131126 AR131126 X196662 Z196662 AP196662 AR196662 X262198 Z262198 AP262198 AR262198 X327734 Z327734 AP327734 AR327734 X393270 Z393270 AP393270 AR393270 X458806 Z458806 AP458806 AR458806 X524342 Z524342 AP524342 AR524342 X589878 Z589878 AP589878 AR589878 X655414 Z655414 AP655414 AR655414 X720950 Z720950 AP720950 AR720950 X786486 Z786486 AP786486 AR786486 X852022 Z852022 AP852022 AR852022 X917558 Z917558 AP917558 AR917558 X983094 Z983094 AP983094 AR983094 X8:X10 Z8:Z10"/>
    <dataValidation allowBlank="1" promptTitle="checkPeriodRange" sqref="W11 AO11 W54 AO54 W65591 AO65591 W131127 AO131127 W196663 AO196663 W262199 AO262199 W327735 AO327735 W393271 AO393271 W458807 AO458807 W524343 AO524343 W589879 AO589879 W655415 AO655415 W720951 AO720951 W786487 AO786487 W852023 AO852023 W917559 AO917559 W983095 AO983095"/>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showErrorMessage="1" errorTitle="Ошибка" error="Выберите значение из списка" sqref="AB65588:AM65588 AB131124:AM131124 AB196660:AM196660 AB262196:AM262196 AB327732:AM327732 AB393268:AM393268 AB458804:AM458804 AB524340:AM524340 AB589876:AM589876 AB655412:AM655412 AB720948:AM720948 AB786484:AM786484 AB852020:AM852020 AB917556:AM917556 AB983092:AM983092">
      <formula1>kind_of_scheme_in</formula1>
    </dataValidation>
    <dataValidation type="list" allowBlank="1" showInputMessage="1" errorTitle="Ошибка" error="Выберите значение из списка" prompt="Выберите значение из списка" sqref="V65589:AT65589 V131125:AT131125 V196661:AT196661 V262197:AT262197 V327733:AT327733 V393269:AT393269 V458805:AT458805 V524341:AT524341 V589877:AT589877 V655413:AT655413 V720949:AT720949 V786485:AT786485 V852021:AT852021 V917557:AT917557 V983093:AT983093">
      <formula1>kind_of_cons</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textLength" operator="lessThanOrEqual" allowBlank="1" showInputMessage="1" showErrorMessage="1" errorTitle="Ошибка" error="Допускается ввод не более 900 символов!" sqref="T8:T11 T51:T54 AU65584:AU65591 AU131120:AU131127 AU196656:AU196663 AU262192:AU262199 AU327728:AU327735 AU393264:AU393271 AU458800:AU458807 AU524336:AU524343 AU589872:AU589879 AU655408:AU655415 AU720944:AU720951 AU786480:AU786487 AU852016:AU852023 AU917552:AU917559 AU983088:AU983095">
      <formula1>900</formula1>
    </dataValidation>
    <dataValidation allowBlank="1" sqref="S131128:AU131134 S589880:AU589886 S196664:AU196670 S655416:AU655422 S262200:AU262206 S720952:AU720958 S327736:AU327742 S786488:AU786494 S393272:AU393278 S852024:AU852030 S458808:AU458814 S917560:AU917566 S65592:AU65598 S524344:AU524350 S983096:AU983102"/>
  </dataValidations>
  <pageMargins left="0.7" right="0.7" top="0.75" bottom="0.75" header="0.3" footer="0.3"/>
  <pageSetup paperSize="1"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64"/>
  <sheetViews>
    <sheetView showGridLines="0" zoomScale="90" zoomScaleNormal="90" workbookViewId="0">
      <pane xSplit="27" ySplit="41" topLeftCell="AB42" activePane="bottomRight" state="frozen"/>
      <selection/>
      <selection pane="topRight"/>
      <selection pane="bottomLeft"/>
      <selection pane="bottomRight" activeCell="A1" sqref="A1"/>
    </sheetView>
  </sheetViews>
  <sheetFormatPr defaultColWidth="10.5714285714286" defaultRowHeight="14.25" customHeight="1"/>
  <cols>
    <col min="1" max="3" width="10.1428571428571" style="43" hidden="1" customWidth="1"/>
    <col min="4" max="4" width="11.847619047619" style="43" hidden="1" customWidth="1"/>
    <col min="5" max="11" width="10.1428571428571" style="43" hidden="1" customWidth="1"/>
    <col min="12" max="12" width="10.1428571428571" style="86" hidden="1" customWidth="1"/>
    <col min="13" max="15" width="10.1428571428571" style="40" hidden="1" customWidth="1"/>
    <col min="16" max="16" width="3" style="39" customWidth="1"/>
    <col min="17" max="17" width="3" style="1051" customWidth="1"/>
    <col min="18" max="18" width="3" style="41" customWidth="1"/>
    <col min="19" max="19" width="12" style="42" customWidth="1"/>
    <col min="20" max="20" width="31" style="43" customWidth="1"/>
    <col min="21" max="21" width="0.142857142857143" style="43" customWidth="1"/>
    <col min="22" max="23" width="21.7142857142857" style="43" hidden="1" customWidth="1"/>
    <col min="24" max="24" width="11.7142857142857" style="43" hidden="1" customWidth="1"/>
    <col min="25" max="25" width="3.71428571428571" style="43" hidden="1" customWidth="1"/>
    <col min="26" max="26" width="11.7142857142857" style="43" hidden="1" customWidth="1"/>
    <col min="27" max="27" width="8.57142857142857" style="43" hidden="1" customWidth="1"/>
    <col min="28" max="28" width="27" style="43" customWidth="1"/>
    <col min="29" max="29" width="24.5714285714286" style="43" customWidth="1"/>
    <col min="30" max="31" width="21" style="43" customWidth="1"/>
    <col min="32" max="32" width="11" style="43" customWidth="1"/>
    <col min="33" max="33" width="3.71428571428571" style="43" customWidth="1"/>
    <col min="34" max="34" width="11" style="43" customWidth="1"/>
    <col min="35" max="35" width="8.57142857142857" style="43" hidden="1" customWidth="1"/>
    <col min="36" max="36" width="4" style="43" customWidth="1"/>
    <col min="37" max="37" width="115" style="43" customWidth="1"/>
    <col min="38" max="42" width="10" style="44" customWidth="1"/>
    <col min="43" max="43" width="10.5714285714286" style="43" hidden="1"/>
  </cols>
  <sheetData>
    <row r="1" ht="0.75" hidden="1" customHeight="1" spans="43:43">
      <c r="AQ1" s="43" t="s">
        <v>14</v>
      </c>
    </row>
    <row r="2" ht="21" hidden="1" customHeight="1" spans="1:43">
      <c r="A2" s="502"/>
      <c r="B2" s="502"/>
      <c r="C2" s="502"/>
      <c r="D2" s="502"/>
      <c r="E2" s="1143">
        <v>1</v>
      </c>
      <c r="F2" s="502"/>
      <c r="G2" s="502"/>
      <c r="H2" s="502"/>
      <c r="I2" s="502"/>
      <c r="J2" s="502"/>
      <c r="K2" s="502"/>
      <c r="L2" s="536"/>
      <c r="M2" s="42"/>
      <c r="N2" s="42"/>
      <c r="O2" s="42"/>
      <c r="Q2" s="264"/>
      <c r="R2" s="82"/>
      <c r="S2" s="65" t="e">
        <f>INDEX(PT_DIFFERENTIATION_NUM_NTAR,MATCH(A2,PT_DIFFERENTIATION_NTAR_ID,0))</f>
        <v>#N/A</v>
      </c>
      <c r="T2" s="83" t="s">
        <v>121</v>
      </c>
      <c r="U2" s="84"/>
      <c r="V2" s="1061"/>
      <c r="W2" s="1061"/>
      <c r="X2" s="1061"/>
      <c r="Y2" s="1061"/>
      <c r="Z2" s="1061"/>
      <c r="AA2" s="1089"/>
      <c r="AB2" s="1061"/>
      <c r="AC2" s="1061" t="e">
        <f>INDEX(PT_DIFFERENTIATION_NTAR,MATCH(A2,PT_DIFFERENTIATION_NTAR_ID,0))</f>
        <v>#N/A</v>
      </c>
      <c r="AD2" s="1061"/>
      <c r="AE2" s="1061"/>
      <c r="AF2" s="1061"/>
      <c r="AG2" s="1061"/>
      <c r="AH2" s="1061"/>
      <c r="AI2" s="1061"/>
      <c r="AJ2" s="1089"/>
      <c r="AK2" s="136" t="s">
        <v>392</v>
      </c>
      <c r="AM2" s="151"/>
      <c r="AN2" s="151" t="str">
        <f t="shared" ref="AN2:AN14" si="0">IF(T2="","",T2)</f>
        <v>Наименование тарифа</v>
      </c>
      <c r="AO2" s="151"/>
      <c r="AP2" s="151"/>
      <c r="AQ2" s="43">
        <v>0</v>
      </c>
    </row>
    <row r="3" ht="21" hidden="1" customHeight="1" spans="1:43">
      <c r="A3" s="502"/>
      <c r="B3" s="502"/>
      <c r="C3" s="502"/>
      <c r="D3" s="502"/>
      <c r="E3" s="1144"/>
      <c r="F3" s="1143">
        <v>1</v>
      </c>
      <c r="G3" s="502"/>
      <c r="H3" s="502"/>
      <c r="I3" s="502"/>
      <c r="J3" s="502"/>
      <c r="K3" s="502"/>
      <c r="L3" s="536"/>
      <c r="M3" s="42"/>
      <c r="N3" s="42"/>
      <c r="O3" s="42"/>
      <c r="P3" s="48"/>
      <c r="Q3" s="1062"/>
      <c r="R3" s="88"/>
      <c r="S3" s="65" t="e">
        <f>INDEX(PT_DIFFERENTIATION_NUM_TER,MATCH(B3,PT_DIFFERENTIATION_TER_ID,0))</f>
        <v>#N/A</v>
      </c>
      <c r="T3" s="89" t="s">
        <v>393</v>
      </c>
      <c r="U3" s="84"/>
      <c r="V3" s="1061"/>
      <c r="W3" s="1061"/>
      <c r="X3" s="1061"/>
      <c r="Y3" s="1061"/>
      <c r="Z3" s="1061"/>
      <c r="AA3" s="1089"/>
      <c r="AB3" s="1061"/>
      <c r="AC3" s="1061" t="e">
        <f>INDEX(PT_DIFFERENTIATION_TER,MATCH(B3,PT_DIFFERENTIATION_TER_ID,0))</f>
        <v>#N/A</v>
      </c>
      <c r="AD3" s="1061"/>
      <c r="AE3" s="1061"/>
      <c r="AF3" s="1061"/>
      <c r="AG3" s="1061"/>
      <c r="AH3" s="1061"/>
      <c r="AI3" s="1061"/>
      <c r="AJ3" s="1089"/>
      <c r="AK3" s="136" t="s">
        <v>394</v>
      </c>
      <c r="AM3" s="151"/>
      <c r="AN3" s="151" t="str">
        <f t="shared" si="0"/>
        <v>Территория действия тарифа</v>
      </c>
      <c r="AO3" s="151"/>
      <c r="AP3" s="151"/>
      <c r="AQ3" s="43">
        <v>0</v>
      </c>
    </row>
    <row r="4" ht="22.5" hidden="1" customHeight="1" spans="1:43">
      <c r="A4" s="502"/>
      <c r="B4" s="502"/>
      <c r="C4" s="502"/>
      <c r="D4" s="502"/>
      <c r="E4" s="1144"/>
      <c r="F4" s="1144"/>
      <c r="G4" s="1143">
        <v>1</v>
      </c>
      <c r="H4" s="502"/>
      <c r="I4" s="502"/>
      <c r="J4" s="502"/>
      <c r="K4" s="502"/>
      <c r="L4" s="536"/>
      <c r="M4" s="42"/>
      <c r="N4" s="42"/>
      <c r="O4" s="42"/>
      <c r="P4" s="1055"/>
      <c r="Q4" s="1062"/>
      <c r="R4" s="88"/>
      <c r="S4" s="65" t="e">
        <f>INDEX(PT_DIFFERENTIATION_NUM_CS,MATCH(C4,PT_DIFFERENTIATION_CS_ID,0))</f>
        <v>#N/A</v>
      </c>
      <c r="T4" s="91" t="s">
        <v>395</v>
      </c>
      <c r="U4" s="84"/>
      <c r="V4" s="1061"/>
      <c r="W4" s="1061"/>
      <c r="X4" s="1061"/>
      <c r="Y4" s="1061"/>
      <c r="Z4" s="1061"/>
      <c r="AA4" s="1089"/>
      <c r="AB4" s="1061"/>
      <c r="AC4" s="1061" t="e">
        <f>INDEX(PT_DIFFERENTIATION_CS,MATCH(C4,PT_DIFFERENTIATION_CS_ID,0))</f>
        <v>#N/A</v>
      </c>
      <c r="AD4" s="1061"/>
      <c r="AE4" s="1061"/>
      <c r="AF4" s="1061"/>
      <c r="AG4" s="1061"/>
      <c r="AH4" s="1061"/>
      <c r="AI4" s="1061"/>
      <c r="AJ4" s="1089"/>
      <c r="AK4" s="136" t="s">
        <v>396</v>
      </c>
      <c r="AM4" s="151"/>
      <c r="AN4" s="151" t="str">
        <f t="shared" si="0"/>
        <v>Наименование системы теплоснабжения </v>
      </c>
      <c r="AO4" s="151"/>
      <c r="AP4" s="151"/>
      <c r="AQ4" s="43">
        <v>0</v>
      </c>
    </row>
    <row r="5" ht="21" hidden="1" customHeight="1" spans="1:43">
      <c r="A5" s="502"/>
      <c r="B5" s="502"/>
      <c r="C5" s="502"/>
      <c r="D5" s="502"/>
      <c r="E5" s="1144"/>
      <c r="F5" s="1144"/>
      <c r="G5" s="1144"/>
      <c r="H5" s="1143">
        <v>1</v>
      </c>
      <c r="I5" s="502"/>
      <c r="J5" s="502"/>
      <c r="K5" s="502"/>
      <c r="L5" s="536"/>
      <c r="M5" s="42"/>
      <c r="N5" s="42"/>
      <c r="O5" s="42"/>
      <c r="P5" s="1055"/>
      <c r="Q5" s="1062"/>
      <c r="R5" s="88"/>
      <c r="S5" s="65" t="e">
        <f>INDEX(PT_DIFFERENTIATION_NUM_IST_TE,MATCH(D5,PT_DIFFERENTIATION_IST_TE_ID,0))</f>
        <v>#N/A</v>
      </c>
      <c r="T5" s="92" t="s">
        <v>397</v>
      </c>
      <c r="U5" s="84"/>
      <c r="V5" s="1061"/>
      <c r="W5" s="1061"/>
      <c r="X5" s="1061"/>
      <c r="Y5" s="1061"/>
      <c r="Z5" s="1061"/>
      <c r="AA5" s="1089"/>
      <c r="AB5" s="1061"/>
      <c r="AC5" s="1061" t="e">
        <f>INDEX(PT_DIFFERENTIATION_IST_TE,MATCH(D5,PT_DIFFERENTIATION_IST_TE_ID,0))</f>
        <v>#N/A</v>
      </c>
      <c r="AD5" s="1061"/>
      <c r="AE5" s="1061"/>
      <c r="AF5" s="1061"/>
      <c r="AG5" s="1061"/>
      <c r="AH5" s="1061"/>
      <c r="AI5" s="1061"/>
      <c r="AJ5" s="1089"/>
      <c r="AK5" s="136" t="s">
        <v>398</v>
      </c>
      <c r="AM5" s="151"/>
      <c r="AN5" s="151" t="str">
        <f t="shared" si="0"/>
        <v>Источник тепловой энергии  </v>
      </c>
      <c r="AO5" s="151"/>
      <c r="AP5" s="151"/>
      <c r="AQ5" s="43">
        <v>0</v>
      </c>
    </row>
    <row r="6" s="44" customFormat="1" ht="0.75" hidden="1" customHeight="1" spans="1:43">
      <c r="A6" s="1145"/>
      <c r="B6" s="1145"/>
      <c r="C6" s="1145"/>
      <c r="D6" s="1145"/>
      <c r="E6" s="1144"/>
      <c r="F6" s="1144"/>
      <c r="G6" s="1144"/>
      <c r="H6" s="1144"/>
      <c r="I6" s="64" t="e">
        <f>S5&amp;".1"</f>
        <v>#N/A</v>
      </c>
      <c r="J6" s="1145"/>
      <c r="K6" s="1145"/>
      <c r="L6" s="1147" t="s">
        <v>399</v>
      </c>
      <c r="M6" s="74"/>
      <c r="N6" s="74"/>
      <c r="O6" s="74"/>
      <c r="P6" s="93">
        <v>1</v>
      </c>
      <c r="Q6" s="93"/>
      <c r="R6" s="94"/>
      <c r="S6" s="330"/>
      <c r="T6" s="1067"/>
      <c r="U6" s="1065"/>
      <c r="V6" s="1066"/>
      <c r="W6" s="1066"/>
      <c r="X6" s="1066"/>
      <c r="Y6" s="1066"/>
      <c r="Z6" s="1066"/>
      <c r="AA6" s="1091"/>
      <c r="AB6" s="1066"/>
      <c r="AC6" s="1066"/>
      <c r="AD6" s="1066"/>
      <c r="AE6" s="1066"/>
      <c r="AF6" s="1066"/>
      <c r="AG6" s="1066"/>
      <c r="AH6" s="1066"/>
      <c r="AI6" s="1066"/>
      <c r="AJ6" s="1091"/>
      <c r="AK6" s="995"/>
      <c r="AM6" s="151"/>
      <c r="AN6" s="151" t="str">
        <f t="shared" si="0"/>
        <v/>
      </c>
      <c r="AO6" s="151"/>
      <c r="AP6" s="151"/>
      <c r="AQ6" s="44">
        <v>0</v>
      </c>
    </row>
    <row r="7" s="44" customFormat="1" ht="0.75" hidden="1" customHeight="1" spans="1:43">
      <c r="A7" s="1145"/>
      <c r="B7" s="1145"/>
      <c r="C7" s="1145"/>
      <c r="D7" s="1145"/>
      <c r="E7" s="1144"/>
      <c r="F7" s="1144"/>
      <c r="G7" s="1144"/>
      <c r="H7" s="1144"/>
      <c r="I7" s="126"/>
      <c r="J7" s="64" t="e">
        <f>S5&amp;".1"</f>
        <v>#N/A</v>
      </c>
      <c r="K7" s="1145"/>
      <c r="L7" s="1147"/>
      <c r="M7" s="74"/>
      <c r="N7" s="74"/>
      <c r="O7" s="74"/>
      <c r="P7" s="93"/>
      <c r="Q7" s="93">
        <v>1</v>
      </c>
      <c r="R7" s="97"/>
      <c r="S7" s="330"/>
      <c r="T7" s="1068"/>
      <c r="U7" s="1065"/>
      <c r="V7" s="1066"/>
      <c r="W7" s="1066"/>
      <c r="X7" s="1066"/>
      <c r="Y7" s="1066"/>
      <c r="Z7" s="1066"/>
      <c r="AA7" s="1091"/>
      <c r="AB7" s="1066"/>
      <c r="AC7" s="1066"/>
      <c r="AD7" s="1066"/>
      <c r="AE7" s="1066"/>
      <c r="AF7" s="1066"/>
      <c r="AG7" s="1066"/>
      <c r="AH7" s="1066"/>
      <c r="AI7" s="1066"/>
      <c r="AJ7" s="1091"/>
      <c r="AK7" s="995"/>
      <c r="AM7" s="151"/>
      <c r="AN7" s="151" t="str">
        <f t="shared" si="0"/>
        <v/>
      </c>
      <c r="AO7" s="151"/>
      <c r="AP7" s="151"/>
      <c r="AQ7" s="44">
        <v>0</v>
      </c>
    </row>
    <row r="8" ht="21" hidden="1" customHeight="1" spans="1:43">
      <c r="A8" s="502"/>
      <c r="B8" s="502"/>
      <c r="C8" s="502"/>
      <c r="D8" s="502"/>
      <c r="E8" s="1144"/>
      <c r="F8" s="1144"/>
      <c r="G8" s="1144"/>
      <c r="H8" s="1144"/>
      <c r="I8" s="126"/>
      <c r="J8" s="126"/>
      <c r="K8" s="64" t="e">
        <f>S5&amp;".1"</f>
        <v>#N/A</v>
      </c>
      <c r="L8" s="536"/>
      <c r="P8" s="93"/>
      <c r="Q8" s="93"/>
      <c r="R8" s="1069">
        <v>1</v>
      </c>
      <c r="S8" s="1070" t="e">
        <f>$K8</f>
        <v>#N/A</v>
      </c>
      <c r="T8" s="1151"/>
      <c r="U8" s="84"/>
      <c r="V8" s="102"/>
      <c r="W8" s="138"/>
      <c r="X8" s="139"/>
      <c r="Y8" s="140" t="s">
        <v>66</v>
      </c>
      <c r="Z8" s="139"/>
      <c r="AA8" s="140" t="s">
        <v>66</v>
      </c>
      <c r="AB8" s="1071"/>
      <c r="AC8" s="1106" t="s">
        <v>22</v>
      </c>
      <c r="AD8" s="102"/>
      <c r="AE8" s="138"/>
      <c r="AF8" s="139"/>
      <c r="AG8" s="140" t="s">
        <v>66</v>
      </c>
      <c r="AH8" s="139"/>
      <c r="AI8" s="140" t="s">
        <v>66</v>
      </c>
      <c r="AJ8" s="1120"/>
      <c r="AK8" s="141" t="s">
        <v>456</v>
      </c>
      <c r="AL8" s="44" t="e">
        <f>STRCHECKDATE(#REF!)</f>
        <v>#NAME?</v>
      </c>
      <c r="AM8" s="151"/>
      <c r="AN8" s="151" t="str">
        <f t="shared" si="0"/>
        <v/>
      </c>
      <c r="AO8" s="151"/>
      <c r="AP8" s="151"/>
      <c r="AQ8" s="43">
        <v>0</v>
      </c>
    </row>
    <row r="9" ht="11.25" hidden="1" customHeight="1" spans="1:43">
      <c r="A9" s="502"/>
      <c r="B9" s="502"/>
      <c r="C9" s="502"/>
      <c r="D9" s="502"/>
      <c r="E9" s="1144"/>
      <c r="F9" s="1144"/>
      <c r="G9" s="1144"/>
      <c r="H9" s="1144"/>
      <c r="I9" s="126"/>
      <c r="J9" s="64"/>
      <c r="K9" s="502"/>
      <c r="L9" s="536"/>
      <c r="P9" s="93"/>
      <c r="Q9" s="93"/>
      <c r="R9" s="94"/>
      <c r="S9" s="105"/>
      <c r="T9" s="108" t="s">
        <v>460</v>
      </c>
      <c r="U9" s="107"/>
      <c r="V9" s="107"/>
      <c r="W9" s="107"/>
      <c r="X9" s="107"/>
      <c r="Y9" s="107"/>
      <c r="Z9" s="107"/>
      <c r="AA9" s="107"/>
      <c r="AB9" s="107"/>
      <c r="AC9" s="107"/>
      <c r="AD9" s="107"/>
      <c r="AE9" s="107"/>
      <c r="AF9" s="107"/>
      <c r="AG9" s="107"/>
      <c r="AH9" s="107"/>
      <c r="AI9" s="107"/>
      <c r="AJ9" s="145"/>
      <c r="AK9" s="146"/>
      <c r="AM9" s="151"/>
      <c r="AN9" s="151" t="str">
        <f t="shared" si="0"/>
        <v>Добавить строку</v>
      </c>
      <c r="AO9" s="151"/>
      <c r="AP9" s="151"/>
      <c r="AQ9" s="43">
        <v>0</v>
      </c>
    </row>
    <row r="10" s="44" customFormat="1" ht="0.75" hidden="1" customHeight="1" spans="1:43">
      <c r="A10" s="1145"/>
      <c r="B10" s="1145"/>
      <c r="C10" s="1145"/>
      <c r="D10" s="1145"/>
      <c r="E10" s="1144"/>
      <c r="F10" s="1144"/>
      <c r="G10" s="1144"/>
      <c r="H10" s="1144"/>
      <c r="I10" s="64"/>
      <c r="J10" s="1145"/>
      <c r="K10" s="1145"/>
      <c r="L10" s="1147"/>
      <c r="M10" s="74"/>
      <c r="N10" s="74"/>
      <c r="O10" s="74"/>
      <c r="P10" s="93"/>
      <c r="Q10" s="93"/>
      <c r="R10" s="94"/>
      <c r="S10" s="1079"/>
      <c r="T10" s="1080"/>
      <c r="U10" s="1081"/>
      <c r="V10" s="1081"/>
      <c r="W10" s="1081"/>
      <c r="X10" s="1081"/>
      <c r="Y10" s="1081"/>
      <c r="Z10" s="1081"/>
      <c r="AA10" s="1081"/>
      <c r="AB10" s="1081"/>
      <c r="AC10" s="1081"/>
      <c r="AD10" s="1081"/>
      <c r="AE10" s="1081"/>
      <c r="AF10" s="1081"/>
      <c r="AG10" s="1081"/>
      <c r="AH10" s="1081"/>
      <c r="AI10" s="1081"/>
      <c r="AJ10" s="1081"/>
      <c r="AK10" s="1123"/>
      <c r="AM10" s="151"/>
      <c r="AN10" s="151" t="str">
        <f t="shared" si="0"/>
        <v/>
      </c>
      <c r="AO10" s="151"/>
      <c r="AP10" s="151"/>
      <c r="AQ10" s="44">
        <v>0</v>
      </c>
    </row>
    <row r="11" s="44" customFormat="1" ht="0.75" hidden="1" customHeight="1" spans="1:43">
      <c r="A11" s="1145"/>
      <c r="B11" s="1145"/>
      <c r="C11" s="1145"/>
      <c r="D11" s="1145"/>
      <c r="E11" s="1144"/>
      <c r="F11" s="1144"/>
      <c r="G11" s="1144"/>
      <c r="H11" s="1143"/>
      <c r="I11" s="1145"/>
      <c r="J11" s="1145"/>
      <c r="K11" s="1145"/>
      <c r="L11" s="1147"/>
      <c r="M11" s="1148"/>
      <c r="N11" s="1148"/>
      <c r="O11" s="37"/>
      <c r="P11" s="152"/>
      <c r="Q11" s="1082"/>
      <c r="R11" s="1083"/>
      <c r="S11" s="1079"/>
      <c r="T11" s="1080"/>
      <c r="U11" s="1081"/>
      <c r="V11" s="1081"/>
      <c r="W11" s="1081"/>
      <c r="X11" s="1081"/>
      <c r="Y11" s="1081"/>
      <c r="Z11" s="1081"/>
      <c r="AA11" s="1081"/>
      <c r="AB11" s="1081"/>
      <c r="AC11" s="1081"/>
      <c r="AD11" s="1081"/>
      <c r="AE11" s="1081"/>
      <c r="AF11" s="1081"/>
      <c r="AG11" s="1081"/>
      <c r="AH11" s="1081"/>
      <c r="AI11" s="1081"/>
      <c r="AJ11" s="1081"/>
      <c r="AK11" s="1123"/>
      <c r="AM11" s="151"/>
      <c r="AN11" s="151" t="str">
        <f t="shared" si="0"/>
        <v/>
      </c>
      <c r="AO11" s="151"/>
      <c r="AP11" s="151"/>
      <c r="AQ11" s="44">
        <v>0</v>
      </c>
    </row>
    <row r="12" s="44" customFormat="1" ht="0.75" hidden="1" customHeight="1" spans="1:43">
      <c r="A12" s="1145"/>
      <c r="B12" s="1145"/>
      <c r="C12" s="1145"/>
      <c r="D12" s="1145"/>
      <c r="E12" s="1144"/>
      <c r="F12" s="1144"/>
      <c r="G12" s="1143"/>
      <c r="H12" s="1145"/>
      <c r="I12" s="1145"/>
      <c r="J12" s="1145"/>
      <c r="K12" s="1145"/>
      <c r="L12" s="1147"/>
      <c r="M12" s="1148"/>
      <c r="N12" s="1148"/>
      <c r="O12" s="37"/>
      <c r="P12" s="152"/>
      <c r="Q12" s="1082"/>
      <c r="R12" s="152"/>
      <c r="S12" s="1084"/>
      <c r="T12" s="1085" t="s">
        <v>410</v>
      </c>
      <c r="U12" s="307"/>
      <c r="V12" s="307"/>
      <c r="W12" s="307"/>
      <c r="X12" s="307"/>
      <c r="Y12" s="307"/>
      <c r="Z12" s="307"/>
      <c r="AA12" s="307"/>
      <c r="AB12" s="307"/>
      <c r="AC12" s="307"/>
      <c r="AD12" s="307"/>
      <c r="AE12" s="307"/>
      <c r="AF12" s="307"/>
      <c r="AG12" s="307"/>
      <c r="AH12" s="307"/>
      <c r="AI12" s="307"/>
      <c r="AJ12" s="307"/>
      <c r="AK12" s="307"/>
      <c r="AM12" s="151"/>
      <c r="AN12" s="151" t="str">
        <f t="shared" si="0"/>
        <v>Добавить источник для дифференциации</v>
      </c>
      <c r="AO12" s="151"/>
      <c r="AP12" s="151"/>
      <c r="AQ12" s="44">
        <v>0</v>
      </c>
    </row>
    <row r="13" s="44" customFormat="1" ht="0.75" hidden="1" customHeight="1" spans="1:43">
      <c r="A13" s="1145"/>
      <c r="B13" s="1145"/>
      <c r="C13" s="1145"/>
      <c r="D13" s="1145"/>
      <c r="E13" s="1144"/>
      <c r="F13" s="1143"/>
      <c r="G13" s="1145"/>
      <c r="H13" s="1145"/>
      <c r="I13" s="1145"/>
      <c r="J13" s="1145"/>
      <c r="K13" s="1145"/>
      <c r="L13" s="1147"/>
      <c r="M13" s="1149"/>
      <c r="N13" s="1149"/>
      <c r="O13" s="37"/>
      <c r="P13" s="152"/>
      <c r="Q13" s="1082"/>
      <c r="R13" s="152"/>
      <c r="S13" s="1084"/>
      <c r="T13" s="1085" t="s">
        <v>411</v>
      </c>
      <c r="U13" s="307"/>
      <c r="V13" s="307"/>
      <c r="W13" s="307"/>
      <c r="X13" s="307"/>
      <c r="Y13" s="307"/>
      <c r="Z13" s="307"/>
      <c r="AA13" s="307"/>
      <c r="AB13" s="307"/>
      <c r="AC13" s="307"/>
      <c r="AD13" s="307"/>
      <c r="AE13" s="307"/>
      <c r="AF13" s="307"/>
      <c r="AG13" s="307"/>
      <c r="AH13" s="307"/>
      <c r="AI13" s="307"/>
      <c r="AJ13" s="307"/>
      <c r="AK13" s="307"/>
      <c r="AM13" s="151"/>
      <c r="AN13" s="151" t="str">
        <f t="shared" si="0"/>
        <v>Добавить централизованную систему для дифференциации</v>
      </c>
      <c r="AO13" s="151"/>
      <c r="AP13" s="151"/>
      <c r="AQ13" s="44">
        <v>0</v>
      </c>
    </row>
    <row r="14" s="44" customFormat="1" ht="0.75" hidden="1" customHeight="1" spans="1:43">
      <c r="A14" s="1145"/>
      <c r="B14" s="1145"/>
      <c r="C14" s="1145"/>
      <c r="D14" s="1145"/>
      <c r="E14" s="1143"/>
      <c r="F14" s="1145"/>
      <c r="G14" s="1145"/>
      <c r="H14" s="1145"/>
      <c r="I14" s="1145"/>
      <c r="J14" s="1145"/>
      <c r="K14" s="1145"/>
      <c r="L14" s="1147"/>
      <c r="M14" s="1149"/>
      <c r="N14" s="1149"/>
      <c r="O14" s="37"/>
      <c r="P14" s="152"/>
      <c r="Q14" s="1082"/>
      <c r="R14" s="152"/>
      <c r="S14" s="1084"/>
      <c r="T14" s="1085" t="s">
        <v>412</v>
      </c>
      <c r="U14" s="307"/>
      <c r="V14" s="307"/>
      <c r="W14" s="307"/>
      <c r="X14" s="307"/>
      <c r="Y14" s="307"/>
      <c r="Z14" s="307"/>
      <c r="AA14" s="307"/>
      <c r="AB14" s="307"/>
      <c r="AC14" s="307"/>
      <c r="AD14" s="307"/>
      <c r="AE14" s="307"/>
      <c r="AF14" s="307"/>
      <c r="AG14" s="307"/>
      <c r="AH14" s="307"/>
      <c r="AI14" s="307"/>
      <c r="AJ14" s="307"/>
      <c r="AK14" s="307"/>
      <c r="AM14" s="151"/>
      <c r="AN14" s="151" t="str">
        <f t="shared" si="0"/>
        <v>Добавить территорию для дифференциации</v>
      </c>
      <c r="AO14" s="151"/>
      <c r="AP14" s="151"/>
      <c r="AQ14" s="44">
        <v>0</v>
      </c>
    </row>
    <row r="15" hidden="1" customHeight="1" spans="43:43">
      <c r="AQ15" s="43">
        <v>0</v>
      </c>
    </row>
    <row r="16" hidden="1" customHeight="1" spans="29:43">
      <c r="AC16" s="1109"/>
      <c r="AD16" s="487"/>
      <c r="AE16" s="1155"/>
      <c r="AF16" s="1124"/>
      <c r="AG16" s="496" t="s">
        <v>66</v>
      </c>
      <c r="AH16" s="1124"/>
      <c r="AI16" s="496" t="s">
        <v>66</v>
      </c>
      <c r="AQ16" s="43">
        <v>0</v>
      </c>
    </row>
    <row r="17" hidden="1" customHeight="1" spans="38:43">
      <c r="AL17" s="37"/>
      <c r="AM17" s="37"/>
      <c r="AN17" s="37"/>
      <c r="AO17" s="37"/>
      <c r="AP17" s="37"/>
      <c r="AQ17" s="43">
        <v>0</v>
      </c>
    </row>
    <row r="18" hidden="1" customHeight="1" spans="15:43">
      <c r="O18" s="1098" t="s">
        <v>413</v>
      </c>
      <c r="X18" s="1098"/>
      <c r="Z18" s="1098"/>
      <c r="AF18" s="1098"/>
      <c r="AH18" s="1098"/>
      <c r="AL18" s="37"/>
      <c r="AM18" s="37"/>
      <c r="AN18" s="37"/>
      <c r="AO18" s="37"/>
      <c r="AP18" s="37"/>
      <c r="AQ18" s="43">
        <v>0</v>
      </c>
    </row>
    <row r="19" hidden="1" customHeight="1" spans="38:43">
      <c r="AL19" s="37"/>
      <c r="AM19" s="37"/>
      <c r="AN19" s="37"/>
      <c r="AO19" s="37"/>
      <c r="AP19" s="37"/>
      <c r="AQ19" s="43">
        <v>0</v>
      </c>
    </row>
    <row r="20" s="1050" customFormat="1" hidden="1" customHeight="1" spans="1:43">
      <c r="A20" s="1146"/>
      <c r="B20" s="1146"/>
      <c r="C20" s="1146"/>
      <c r="D20" s="1146"/>
      <c r="E20" s="1146"/>
      <c r="F20" s="1146"/>
      <c r="G20" s="1146"/>
      <c r="H20" s="1146"/>
      <c r="I20" s="1146"/>
      <c r="J20" s="1146"/>
      <c r="K20" s="1146"/>
      <c r="L20" s="1146"/>
      <c r="M20" s="1150"/>
      <c r="N20" s="1150"/>
      <c r="O20" s="1146" t="s">
        <v>414</v>
      </c>
      <c r="P20" s="49"/>
      <c r="Q20" s="1086"/>
      <c r="R20" s="1086"/>
      <c r="Y20" s="1050" t="s">
        <v>416</v>
      </c>
      <c r="AA20" s="1050" t="s">
        <v>417</v>
      </c>
      <c r="AC20" s="1050" t="s">
        <v>462</v>
      </c>
      <c r="AG20" s="1050" t="s">
        <v>416</v>
      </c>
      <c r="AI20" s="1050" t="s">
        <v>417</v>
      </c>
      <c r="AL20" s="1125"/>
      <c r="AM20" s="1125"/>
      <c r="AN20" s="1125"/>
      <c r="AO20" s="1125"/>
      <c r="AP20" s="1125"/>
      <c r="AQ20" s="1050">
        <v>0</v>
      </c>
    </row>
    <row r="21" hidden="1" customHeight="1" spans="15:43">
      <c r="O21" s="536"/>
      <c r="AL21" s="37"/>
      <c r="AM21" s="37"/>
      <c r="AN21" s="37"/>
      <c r="AO21" s="37"/>
      <c r="AP21" s="37"/>
      <c r="AQ21" s="43">
        <v>0</v>
      </c>
    </row>
    <row r="22" hidden="1" customHeight="1" spans="15:43">
      <c r="O22" s="536"/>
      <c r="AL22" s="37"/>
      <c r="AM22" s="37"/>
      <c r="AN22" s="37"/>
      <c r="AO22" s="37"/>
      <c r="AP22" s="37"/>
      <c r="AQ22" s="43">
        <v>0</v>
      </c>
    </row>
    <row r="23" ht="14.7" customHeight="1" spans="17:43">
      <c r="Q23" s="1087"/>
      <c r="R23" s="51"/>
      <c r="S23" s="52"/>
      <c r="T23" s="53"/>
      <c r="U23" s="53"/>
      <c r="AQ23" s="43">
        <v>14</v>
      </c>
    </row>
    <row r="24" ht="39.75" customHeight="1" spans="17:43">
      <c r="Q24" s="1087"/>
      <c r="R24" s="51"/>
      <c r="S24" s="7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755"/>
      <c r="U24" s="755"/>
      <c r="V24" s="755"/>
      <c r="W24" s="755"/>
      <c r="X24" s="755"/>
      <c r="Y24" s="755"/>
      <c r="Z24" s="755"/>
      <c r="AA24" s="755"/>
      <c r="AB24" s="755"/>
      <c r="AC24" s="755"/>
      <c r="AD24" s="755"/>
      <c r="AE24" s="755"/>
      <c r="AF24" s="755"/>
      <c r="AG24" s="755"/>
      <c r="AH24" s="755"/>
      <c r="AI24" s="121"/>
      <c r="AQ24" s="43">
        <v>38</v>
      </c>
    </row>
    <row r="25" ht="14.7" customHeight="1" spans="17:43">
      <c r="Q25" s="1087"/>
      <c r="R25" s="51"/>
      <c r="S25" s="660" t="str">
        <f>IF(org=0,"Не определено",org)</f>
        <v>АО "Теплокоммунэнерго"</v>
      </c>
      <c r="T25" s="660"/>
      <c r="U25" s="660"/>
      <c r="V25" s="660"/>
      <c r="W25" s="660"/>
      <c r="X25" s="660"/>
      <c r="Y25" s="660"/>
      <c r="Z25" s="660"/>
      <c r="AA25" s="660"/>
      <c r="AB25" s="660"/>
      <c r="AC25" s="660"/>
      <c r="AD25" s="660"/>
      <c r="AE25" s="660"/>
      <c r="AF25" s="660"/>
      <c r="AG25" s="660"/>
      <c r="AH25" s="660"/>
      <c r="AI25" s="121"/>
      <c r="AQ25" s="43">
        <v>14</v>
      </c>
    </row>
    <row r="26" hidden="1" customHeight="1" spans="17:43">
      <c r="Q26" s="1087"/>
      <c r="R26" s="51"/>
      <c r="S26" s="52"/>
      <c r="T26" s="53"/>
      <c r="U26" s="53"/>
      <c r="V26" s="56"/>
      <c r="W26" s="56"/>
      <c r="X26" s="56"/>
      <c r="Y26" s="56"/>
      <c r="Z26" s="56"/>
      <c r="AA26" s="56"/>
      <c r="AB26" s="56"/>
      <c r="AC26" s="56"/>
      <c r="AD26" s="56"/>
      <c r="AE26" s="56"/>
      <c r="AF26" s="56"/>
      <c r="AG26" s="56"/>
      <c r="AH26" s="56"/>
      <c r="AI26" s="56"/>
      <c r="AQ26" s="43">
        <v>0</v>
      </c>
    </row>
    <row r="27" s="36" customFormat="1" ht="25.5" hidden="1" customHeight="1" spans="1:43">
      <c r="A27" s="503"/>
      <c r="B27" s="503"/>
      <c r="C27" s="503"/>
      <c r="D27" s="503"/>
      <c r="E27" s="503"/>
      <c r="F27" s="503"/>
      <c r="G27" s="503"/>
      <c r="H27" s="503"/>
      <c r="I27" s="503"/>
      <c r="J27" s="503"/>
      <c r="K27" s="503"/>
      <c r="L27" s="536"/>
      <c r="M27" s="503"/>
      <c r="N27" s="503"/>
      <c r="O27" s="503"/>
      <c r="P27" s="45"/>
      <c r="Q27" s="45"/>
      <c r="S27" s="79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152"/>
      <c r="U27" s="1088"/>
      <c r="V27" s="60" t="str">
        <f>IF(TITLE_NAME_OR_PR_CHANGE="",IF(TITLE_NAME_OR_PR="","",TITLE_NAME_OR_PR),TITLE_NAME_OR_PR_CHANGE)</f>
        <v/>
      </c>
      <c r="W27" s="60"/>
      <c r="X27" s="60"/>
      <c r="Y27" s="60"/>
      <c r="Z27" s="60"/>
      <c r="AA27" s="43"/>
      <c r="AB27" s="43"/>
      <c r="AC27" s="60"/>
      <c r="AD27" s="60"/>
      <c r="AE27" s="60"/>
      <c r="AF27" s="60"/>
      <c r="AG27" s="60"/>
      <c r="AH27" s="60"/>
      <c r="AI27" s="43"/>
      <c r="AJ27" s="43"/>
      <c r="AK27" s="122"/>
      <c r="AL27" s="151"/>
      <c r="AM27" s="151"/>
      <c r="AN27" s="151"/>
      <c r="AO27" s="151"/>
      <c r="AP27" s="151"/>
      <c r="AQ27" s="36">
        <v>0</v>
      </c>
    </row>
    <row r="28" s="36" customFormat="1" ht="18.75" hidden="1" customHeight="1" spans="1:43">
      <c r="A28" s="503"/>
      <c r="B28" s="503"/>
      <c r="C28" s="503"/>
      <c r="D28" s="503"/>
      <c r="E28" s="503"/>
      <c r="F28" s="503"/>
      <c r="G28" s="503"/>
      <c r="H28" s="503"/>
      <c r="I28" s="503"/>
      <c r="J28" s="503"/>
      <c r="K28" s="503"/>
      <c r="L28" s="536"/>
      <c r="M28" s="503"/>
      <c r="N28" s="503"/>
      <c r="O28" s="503"/>
      <c r="P28" s="45"/>
      <c r="Q28" s="45"/>
      <c r="S28" s="792" t="str">
        <f>"Дата документа об "&amp;IF(TITLE_DATE_PR_CHANGE="","утверждении","изменении")&amp;" тарифов"</f>
        <v>Дата документа об утверждении тарифов</v>
      </c>
      <c r="T28" s="1152"/>
      <c r="U28" s="1088"/>
      <c r="V28" s="793" t="str">
        <f>IF(TITLE_DATE_PR_CHANGE="",IF(TITLE_DATE_PR="","",TITLE_DATE_PR),TITLE_DATE_PR_CHANGE)</f>
        <v/>
      </c>
      <c r="W28" s="793"/>
      <c r="X28" s="793"/>
      <c r="Y28" s="793"/>
      <c r="Z28" s="793"/>
      <c r="AA28" s="43"/>
      <c r="AB28" s="43"/>
      <c r="AC28" s="793"/>
      <c r="AD28" s="793"/>
      <c r="AE28" s="793"/>
      <c r="AF28" s="793"/>
      <c r="AG28" s="793"/>
      <c r="AH28" s="793"/>
      <c r="AI28" s="43"/>
      <c r="AJ28" s="43"/>
      <c r="AK28" s="122"/>
      <c r="AL28" s="151"/>
      <c r="AM28" s="151"/>
      <c r="AN28" s="151"/>
      <c r="AO28" s="151"/>
      <c r="AP28" s="151"/>
      <c r="AQ28" s="36">
        <v>0</v>
      </c>
    </row>
    <row r="29" s="36" customFormat="1" ht="18.75" hidden="1" customHeight="1" spans="1:43">
      <c r="A29" s="503"/>
      <c r="B29" s="503"/>
      <c r="C29" s="503"/>
      <c r="D29" s="503"/>
      <c r="E29" s="503"/>
      <c r="F29" s="503"/>
      <c r="G29" s="503"/>
      <c r="H29" s="503"/>
      <c r="I29" s="503"/>
      <c r="J29" s="503"/>
      <c r="K29" s="503"/>
      <c r="L29" s="536"/>
      <c r="M29" s="503"/>
      <c r="N29" s="503"/>
      <c r="O29" s="503"/>
      <c r="P29" s="45"/>
      <c r="Q29" s="45"/>
      <c r="S29" s="792" t="str">
        <f>"Номер документа об "&amp;IF(TITLE_DATE_PR_CHANGE="","утверждении","изменении")&amp;" тарифов"</f>
        <v>Номер документа об утверждении тарифов</v>
      </c>
      <c r="T29" s="1152"/>
      <c r="U29" s="1088"/>
      <c r="V29" s="60" t="str">
        <f>IF(TITLE_NUMBER_PR_CHANGE="",IF(TITLE_NUMBER_PR="","",TITLE_NUMBER_PR),TITLE_NUMBER_PR_CHANGE)</f>
        <v/>
      </c>
      <c r="W29" s="60"/>
      <c r="X29" s="60"/>
      <c r="Y29" s="60"/>
      <c r="Z29" s="60"/>
      <c r="AA29" s="43"/>
      <c r="AB29" s="43"/>
      <c r="AC29" s="60"/>
      <c r="AD29" s="60"/>
      <c r="AE29" s="60"/>
      <c r="AF29" s="60"/>
      <c r="AG29" s="60"/>
      <c r="AH29" s="60"/>
      <c r="AI29" s="43"/>
      <c r="AJ29" s="43"/>
      <c r="AK29" s="122"/>
      <c r="AL29" s="151"/>
      <c r="AM29" s="151"/>
      <c r="AN29" s="151"/>
      <c r="AO29" s="151"/>
      <c r="AP29" s="151"/>
      <c r="AQ29" s="36">
        <v>0</v>
      </c>
    </row>
    <row r="30" s="36" customFormat="1" ht="18.75" hidden="1" customHeight="1" spans="1:43">
      <c r="A30" s="503"/>
      <c r="B30" s="503"/>
      <c r="C30" s="503"/>
      <c r="D30" s="503"/>
      <c r="E30" s="503"/>
      <c r="F30" s="503"/>
      <c r="G30" s="503"/>
      <c r="H30" s="503"/>
      <c r="I30" s="503"/>
      <c r="J30" s="503"/>
      <c r="K30" s="503"/>
      <c r="L30" s="536"/>
      <c r="M30" s="503"/>
      <c r="N30" s="503"/>
      <c r="O30" s="503"/>
      <c r="P30" s="45"/>
      <c r="Q30" s="45"/>
      <c r="S30" s="792" t="s">
        <v>43</v>
      </c>
      <c r="T30" s="1152"/>
      <c r="U30" s="1088"/>
      <c r="V30" s="60" t="str">
        <f>IF(TITLE_IST_PUB_CHANGE="",IF(TITLE_IST_PUB="","",TITLE_IST_PUB),TITLE_IST_PUB_CHANGE)</f>
        <v/>
      </c>
      <c r="W30" s="60"/>
      <c r="X30" s="60"/>
      <c r="Y30" s="60"/>
      <c r="Z30" s="60"/>
      <c r="AA30" s="43"/>
      <c r="AB30" s="43"/>
      <c r="AC30" s="60"/>
      <c r="AD30" s="60"/>
      <c r="AE30" s="60"/>
      <c r="AF30" s="60"/>
      <c r="AG30" s="60"/>
      <c r="AH30" s="60"/>
      <c r="AI30" s="43"/>
      <c r="AJ30" s="43"/>
      <c r="AK30" s="122"/>
      <c r="AL30" s="151"/>
      <c r="AM30" s="151"/>
      <c r="AN30" s="151"/>
      <c r="AO30" s="151"/>
      <c r="AP30" s="151"/>
      <c r="AQ30" s="36">
        <v>0</v>
      </c>
    </row>
    <row r="31" hidden="1" customHeight="1" spans="17:43">
      <c r="Q31" s="1087"/>
      <c r="R31" s="51"/>
      <c r="S31" s="52"/>
      <c r="T31" s="53"/>
      <c r="U31" s="53"/>
      <c r="V31" s="56"/>
      <c r="W31" s="56"/>
      <c r="X31" s="56"/>
      <c r="Y31" s="56"/>
      <c r="Z31" s="56"/>
      <c r="AA31" s="56"/>
      <c r="AB31" s="56"/>
      <c r="AC31" s="56"/>
      <c r="AD31" s="56"/>
      <c r="AE31" s="56"/>
      <c r="AF31" s="56"/>
      <c r="AG31" s="56"/>
      <c r="AH31" s="56"/>
      <c r="AI31" s="56"/>
      <c r="AQ31" s="43">
        <v>0</v>
      </c>
    </row>
    <row r="32" s="36" customFormat="1" ht="18.75" hidden="1" customHeight="1" spans="1:43">
      <c r="A32" s="503"/>
      <c r="B32" s="503"/>
      <c r="C32" s="503"/>
      <c r="D32" s="503"/>
      <c r="E32" s="503"/>
      <c r="F32" s="503"/>
      <c r="G32" s="503"/>
      <c r="H32" s="503"/>
      <c r="I32" s="503"/>
      <c r="J32" s="503"/>
      <c r="K32" s="503"/>
      <c r="L32" s="536"/>
      <c r="M32" s="503"/>
      <c r="N32" s="503"/>
      <c r="O32" s="503"/>
      <c r="P32" s="45"/>
      <c r="Q32" s="45"/>
      <c r="S32" s="792" t="str">
        <f>"Дата подачи заявления об "&amp;IF(TITLE_DATE_PR_CHANGE="","утверждении","изменении")&amp;" тарифов"</f>
        <v>Дата подачи заявления об утверждении тарифов</v>
      </c>
      <c r="T32" s="1152"/>
      <c r="U32" s="1088"/>
      <c r="V32" s="793" t="str">
        <f>IF(TITLE_DATE_PR_CHANGE="",IF(TITLE_DATE_PR="","",TITLE_DATE_PR),TITLE_DATE_PR_CHANGE)</f>
        <v/>
      </c>
      <c r="W32" s="793"/>
      <c r="X32" s="793"/>
      <c r="Y32" s="793"/>
      <c r="Z32" s="793"/>
      <c r="AA32" s="43"/>
      <c r="AB32" s="43"/>
      <c r="AC32" s="793"/>
      <c r="AD32" s="793"/>
      <c r="AE32" s="793"/>
      <c r="AF32" s="793"/>
      <c r="AG32" s="793"/>
      <c r="AH32" s="793"/>
      <c r="AI32" s="43"/>
      <c r="AJ32" s="43"/>
      <c r="AK32" s="122"/>
      <c r="AL32" s="151"/>
      <c r="AM32" s="151"/>
      <c r="AN32" s="151"/>
      <c r="AO32" s="151"/>
      <c r="AP32" s="151"/>
      <c r="AQ32" s="36">
        <v>0</v>
      </c>
    </row>
    <row r="33" s="36" customFormat="1" ht="18" hidden="1" customHeight="1" spans="1:43">
      <c r="A33" s="503"/>
      <c r="B33" s="503"/>
      <c r="C33" s="503"/>
      <c r="D33" s="503"/>
      <c r="E33" s="503"/>
      <c r="F33" s="503"/>
      <c r="G33" s="503"/>
      <c r="H33" s="503"/>
      <c r="I33" s="503"/>
      <c r="J33" s="503"/>
      <c r="K33" s="503"/>
      <c r="L33" s="536"/>
      <c r="M33" s="503"/>
      <c r="N33" s="503"/>
      <c r="O33" s="503"/>
      <c r="P33" s="45"/>
      <c r="Q33" s="45"/>
      <c r="S33" s="792" t="str">
        <f>"Номер подачи заявления об "&amp;IF(TITLE_DATE_PR_CHANGE="","утверждении","изменении")&amp;" тарифов"</f>
        <v>Номер подачи заявления об утверждении тарифов</v>
      </c>
      <c r="T33" s="1152"/>
      <c r="U33" s="1088"/>
      <c r="V33" s="60" t="str">
        <f>IF(TITLE_NUMBER_PR_CHANGE="",IF(TITLE_NUMBER_PR="","",TITLE_NUMBER_PR),TITLE_NUMBER_PR_CHANGE)</f>
        <v/>
      </c>
      <c r="W33" s="60"/>
      <c r="X33" s="60"/>
      <c r="Y33" s="60"/>
      <c r="Z33" s="60"/>
      <c r="AA33" s="43"/>
      <c r="AB33" s="43"/>
      <c r="AC33" s="60"/>
      <c r="AD33" s="60"/>
      <c r="AE33" s="60"/>
      <c r="AF33" s="60"/>
      <c r="AG33" s="60"/>
      <c r="AH33" s="60"/>
      <c r="AI33" s="43"/>
      <c r="AJ33" s="43"/>
      <c r="AK33" s="122"/>
      <c r="AL33" s="151"/>
      <c r="AM33" s="151"/>
      <c r="AN33" s="151"/>
      <c r="AO33" s="151"/>
      <c r="AP33" s="151"/>
      <c r="AQ33" s="36">
        <v>0</v>
      </c>
    </row>
    <row r="34" s="36" customFormat="1" ht="1.05" customHeight="1" spans="1:43">
      <c r="A34" s="503"/>
      <c r="B34" s="503"/>
      <c r="C34" s="503"/>
      <c r="D34" s="503"/>
      <c r="E34" s="503"/>
      <c r="F34" s="503"/>
      <c r="G34" s="503"/>
      <c r="H34" s="503"/>
      <c r="I34" s="503"/>
      <c r="J34" s="503"/>
      <c r="K34" s="503"/>
      <c r="L34" s="536"/>
      <c r="M34" s="503"/>
      <c r="N34" s="503"/>
      <c r="O34" s="503"/>
      <c r="P34" s="45"/>
      <c r="Q34" s="45"/>
      <c r="S34" s="43"/>
      <c r="T34" s="43"/>
      <c r="U34" s="61"/>
      <c r="V34" s="43"/>
      <c r="W34" s="43"/>
      <c r="X34" s="43"/>
      <c r="Y34" s="43"/>
      <c r="Z34" s="43"/>
      <c r="AA34" s="44" t="s">
        <v>419</v>
      </c>
      <c r="AB34" s="44"/>
      <c r="AC34" s="43"/>
      <c r="AD34" s="43"/>
      <c r="AE34" s="43"/>
      <c r="AF34" s="43"/>
      <c r="AG34" s="43"/>
      <c r="AH34" s="43"/>
      <c r="AI34" s="44" t="s">
        <v>419</v>
      </c>
      <c r="AL34" s="151"/>
      <c r="AM34" s="151"/>
      <c r="AN34" s="151"/>
      <c r="AO34" s="151"/>
      <c r="AP34" s="151"/>
      <c r="AQ34" s="36">
        <v>1</v>
      </c>
    </row>
    <row r="35" ht="14.7" customHeight="1" spans="17:43">
      <c r="Q35" s="1087"/>
      <c r="R35" s="51"/>
      <c r="S35" s="52"/>
      <c r="T35" s="53"/>
      <c r="U35" s="62"/>
      <c r="V35" s="63"/>
      <c r="W35" s="63"/>
      <c r="X35" s="63"/>
      <c r="Y35" s="63"/>
      <c r="Z35" s="63"/>
      <c r="AA35" s="63"/>
      <c r="AB35" s="63"/>
      <c r="AC35" s="63"/>
      <c r="AD35" s="63"/>
      <c r="AE35" s="63"/>
      <c r="AF35" s="63"/>
      <c r="AG35" s="63"/>
      <c r="AH35" s="63"/>
      <c r="AI35" s="63"/>
      <c r="AQ35" s="43">
        <v>14</v>
      </c>
    </row>
    <row r="36" ht="14.7" customHeight="1" spans="17:43">
      <c r="Q36" s="1087"/>
      <c r="R36" s="51"/>
      <c r="S36" s="64" t="s">
        <v>296</v>
      </c>
      <c r="T36" s="64"/>
      <c r="U36" s="64"/>
      <c r="V36" s="64"/>
      <c r="W36" s="64"/>
      <c r="X36" s="64"/>
      <c r="Y36" s="64"/>
      <c r="Z36" s="64"/>
      <c r="AA36" s="71"/>
      <c r="AB36" s="71"/>
      <c r="AC36" s="71"/>
      <c r="AD36" s="64"/>
      <c r="AE36" s="64"/>
      <c r="AF36" s="64"/>
      <c r="AG36" s="64"/>
      <c r="AH36" s="64"/>
      <c r="AI36" s="64"/>
      <c r="AJ36" s="64"/>
      <c r="AK36" s="64" t="s">
        <v>297</v>
      </c>
      <c r="AQ36" s="43">
        <v>14</v>
      </c>
    </row>
    <row r="37" ht="14.7" customHeight="1" spans="17:43">
      <c r="Q37" s="1087"/>
      <c r="R37" s="51"/>
      <c r="S37" s="65" t="s">
        <v>89</v>
      </c>
      <c r="T37" s="66" t="s">
        <v>473</v>
      </c>
      <c r="U37" s="67"/>
      <c r="V37" s="69"/>
      <c r="W37" s="69"/>
      <c r="X37" s="69"/>
      <c r="Y37" s="69"/>
      <c r="Z37" s="69"/>
      <c r="AA37" s="66" t="s">
        <v>422</v>
      </c>
      <c r="AB37" s="665" t="s">
        <v>474</v>
      </c>
      <c r="AC37" s="665" t="s">
        <v>466</v>
      </c>
      <c r="AD37" s="1099" t="s">
        <v>421</v>
      </c>
      <c r="AE37" s="1099"/>
      <c r="AF37" s="69"/>
      <c r="AG37" s="69"/>
      <c r="AH37" s="123"/>
      <c r="AI37" s="124" t="s">
        <v>422</v>
      </c>
      <c r="AJ37" s="125" t="s">
        <v>424</v>
      </c>
      <c r="AK37" s="64"/>
      <c r="AQ37" s="43">
        <v>14</v>
      </c>
    </row>
    <row r="38" ht="35.7" customHeight="1" spans="17:43">
      <c r="Q38" s="1087"/>
      <c r="R38" s="51"/>
      <c r="S38" s="65"/>
      <c r="T38" s="66"/>
      <c r="U38" s="70"/>
      <c r="V38" s="127" t="s">
        <v>469</v>
      </c>
      <c r="W38" s="64"/>
      <c r="X38" s="903" t="s">
        <v>428</v>
      </c>
      <c r="Y38" s="1100"/>
      <c r="Z38" s="1100"/>
      <c r="AA38" s="66"/>
      <c r="AB38" s="665"/>
      <c r="AC38" s="665"/>
      <c r="AD38" s="127" t="s">
        <v>469</v>
      </c>
      <c r="AE38" s="64"/>
      <c r="AF38" s="1100" t="s">
        <v>428</v>
      </c>
      <c r="AG38" s="1100"/>
      <c r="AH38" s="904"/>
      <c r="AI38" s="129"/>
      <c r="AJ38" s="130"/>
      <c r="AK38" s="64"/>
      <c r="AQ38" s="43">
        <v>34</v>
      </c>
    </row>
    <row r="39" ht="14.7" customHeight="1" spans="17:43">
      <c r="Q39" s="1087"/>
      <c r="R39" s="51"/>
      <c r="S39" s="65"/>
      <c r="T39" s="66"/>
      <c r="U39" s="70"/>
      <c r="V39" s="1153" t="str">
        <f>IF($AD$39&lt;&gt;"",$AD$39,"")</f>
        <v/>
      </c>
      <c r="W39" s="1153"/>
      <c r="X39" s="907"/>
      <c r="Y39" s="1103"/>
      <c r="Z39" s="1103"/>
      <c r="AA39" s="66"/>
      <c r="AB39" s="665"/>
      <c r="AC39" s="665"/>
      <c r="AD39" s="1156"/>
      <c r="AE39" s="655"/>
      <c r="AF39" s="1103"/>
      <c r="AG39" s="1103"/>
      <c r="AH39" s="908"/>
      <c r="AI39" s="129"/>
      <c r="AJ39" s="130"/>
      <c r="AK39" s="64"/>
      <c r="AQ39" s="43">
        <v>14</v>
      </c>
    </row>
    <row r="40" ht="14.7" customHeight="1" spans="1:43">
      <c r="A40" s="503"/>
      <c r="B40" s="503" t="s">
        <v>133</v>
      </c>
      <c r="C40" s="503" t="s">
        <v>134</v>
      </c>
      <c r="D40" s="503" t="s">
        <v>135</v>
      </c>
      <c r="E40" s="536" t="s">
        <v>429</v>
      </c>
      <c r="F40" s="536" t="s">
        <v>430</v>
      </c>
      <c r="G40" s="536" t="s">
        <v>431</v>
      </c>
      <c r="H40" s="536" t="s">
        <v>432</v>
      </c>
      <c r="I40" s="536" t="s">
        <v>433</v>
      </c>
      <c r="J40" s="536" t="s">
        <v>434</v>
      </c>
      <c r="K40" s="536" t="s">
        <v>435</v>
      </c>
      <c r="L40" s="536" t="s">
        <v>414</v>
      </c>
      <c r="Q40" s="1087"/>
      <c r="R40" s="51"/>
      <c r="S40" s="65"/>
      <c r="T40" s="66"/>
      <c r="U40" s="72"/>
      <c r="V40" s="66" t="s">
        <v>470</v>
      </c>
      <c r="W40" s="66" t="s">
        <v>471</v>
      </c>
      <c r="X40" s="131" t="s">
        <v>438</v>
      </c>
      <c r="Y40" s="132" t="s">
        <v>439</v>
      </c>
      <c r="Z40" s="1157"/>
      <c r="AA40" s="66"/>
      <c r="AB40" s="665"/>
      <c r="AC40" s="665"/>
      <c r="AD40" s="856" t="s">
        <v>470</v>
      </c>
      <c r="AE40" s="134" t="s">
        <v>471</v>
      </c>
      <c r="AF40" s="131" t="s">
        <v>438</v>
      </c>
      <c r="AG40" s="132" t="s">
        <v>439</v>
      </c>
      <c r="AH40" s="133"/>
      <c r="AI40" s="134"/>
      <c r="AJ40" s="135"/>
      <c r="AK40" s="64"/>
      <c r="AQ40" s="43">
        <v>14</v>
      </c>
    </row>
    <row r="41" s="37" customFormat="1" ht="11.25" hidden="1" customHeight="1" spans="1:43">
      <c r="A41" s="503"/>
      <c r="B41" s="503"/>
      <c r="C41" s="503"/>
      <c r="D41" s="503"/>
      <c r="E41" s="503"/>
      <c r="F41" s="503"/>
      <c r="G41" s="503"/>
      <c r="H41" s="503"/>
      <c r="I41" s="503"/>
      <c r="J41" s="503"/>
      <c r="K41" s="503"/>
      <c r="L41" s="536"/>
      <c r="M41" s="40"/>
      <c r="N41" s="40"/>
      <c r="O41" s="40"/>
      <c r="P41" s="1057"/>
      <c r="Q41" s="76"/>
      <c r="R41" s="76">
        <v>1</v>
      </c>
      <c r="S41" s="77" t="s">
        <v>107</v>
      </c>
      <c r="T41" s="78" t="s">
        <v>108</v>
      </c>
      <c r="U41" s="79" t="str">
        <f ca="1">OFFSET(U41,0,-1)</f>
        <v>2</v>
      </c>
      <c r="V41" s="80">
        <f ca="1">OFFSET(V41,0,-1)+1</f>
        <v>3</v>
      </c>
      <c r="W41" s="80">
        <f ca="1">OFFSET(W41,0,-1)+1</f>
        <v>4</v>
      </c>
      <c r="X41" s="80">
        <f ca="1">OFFSET(X41,0,-1)+1</f>
        <v>5</v>
      </c>
      <c r="Y41" s="80">
        <f ca="1">OFFSET(Y41,0,-1)+1</f>
        <v>6</v>
      </c>
      <c r="Z41" s="80"/>
      <c r="AA41" s="1142">
        <f ca="1">OFFSET(AA41,0,-2)+1</f>
        <v>7</v>
      </c>
      <c r="AB41" s="1142"/>
      <c r="AC41" s="1142"/>
      <c r="AD41" s="80">
        <f ca="1">OFFSET(AD41,0,-1)+1</f>
        <v>1</v>
      </c>
      <c r="AE41" s="80">
        <f ca="1">OFFSET(AE41,0,-1)+1</f>
        <v>2</v>
      </c>
      <c r="AF41" s="80">
        <f ca="1">OFFSET(AF41,0,-1)+1</f>
        <v>3</v>
      </c>
      <c r="AG41" s="80">
        <f ca="1">OFFSET(AG41,0,-1)+1</f>
        <v>4</v>
      </c>
      <c r="AH41" s="80"/>
      <c r="AI41" s="80">
        <f ca="1">OFFSET(AI41,0,-2)+1</f>
        <v>5</v>
      </c>
      <c r="AJ41" s="79">
        <f ca="1">OFFSET(AJ41,0,-1)</f>
        <v>5</v>
      </c>
      <c r="AK41" s="80">
        <f ca="1">OFFSET(AK41,0,-1)+1</f>
        <v>6</v>
      </c>
      <c r="AL41" s="44"/>
      <c r="AM41" s="44"/>
      <c r="AN41" s="44"/>
      <c r="AO41" s="44"/>
      <c r="AP41" s="44"/>
      <c r="AQ41" s="37">
        <v>0</v>
      </c>
    </row>
    <row r="42" ht="107.25" customHeight="1" spans="1:43">
      <c r="A42" s="502" t="s">
        <v>202</v>
      </c>
      <c r="B42" s="502"/>
      <c r="C42" s="502"/>
      <c r="D42" s="502"/>
      <c r="E42" s="1143">
        <v>1</v>
      </c>
      <c r="F42" s="502"/>
      <c r="G42" s="502"/>
      <c r="H42" s="502"/>
      <c r="I42" s="502"/>
      <c r="J42" s="502"/>
      <c r="K42" s="502"/>
      <c r="L42" s="536"/>
      <c r="M42" s="42"/>
      <c r="N42" s="42"/>
      <c r="O42" s="42"/>
      <c r="Q42" s="264"/>
      <c r="R42" s="82"/>
      <c r="S42" s="65">
        <f>INDEX(PT_DIFFERENTIATION_NUM_NTAR,MATCH(A42,PT_DIFFERENTIATION_NTAR_ID,0))</f>
        <v>0</v>
      </c>
      <c r="T42" s="83" t="s">
        <v>121</v>
      </c>
      <c r="U42" s="84"/>
      <c r="V42" s="1061"/>
      <c r="W42" s="1061"/>
      <c r="X42" s="1061"/>
      <c r="Y42" s="1061"/>
      <c r="Z42" s="1061"/>
      <c r="AA42" s="1089"/>
      <c r="AB42" s="1061"/>
      <c r="AC42" s="1061" t="str">
        <f>INDEX(PT_DIFFERENTIATION_NTAR,MATCH(A42,PT_DIFFERENTIATION_NTAR_ID,0))</f>
        <v/>
      </c>
      <c r="AD42" s="1061"/>
      <c r="AE42" s="1061"/>
      <c r="AF42" s="1061"/>
      <c r="AG42" s="1061"/>
      <c r="AH42" s="1061"/>
      <c r="AI42" s="1061"/>
      <c r="AJ42" s="1089"/>
      <c r="AK42" s="13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1"/>
      <c r="AN42" s="151" t="str">
        <f t="shared" ref="AN42:AN56" si="1">IF(T42="","",T42)</f>
        <v>Наименование тарифа</v>
      </c>
      <c r="AO42" s="151"/>
      <c r="AP42" s="151"/>
      <c r="AQ42" s="43">
        <v>102</v>
      </c>
    </row>
    <row r="43" ht="22.05" customHeight="1" spans="1:43">
      <c r="A43" s="502" t="s">
        <v>202</v>
      </c>
      <c r="B43" s="502" t="s">
        <v>203</v>
      </c>
      <c r="C43" s="502"/>
      <c r="D43" s="502"/>
      <c r="E43" s="1144"/>
      <c r="F43" s="1143">
        <v>1</v>
      </c>
      <c r="G43" s="502"/>
      <c r="H43" s="502"/>
      <c r="I43" s="502"/>
      <c r="J43" s="502"/>
      <c r="K43" s="502"/>
      <c r="L43" s="536"/>
      <c r="M43" s="42"/>
      <c r="N43" s="42"/>
      <c r="O43" s="42"/>
      <c r="P43" s="48"/>
      <c r="Q43" s="1062"/>
      <c r="R43" s="88"/>
      <c r="S43" s="65" t="str">
        <f>INDEX(PT_DIFFERENTIATION_NUM_TER,MATCH(B43,PT_DIFFERENTIATION_TER_ID,0))</f>
        <v>.</v>
      </c>
      <c r="T43" s="89" t="s">
        <v>393</v>
      </c>
      <c r="U43" s="84"/>
      <c r="V43" s="1061"/>
      <c r="W43" s="1061"/>
      <c r="X43" s="1061"/>
      <c r="Y43" s="1061"/>
      <c r="Z43" s="1061"/>
      <c r="AA43" s="1089"/>
      <c r="AB43" s="1061"/>
      <c r="AC43" s="1061" t="str">
        <f>INDEX(PT_DIFFERENTIATION_TER,MATCH(B43,PT_DIFFERENTIATION_TER_ID,0))</f>
        <v/>
      </c>
      <c r="AD43" s="1061"/>
      <c r="AE43" s="1061"/>
      <c r="AF43" s="1061"/>
      <c r="AG43" s="1061"/>
      <c r="AH43" s="1061"/>
      <c r="AI43" s="1061"/>
      <c r="AJ43" s="1089"/>
      <c r="AK43" s="136" t="s">
        <v>394</v>
      </c>
      <c r="AM43" s="151"/>
      <c r="AN43" s="151" t="str">
        <f t="shared" si="1"/>
        <v>Территория действия тарифа</v>
      </c>
      <c r="AO43" s="151"/>
      <c r="AP43" s="151"/>
      <c r="AQ43" s="43">
        <v>21</v>
      </c>
    </row>
    <row r="44" ht="24" customHeight="1" spans="1:43">
      <c r="A44" s="502" t="s">
        <v>202</v>
      </c>
      <c r="B44" s="502" t="s">
        <v>203</v>
      </c>
      <c r="C44" s="502" t="s">
        <v>204</v>
      </c>
      <c r="D44" s="502"/>
      <c r="E44" s="1144"/>
      <c r="F44" s="1144"/>
      <c r="G44" s="1143">
        <v>1</v>
      </c>
      <c r="H44" s="502"/>
      <c r="I44" s="502"/>
      <c r="J44" s="502"/>
      <c r="K44" s="502"/>
      <c r="L44" s="536"/>
      <c r="M44" s="42"/>
      <c r="N44" s="42"/>
      <c r="O44" s="42"/>
      <c r="P44" s="1055"/>
      <c r="Q44" s="1062"/>
      <c r="R44" s="88"/>
      <c r="S44" s="65" t="str">
        <f>INDEX(PT_DIFFERENTIATION_NUM_CS,MATCH(C44,PT_DIFFERENTIATION_CS_ID,0))</f>
        <v>..</v>
      </c>
      <c r="T44" s="91" t="s">
        <v>395</v>
      </c>
      <c r="U44" s="84"/>
      <c r="V44" s="1061"/>
      <c r="W44" s="1061"/>
      <c r="X44" s="1061"/>
      <c r="Y44" s="1061"/>
      <c r="Z44" s="1061"/>
      <c r="AA44" s="1089"/>
      <c r="AB44" s="1061"/>
      <c r="AC44" s="1061" t="str">
        <f>INDEX(PT_DIFFERENTIATION_CS,MATCH(C44,PT_DIFFERENTIATION_CS_ID,0))</f>
        <v/>
      </c>
      <c r="AD44" s="1061"/>
      <c r="AE44" s="1061"/>
      <c r="AF44" s="1061"/>
      <c r="AG44" s="1061"/>
      <c r="AH44" s="1061"/>
      <c r="AI44" s="1061"/>
      <c r="AJ44" s="1089"/>
      <c r="AK44" s="136" t="s">
        <v>396</v>
      </c>
      <c r="AM44" s="151"/>
      <c r="AN44" s="151" t="str">
        <f t="shared" si="1"/>
        <v>Наименование системы теплоснабжения </v>
      </c>
      <c r="AO44" s="151"/>
      <c r="AP44" s="151"/>
      <c r="AQ44" s="43">
        <v>23</v>
      </c>
    </row>
    <row r="45" ht="22.05" customHeight="1" spans="1:43">
      <c r="A45" s="502" t="s">
        <v>202</v>
      </c>
      <c r="B45" s="502" t="s">
        <v>203</v>
      </c>
      <c r="C45" s="502" t="s">
        <v>204</v>
      </c>
      <c r="D45" s="502" t="s">
        <v>205</v>
      </c>
      <c r="E45" s="1144"/>
      <c r="F45" s="1144"/>
      <c r="G45" s="1144"/>
      <c r="H45" s="1143">
        <v>1</v>
      </c>
      <c r="I45" s="502"/>
      <c r="J45" s="502"/>
      <c r="K45" s="502"/>
      <c r="L45" s="536"/>
      <c r="M45" s="42"/>
      <c r="N45" s="42"/>
      <c r="O45" s="42"/>
      <c r="P45" s="1055"/>
      <c r="Q45" s="1062"/>
      <c r="R45" s="88"/>
      <c r="S45" s="65" t="str">
        <f>INDEX(PT_DIFFERENTIATION_NUM_IST_TE,MATCH(D45,PT_DIFFERENTIATION_IST_TE_ID,0))</f>
        <v>...</v>
      </c>
      <c r="T45" s="92" t="s">
        <v>397</v>
      </c>
      <c r="U45" s="84"/>
      <c r="V45" s="1061"/>
      <c r="W45" s="1061"/>
      <c r="X45" s="1061"/>
      <c r="Y45" s="1061"/>
      <c r="Z45" s="1061"/>
      <c r="AA45" s="1089"/>
      <c r="AB45" s="1061"/>
      <c r="AC45" s="1061" t="str">
        <f>INDEX(PT_DIFFERENTIATION_IST_TE,MATCH(D45,PT_DIFFERENTIATION_IST_TE_ID,0))</f>
        <v/>
      </c>
      <c r="AD45" s="1061"/>
      <c r="AE45" s="1061"/>
      <c r="AF45" s="1061"/>
      <c r="AG45" s="1061"/>
      <c r="AH45" s="1061"/>
      <c r="AI45" s="1061"/>
      <c r="AJ45" s="1089"/>
      <c r="AK45" s="136" t="s">
        <v>398</v>
      </c>
      <c r="AM45" s="151"/>
      <c r="AN45" s="151" t="str">
        <f t="shared" si="1"/>
        <v>Источник тепловой энергии  </v>
      </c>
      <c r="AO45" s="151"/>
      <c r="AP45" s="151"/>
      <c r="AQ45" s="43">
        <v>21</v>
      </c>
    </row>
    <row r="46" s="44" customFormat="1" hidden="1" customHeight="1" spans="1:43">
      <c r="A46" s="1145" t="s">
        <v>202</v>
      </c>
      <c r="B46" s="1145" t="s">
        <v>203</v>
      </c>
      <c r="C46" s="1145" t="s">
        <v>204</v>
      </c>
      <c r="D46" s="1145" t="s">
        <v>205</v>
      </c>
      <c r="E46" s="1144"/>
      <c r="F46" s="1144"/>
      <c r="G46" s="1144"/>
      <c r="H46" s="1144"/>
      <c r="I46" s="64" t="str">
        <f>S45&amp;".1"</f>
        <v>....1</v>
      </c>
      <c r="J46" s="1145"/>
      <c r="K46" s="1145"/>
      <c r="L46" s="1147" t="s">
        <v>399</v>
      </c>
      <c r="M46" s="74"/>
      <c r="N46" s="74"/>
      <c r="O46" s="74"/>
      <c r="P46" s="93">
        <v>1</v>
      </c>
      <c r="Q46" s="93"/>
      <c r="R46" s="94"/>
      <c r="S46" s="330"/>
      <c r="T46" s="1067"/>
      <c r="U46" s="1065"/>
      <c r="V46" s="1066"/>
      <c r="W46" s="1066"/>
      <c r="X46" s="1066"/>
      <c r="Y46" s="1066"/>
      <c r="Z46" s="1066"/>
      <c r="AA46" s="1091"/>
      <c r="AB46" s="1066"/>
      <c r="AC46" s="1066"/>
      <c r="AD46" s="1066"/>
      <c r="AE46" s="1066"/>
      <c r="AF46" s="1066"/>
      <c r="AG46" s="1066"/>
      <c r="AH46" s="1066"/>
      <c r="AI46" s="1066"/>
      <c r="AJ46" s="1091"/>
      <c r="AK46" s="995"/>
      <c r="AM46" s="151"/>
      <c r="AN46" s="151" t="str">
        <f t="shared" si="1"/>
        <v/>
      </c>
      <c r="AO46" s="151"/>
      <c r="AP46" s="151"/>
      <c r="AQ46" s="44">
        <v>0</v>
      </c>
    </row>
    <row r="47" s="44" customFormat="1" hidden="1" customHeight="1" spans="1:43">
      <c r="A47" s="1145" t="s">
        <v>202</v>
      </c>
      <c r="B47" s="1145" t="s">
        <v>203</v>
      </c>
      <c r="C47" s="1145" t="s">
        <v>204</v>
      </c>
      <c r="D47" s="1145" t="s">
        <v>205</v>
      </c>
      <c r="E47" s="1144"/>
      <c r="F47" s="1144"/>
      <c r="G47" s="1144"/>
      <c r="H47" s="1144"/>
      <c r="I47" s="126"/>
      <c r="J47" s="64" t="str">
        <f>S45&amp;".1"</f>
        <v>....1</v>
      </c>
      <c r="K47" s="1145"/>
      <c r="L47" s="1147"/>
      <c r="M47" s="74"/>
      <c r="N47" s="74"/>
      <c r="O47" s="74"/>
      <c r="P47" s="93"/>
      <c r="Q47" s="93">
        <v>1</v>
      </c>
      <c r="R47" s="97"/>
      <c r="S47" s="330"/>
      <c r="T47" s="1068"/>
      <c r="U47" s="1065"/>
      <c r="V47" s="1066"/>
      <c r="W47" s="1066"/>
      <c r="X47" s="1066"/>
      <c r="Y47" s="1066"/>
      <c r="Z47" s="1066"/>
      <c r="AA47" s="1091"/>
      <c r="AB47" s="1066"/>
      <c r="AC47" s="1066"/>
      <c r="AD47" s="1066"/>
      <c r="AE47" s="1066"/>
      <c r="AF47" s="1066"/>
      <c r="AG47" s="1066"/>
      <c r="AH47" s="1066"/>
      <c r="AI47" s="1066"/>
      <c r="AJ47" s="1091"/>
      <c r="AK47" s="995"/>
      <c r="AM47" s="151"/>
      <c r="AN47" s="151" t="str">
        <f t="shared" si="1"/>
        <v/>
      </c>
      <c r="AO47" s="151"/>
      <c r="AP47" s="151"/>
      <c r="AQ47" s="44">
        <v>0</v>
      </c>
    </row>
    <row r="48" ht="22.05" customHeight="1" spans="1:43">
      <c r="A48" s="502" t="s">
        <v>202</v>
      </c>
      <c r="B48" s="502" t="s">
        <v>203</v>
      </c>
      <c r="C48" s="502" t="s">
        <v>204</v>
      </c>
      <c r="D48" s="502" t="s">
        <v>205</v>
      </c>
      <c r="E48" s="1144"/>
      <c r="F48" s="1144"/>
      <c r="G48" s="1144"/>
      <c r="H48" s="1144"/>
      <c r="I48" s="126"/>
      <c r="J48" s="126"/>
      <c r="K48" s="64" t="str">
        <f>S45&amp;".1"</f>
        <v>....1</v>
      </c>
      <c r="L48" s="536"/>
      <c r="P48" s="93"/>
      <c r="Q48" s="93"/>
      <c r="R48" s="97">
        <v>1</v>
      </c>
      <c r="S48" s="1070" t="str">
        <f>$K48</f>
        <v>....1</v>
      </c>
      <c r="T48" s="1151"/>
      <c r="U48" s="84"/>
      <c r="V48" s="102"/>
      <c r="W48" s="138"/>
      <c r="X48" s="139"/>
      <c r="Y48" s="140" t="s">
        <v>66</v>
      </c>
      <c r="Z48" s="139"/>
      <c r="AA48" s="140" t="s">
        <v>66</v>
      </c>
      <c r="AB48" s="1071"/>
      <c r="AC48" s="1106" t="s">
        <v>22</v>
      </c>
      <c r="AD48" s="102"/>
      <c r="AE48" s="138"/>
      <c r="AF48" s="139"/>
      <c r="AG48" s="140" t="s">
        <v>66</v>
      </c>
      <c r="AH48" s="139"/>
      <c r="AI48" s="140" t="s">
        <v>66</v>
      </c>
      <c r="AJ48" s="1120"/>
      <c r="AK48" s="141" t="s">
        <v>472</v>
      </c>
      <c r="AL48" s="44" t="e">
        <f>STRCHECKDATE(#REF!)</f>
        <v>#NAME?</v>
      </c>
      <c r="AM48" s="151"/>
      <c r="AN48" s="151" t="str">
        <f t="shared" si="1"/>
        <v/>
      </c>
      <c r="AO48" s="151"/>
      <c r="AP48" s="151"/>
      <c r="AQ48" s="43">
        <v>21</v>
      </c>
    </row>
    <row r="49" ht="11.55" customHeight="1" spans="1:43">
      <c r="A49" s="502" t="s">
        <v>202</v>
      </c>
      <c r="B49" s="502" t="s">
        <v>203</v>
      </c>
      <c r="C49" s="502" t="s">
        <v>204</v>
      </c>
      <c r="D49" s="502" t="s">
        <v>205</v>
      </c>
      <c r="E49" s="1144"/>
      <c r="F49" s="1144"/>
      <c r="G49" s="1144"/>
      <c r="H49" s="1144"/>
      <c r="I49" s="126"/>
      <c r="J49" s="64"/>
      <c r="K49" s="502"/>
      <c r="L49" s="536"/>
      <c r="P49" s="93"/>
      <c r="Q49" s="93"/>
      <c r="R49" s="94"/>
      <c r="S49" s="105"/>
      <c r="T49" s="108" t="s">
        <v>460</v>
      </c>
      <c r="U49" s="107"/>
      <c r="V49" s="107"/>
      <c r="W49" s="107"/>
      <c r="X49" s="107"/>
      <c r="Y49" s="107"/>
      <c r="Z49" s="107"/>
      <c r="AA49" s="145"/>
      <c r="AB49" s="107"/>
      <c r="AC49" s="107"/>
      <c r="AD49" s="107"/>
      <c r="AE49" s="107"/>
      <c r="AF49" s="107"/>
      <c r="AG49" s="107"/>
      <c r="AH49" s="107"/>
      <c r="AI49" s="107"/>
      <c r="AJ49" s="145"/>
      <c r="AK49" s="146"/>
      <c r="AM49" s="151"/>
      <c r="AN49" s="151" t="str">
        <f t="shared" si="1"/>
        <v>Добавить строку</v>
      </c>
      <c r="AO49" s="151"/>
      <c r="AP49" s="151"/>
      <c r="AQ49" s="43">
        <v>11</v>
      </c>
    </row>
    <row r="50" s="44" customFormat="1" ht="1.05" customHeight="1" spans="1:43">
      <c r="A50" s="1145" t="s">
        <v>202</v>
      </c>
      <c r="B50" s="1145" t="s">
        <v>203</v>
      </c>
      <c r="C50" s="1145" t="s">
        <v>204</v>
      </c>
      <c r="D50" s="1145" t="s">
        <v>205</v>
      </c>
      <c r="E50" s="1144"/>
      <c r="F50" s="1144"/>
      <c r="G50" s="1144"/>
      <c r="H50" s="1144"/>
      <c r="I50" s="64"/>
      <c r="J50" s="1145"/>
      <c r="K50" s="1145"/>
      <c r="L50" s="1147"/>
      <c r="M50" s="74"/>
      <c r="N50" s="74"/>
      <c r="O50" s="74"/>
      <c r="P50" s="93"/>
      <c r="Q50" s="93"/>
      <c r="R50" s="94"/>
      <c r="S50" s="1079"/>
      <c r="T50" s="1080" t="s">
        <v>408</v>
      </c>
      <c r="U50" s="1081"/>
      <c r="V50" s="1081"/>
      <c r="W50" s="1081"/>
      <c r="X50" s="1081"/>
      <c r="Y50" s="1081"/>
      <c r="Z50" s="1081"/>
      <c r="AA50" s="1081"/>
      <c r="AB50" s="1081"/>
      <c r="AC50" s="1081"/>
      <c r="AD50" s="1081"/>
      <c r="AE50" s="1081"/>
      <c r="AF50" s="1081"/>
      <c r="AG50" s="1081"/>
      <c r="AH50" s="1081"/>
      <c r="AI50" s="1081"/>
      <c r="AJ50" s="1081"/>
      <c r="AK50" s="1123"/>
      <c r="AM50" s="151"/>
      <c r="AN50" s="151" t="str">
        <f t="shared" si="1"/>
        <v>Добавить группу потребителей</v>
      </c>
      <c r="AO50" s="151"/>
      <c r="AP50" s="151"/>
      <c r="AQ50" s="44">
        <v>1</v>
      </c>
    </row>
    <row r="51" s="37" customFormat="1" ht="1.05" customHeight="1" spans="1:43">
      <c r="A51" s="1145" t="s">
        <v>202</v>
      </c>
      <c r="B51" s="1145" t="s">
        <v>203</v>
      </c>
      <c r="C51" s="1145" t="s">
        <v>204</v>
      </c>
      <c r="D51" s="1145" t="s">
        <v>205</v>
      </c>
      <c r="E51" s="1144"/>
      <c r="F51" s="1144"/>
      <c r="G51" s="1144"/>
      <c r="H51" s="1143"/>
      <c r="I51" s="1145"/>
      <c r="J51" s="1145"/>
      <c r="K51" s="1145"/>
      <c r="L51" s="1147"/>
      <c r="M51" s="1148"/>
      <c r="N51" s="1148"/>
      <c r="P51" s="152"/>
      <c r="Q51" s="1082"/>
      <c r="R51" s="1154"/>
      <c r="S51" s="1079"/>
      <c r="T51" s="1080"/>
      <c r="U51" s="1081"/>
      <c r="V51" s="1081"/>
      <c r="W51" s="1081"/>
      <c r="X51" s="1081"/>
      <c r="Y51" s="1081"/>
      <c r="Z51" s="1081"/>
      <c r="AA51" s="1081"/>
      <c r="AB51" s="1081"/>
      <c r="AC51" s="1081"/>
      <c r="AD51" s="1081"/>
      <c r="AE51" s="1081"/>
      <c r="AF51" s="1081"/>
      <c r="AG51" s="1081"/>
      <c r="AH51" s="1081"/>
      <c r="AI51" s="1081"/>
      <c r="AJ51" s="1081"/>
      <c r="AK51" s="1123"/>
      <c r="AL51" s="44"/>
      <c r="AM51" s="151"/>
      <c r="AN51" s="151" t="str">
        <f t="shared" si="1"/>
        <v/>
      </c>
      <c r="AO51" s="151"/>
      <c r="AP51" s="151"/>
      <c r="AQ51" s="37">
        <v>1</v>
      </c>
    </row>
    <row r="52" s="44" customFormat="1" ht="1.05" customHeight="1" spans="1:43">
      <c r="A52" s="1145" t="s">
        <v>202</v>
      </c>
      <c r="B52" s="1145" t="s">
        <v>203</v>
      </c>
      <c r="C52" s="1145" t="s">
        <v>204</v>
      </c>
      <c r="D52" s="1145"/>
      <c r="E52" s="1144"/>
      <c r="F52" s="1144"/>
      <c r="G52" s="1143"/>
      <c r="H52" s="1145"/>
      <c r="I52" s="1145"/>
      <c r="J52" s="1145"/>
      <c r="K52" s="1145"/>
      <c r="L52" s="1147"/>
      <c r="M52" s="1148"/>
      <c r="N52" s="1148"/>
      <c r="O52" s="37"/>
      <c r="P52" s="152"/>
      <c r="Q52" s="1082"/>
      <c r="R52" s="152"/>
      <c r="S52" s="1084"/>
      <c r="T52" s="1085" t="s">
        <v>410</v>
      </c>
      <c r="U52" s="307"/>
      <c r="V52" s="307"/>
      <c r="W52" s="307"/>
      <c r="X52" s="307"/>
      <c r="Y52" s="307"/>
      <c r="Z52" s="307"/>
      <c r="AA52" s="307"/>
      <c r="AB52" s="307"/>
      <c r="AC52" s="307"/>
      <c r="AD52" s="307"/>
      <c r="AE52" s="307"/>
      <c r="AF52" s="307"/>
      <c r="AG52" s="307"/>
      <c r="AH52" s="307"/>
      <c r="AI52" s="307"/>
      <c r="AJ52" s="307"/>
      <c r="AK52" s="307"/>
      <c r="AM52" s="151"/>
      <c r="AN52" s="151" t="str">
        <f t="shared" si="1"/>
        <v>Добавить источник для дифференциации</v>
      </c>
      <c r="AO52" s="151"/>
      <c r="AP52" s="151"/>
      <c r="AQ52" s="44">
        <v>1</v>
      </c>
    </row>
    <row r="53" s="44" customFormat="1" ht="1.05" customHeight="1" spans="1:43">
      <c r="A53" s="1145" t="s">
        <v>202</v>
      </c>
      <c r="B53" s="1145" t="s">
        <v>203</v>
      </c>
      <c r="C53" s="1145"/>
      <c r="D53" s="1145"/>
      <c r="E53" s="1144"/>
      <c r="F53" s="1143"/>
      <c r="G53" s="1145"/>
      <c r="H53" s="1145"/>
      <c r="I53" s="1145"/>
      <c r="J53" s="1145"/>
      <c r="K53" s="1145"/>
      <c r="L53" s="1147"/>
      <c r="M53" s="1149"/>
      <c r="N53" s="1149"/>
      <c r="O53" s="37"/>
      <c r="P53" s="152"/>
      <c r="Q53" s="1082"/>
      <c r="R53" s="152"/>
      <c r="S53" s="1084"/>
      <c r="T53" s="1085" t="s">
        <v>411</v>
      </c>
      <c r="U53" s="307"/>
      <c r="V53" s="307"/>
      <c r="W53" s="307"/>
      <c r="X53" s="307"/>
      <c r="Y53" s="307"/>
      <c r="Z53" s="307"/>
      <c r="AA53" s="307"/>
      <c r="AB53" s="307"/>
      <c r="AC53" s="307"/>
      <c r="AD53" s="307"/>
      <c r="AE53" s="307"/>
      <c r="AF53" s="307"/>
      <c r="AG53" s="307"/>
      <c r="AH53" s="307"/>
      <c r="AI53" s="307"/>
      <c r="AJ53" s="307"/>
      <c r="AK53" s="307"/>
      <c r="AM53" s="151"/>
      <c r="AN53" s="151" t="str">
        <f t="shared" si="1"/>
        <v>Добавить централизованную систему для дифференциации</v>
      </c>
      <c r="AO53" s="151"/>
      <c r="AP53" s="151"/>
      <c r="AQ53" s="44">
        <v>1</v>
      </c>
    </row>
    <row r="54" s="44" customFormat="1" ht="1.05" customHeight="1" spans="1:43">
      <c r="A54" s="1145" t="s">
        <v>202</v>
      </c>
      <c r="B54" s="1145"/>
      <c r="C54" s="1145"/>
      <c r="D54" s="1145"/>
      <c r="E54" s="1144"/>
      <c r="F54" s="1145"/>
      <c r="G54" s="1145"/>
      <c r="H54" s="1145"/>
      <c r="I54" s="1145"/>
      <c r="J54" s="1145"/>
      <c r="K54" s="1145"/>
      <c r="L54" s="1147"/>
      <c r="M54" s="1149"/>
      <c r="N54" s="1149"/>
      <c r="O54" s="37"/>
      <c r="P54" s="152"/>
      <c r="Q54" s="1082"/>
      <c r="R54" s="152"/>
      <c r="S54" s="1084"/>
      <c r="T54" s="1085" t="s">
        <v>412</v>
      </c>
      <c r="U54" s="307"/>
      <c r="V54" s="307"/>
      <c r="W54" s="307"/>
      <c r="X54" s="307"/>
      <c r="Y54" s="307"/>
      <c r="Z54" s="307"/>
      <c r="AA54" s="307"/>
      <c r="AB54" s="307"/>
      <c r="AC54" s="307"/>
      <c r="AD54" s="307"/>
      <c r="AE54" s="307"/>
      <c r="AF54" s="307"/>
      <c r="AG54" s="307"/>
      <c r="AH54" s="307"/>
      <c r="AI54" s="307"/>
      <c r="AJ54" s="307"/>
      <c r="AK54" s="307"/>
      <c r="AM54" s="151"/>
      <c r="AN54" s="151" t="str">
        <f t="shared" si="1"/>
        <v>Добавить территорию для дифференциации</v>
      </c>
      <c r="AO54" s="151"/>
      <c r="AP54" s="151"/>
      <c r="AQ54" s="44">
        <v>1</v>
      </c>
    </row>
    <row r="55" s="44" customFormat="1" ht="1.05" customHeight="1" spans="1:43">
      <c r="A55" s="1145" t="s">
        <v>202</v>
      </c>
      <c r="B55" s="1145"/>
      <c r="C55" s="1145"/>
      <c r="D55" s="1145"/>
      <c r="E55" s="1143"/>
      <c r="F55" s="1145"/>
      <c r="G55" s="1145"/>
      <c r="H55" s="1145"/>
      <c r="I55" s="1145"/>
      <c r="J55" s="1145"/>
      <c r="K55" s="1145"/>
      <c r="L55" s="1147"/>
      <c r="M55" s="1149"/>
      <c r="N55" s="1149"/>
      <c r="O55" s="37"/>
      <c r="P55" s="152"/>
      <c r="Q55" s="1082"/>
      <c r="R55" s="152"/>
      <c r="S55" s="1084"/>
      <c r="T55" s="1085" t="s">
        <v>412</v>
      </c>
      <c r="U55" s="307"/>
      <c r="V55" s="307"/>
      <c r="W55" s="307"/>
      <c r="X55" s="307"/>
      <c r="Y55" s="307"/>
      <c r="Z55" s="307"/>
      <c r="AA55" s="307"/>
      <c r="AB55" s="307"/>
      <c r="AC55" s="307"/>
      <c r="AD55" s="307"/>
      <c r="AE55" s="307"/>
      <c r="AF55" s="307"/>
      <c r="AG55" s="307"/>
      <c r="AH55" s="307"/>
      <c r="AI55" s="307"/>
      <c r="AJ55" s="307"/>
      <c r="AK55" s="307"/>
      <c r="AM55" s="151"/>
      <c r="AN55" s="151" t="str">
        <f t="shared" si="1"/>
        <v>Добавить территорию для дифференциации</v>
      </c>
      <c r="AO55" s="151"/>
      <c r="AP55" s="151"/>
      <c r="AQ55" s="44">
        <v>1</v>
      </c>
    </row>
    <row r="56" s="44" customFormat="1" ht="1.05" customHeight="1" spans="1:43">
      <c r="A56" s="1145"/>
      <c r="B56" s="1145"/>
      <c r="C56" s="1145"/>
      <c r="D56" s="1145"/>
      <c r="E56" s="1145"/>
      <c r="F56" s="1145"/>
      <c r="G56" s="1145"/>
      <c r="H56" s="1145"/>
      <c r="I56" s="1145"/>
      <c r="J56" s="1145"/>
      <c r="K56" s="1145"/>
      <c r="L56" s="1147"/>
      <c r="M56" s="1149"/>
      <c r="N56" s="1149"/>
      <c r="O56" s="37"/>
      <c r="P56" s="152"/>
      <c r="Q56" s="1082"/>
      <c r="R56" s="152"/>
      <c r="S56" s="1084"/>
      <c r="T56" s="1085" t="s">
        <v>440</v>
      </c>
      <c r="U56" s="307"/>
      <c r="V56" s="307"/>
      <c r="W56" s="307"/>
      <c r="X56" s="307"/>
      <c r="Y56" s="307"/>
      <c r="Z56" s="307"/>
      <c r="AA56" s="307"/>
      <c r="AB56" s="307"/>
      <c r="AC56" s="307"/>
      <c r="AD56" s="307"/>
      <c r="AE56" s="307"/>
      <c r="AF56" s="307"/>
      <c r="AG56" s="307"/>
      <c r="AH56" s="307"/>
      <c r="AI56" s="307"/>
      <c r="AJ56" s="307"/>
      <c r="AK56" s="307"/>
      <c r="AM56" s="151"/>
      <c r="AN56" s="151" t="str">
        <f t="shared" si="1"/>
        <v>Добавить наименование тарифа</v>
      </c>
      <c r="AO56" s="151"/>
      <c r="AP56" s="151"/>
      <c r="AQ56" s="44">
        <v>1</v>
      </c>
    </row>
    <row r="57" ht="11.55" customHeight="1" spans="13:43">
      <c r="M57" s="43"/>
      <c r="N57" s="43"/>
      <c r="O57" s="43"/>
      <c r="P57" s="38"/>
      <c r="Q57" s="38"/>
      <c r="R57" s="43"/>
      <c r="S57" s="43"/>
      <c r="AL57" s="43"/>
      <c r="AM57" s="43"/>
      <c r="AN57" s="43"/>
      <c r="AO57" s="43"/>
      <c r="AP57" s="43"/>
      <c r="AQ57" s="43">
        <v>11</v>
      </c>
    </row>
    <row r="58" ht="19.95" customHeight="1" spans="15:43">
      <c r="O58" s="43"/>
      <c r="S58" s="786"/>
      <c r="T58" s="120"/>
      <c r="U58" s="120"/>
      <c r="V58" s="120"/>
      <c r="W58" s="120"/>
      <c r="X58" s="120"/>
      <c r="Y58" s="120"/>
      <c r="Z58" s="120"/>
      <c r="AA58" s="120"/>
      <c r="AB58" s="120"/>
      <c r="AC58" s="120"/>
      <c r="AD58" s="120"/>
      <c r="AE58" s="120"/>
      <c r="AF58" s="120"/>
      <c r="AG58" s="120"/>
      <c r="AH58" s="120"/>
      <c r="AI58" s="120"/>
      <c r="AJ58" s="120"/>
      <c r="AK58" s="120"/>
      <c r="AQ58" s="43">
        <v>19</v>
      </c>
    </row>
    <row r="59" ht="21" customHeight="1" spans="15:43">
      <c r="O59" s="43"/>
      <c r="T59" s="120"/>
      <c r="U59" s="120"/>
      <c r="V59" s="120"/>
      <c r="W59" s="120"/>
      <c r="X59" s="120"/>
      <c r="Y59" s="120"/>
      <c r="Z59" s="120"/>
      <c r="AA59" s="120"/>
      <c r="AB59" s="120"/>
      <c r="AC59" s="120"/>
      <c r="AD59" s="120"/>
      <c r="AE59" s="120"/>
      <c r="AF59" s="120"/>
      <c r="AG59" s="120"/>
      <c r="AH59" s="120"/>
      <c r="AI59" s="120"/>
      <c r="AJ59" s="120"/>
      <c r="AK59" s="120"/>
      <c r="AQ59" s="43">
        <v>20</v>
      </c>
    </row>
    <row r="60" ht="14.7" customHeight="1" spans="15:43">
      <c r="O60" s="43"/>
      <c r="T60" s="120"/>
      <c r="U60" s="120"/>
      <c r="V60" s="120"/>
      <c r="W60" s="120"/>
      <c r="X60" s="120"/>
      <c r="Y60" s="120"/>
      <c r="Z60" s="120"/>
      <c r="AA60" s="120"/>
      <c r="AB60" s="120"/>
      <c r="AC60" s="120"/>
      <c r="AD60" s="120"/>
      <c r="AE60" s="120"/>
      <c r="AF60" s="120"/>
      <c r="AG60" s="120"/>
      <c r="AH60" s="120"/>
      <c r="AI60" s="120"/>
      <c r="AJ60" s="120"/>
      <c r="AK60" s="120"/>
      <c r="AQ60" s="43">
        <v>14</v>
      </c>
    </row>
    <row r="61" ht="19.95" customHeight="1" spans="15:43">
      <c r="O61" s="43"/>
      <c r="T61" s="120"/>
      <c r="U61" s="120"/>
      <c r="V61" s="120"/>
      <c r="W61" s="120"/>
      <c r="X61" s="120"/>
      <c r="Y61" s="120"/>
      <c r="Z61" s="120"/>
      <c r="AA61" s="120"/>
      <c r="AB61" s="120"/>
      <c r="AC61" s="120"/>
      <c r="AD61" s="120"/>
      <c r="AE61" s="120"/>
      <c r="AF61" s="120"/>
      <c r="AG61" s="120"/>
      <c r="AH61" s="120"/>
      <c r="AI61" s="120"/>
      <c r="AJ61" s="120"/>
      <c r="AK61" s="120"/>
      <c r="AQ61" s="43">
        <v>19</v>
      </c>
    </row>
    <row r="62" ht="16.8" customHeight="1" spans="15:43">
      <c r="O62" s="43"/>
      <c r="T62" s="120"/>
      <c r="U62" s="120"/>
      <c r="V62" s="120"/>
      <c r="W62" s="120"/>
      <c r="X62" s="120"/>
      <c r="Y62" s="120"/>
      <c r="Z62" s="120"/>
      <c r="AA62" s="120"/>
      <c r="AB62" s="120"/>
      <c r="AC62" s="120"/>
      <c r="AD62" s="120"/>
      <c r="AE62" s="120"/>
      <c r="AF62" s="120"/>
      <c r="AG62" s="120"/>
      <c r="AH62" s="120"/>
      <c r="AI62" s="120"/>
      <c r="AJ62" s="120"/>
      <c r="AK62" s="120"/>
      <c r="AQ62" s="43">
        <v>16</v>
      </c>
    </row>
    <row r="63" ht="14.7" customHeight="1" spans="15:43">
      <c r="O63" s="43"/>
      <c r="AQ63" s="43">
        <v>14</v>
      </c>
    </row>
    <row r="64" ht="22.5" hidden="1" customHeight="1" spans="1:43">
      <c r="A64" s="43" t="s">
        <v>83</v>
      </c>
      <c r="B64" s="43">
        <v>0</v>
      </c>
      <c r="C64" s="43">
        <v>0</v>
      </c>
      <c r="D64" s="43">
        <v>0</v>
      </c>
      <c r="E64" s="43">
        <v>0</v>
      </c>
      <c r="F64" s="43">
        <v>0</v>
      </c>
      <c r="G64" s="43">
        <v>0</v>
      </c>
      <c r="H64" s="43">
        <v>0</v>
      </c>
      <c r="I64" s="43">
        <v>0</v>
      </c>
      <c r="J64" s="43">
        <v>0</v>
      </c>
      <c r="K64" s="43">
        <v>0</v>
      </c>
      <c r="L64" s="86">
        <v>0</v>
      </c>
      <c r="M64" s="40">
        <v>0</v>
      </c>
      <c r="N64" s="40">
        <v>0</v>
      </c>
      <c r="O64" s="40">
        <v>0</v>
      </c>
      <c r="P64" s="39">
        <v>3</v>
      </c>
      <c r="Q64" s="1051">
        <v>3</v>
      </c>
      <c r="R64" s="41">
        <v>3</v>
      </c>
      <c r="S64" s="42">
        <v>12</v>
      </c>
      <c r="T64" s="43">
        <v>31</v>
      </c>
      <c r="U64" s="43">
        <v>0</v>
      </c>
      <c r="V64" s="43">
        <v>0</v>
      </c>
      <c r="W64" s="43">
        <v>0</v>
      </c>
      <c r="X64" s="43">
        <v>0</v>
      </c>
      <c r="Y64" s="43">
        <v>0</v>
      </c>
      <c r="Z64" s="43">
        <v>0</v>
      </c>
      <c r="AA64" s="43">
        <v>0</v>
      </c>
      <c r="AB64" s="43">
        <v>27</v>
      </c>
      <c r="AC64" s="43">
        <v>24</v>
      </c>
      <c r="AD64" s="43">
        <v>21</v>
      </c>
      <c r="AE64" s="43">
        <v>21</v>
      </c>
      <c r="AF64" s="43">
        <v>11</v>
      </c>
      <c r="AG64" s="43">
        <v>3</v>
      </c>
      <c r="AH64" s="43">
        <v>11</v>
      </c>
      <c r="AI64" s="43">
        <v>8</v>
      </c>
      <c r="AJ64" s="43">
        <v>4</v>
      </c>
      <c r="AK64" s="43">
        <v>115</v>
      </c>
      <c r="AL64" s="44">
        <v>10</v>
      </c>
      <c r="AM64" s="44">
        <v>10</v>
      </c>
      <c r="AN64" s="44">
        <v>10</v>
      </c>
      <c r="AO64" s="44">
        <v>10</v>
      </c>
      <c r="AP64" s="44">
        <v>10</v>
      </c>
      <c r="AQ64" s="43">
        <v>23</v>
      </c>
    </row>
  </sheetData>
  <sheetProtection insertRows="0" deleteColumns="0" deleteRows="0" sort="0" autoFilter="0"/>
  <mergeCells count="89">
    <mergeCell ref="V2:AA2"/>
    <mergeCell ref="AC2:AJ2"/>
    <mergeCell ref="V3:AA3"/>
    <mergeCell ref="AC3:AJ3"/>
    <mergeCell ref="V4:AA4"/>
    <mergeCell ref="AC4:AJ4"/>
    <mergeCell ref="V5:AA5"/>
    <mergeCell ref="AC5:AJ5"/>
    <mergeCell ref="V6:AA6"/>
    <mergeCell ref="AC6:AJ6"/>
    <mergeCell ref="V7:AA7"/>
    <mergeCell ref="AC7:AJ7"/>
    <mergeCell ref="S24:AH24"/>
    <mergeCell ref="S25:AH25"/>
    <mergeCell ref="S27:T27"/>
    <mergeCell ref="V27:Z27"/>
    <mergeCell ref="AC27:AH27"/>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V37:Z37"/>
    <mergeCell ref="AD37:AH37"/>
    <mergeCell ref="V38:W38"/>
    <mergeCell ref="AD38:AE38"/>
    <mergeCell ref="V39:W39"/>
    <mergeCell ref="AD39:AE39"/>
    <mergeCell ref="Y40:Z40"/>
    <mergeCell ref="AG40:AH40"/>
    <mergeCell ref="Y41:Z41"/>
    <mergeCell ref="AG41:AH41"/>
    <mergeCell ref="V42:AA42"/>
    <mergeCell ref="AC42:AJ42"/>
    <mergeCell ref="V43:AA43"/>
    <mergeCell ref="AC43:AJ43"/>
    <mergeCell ref="V44:AA44"/>
    <mergeCell ref="AC44:AJ44"/>
    <mergeCell ref="V45:AA45"/>
    <mergeCell ref="AC45:AJ45"/>
    <mergeCell ref="V46:AA46"/>
    <mergeCell ref="AC46:AJ46"/>
    <mergeCell ref="V47:AA47"/>
    <mergeCell ref="AC47:AJ47"/>
    <mergeCell ref="T58:AK58"/>
    <mergeCell ref="T59:AK59"/>
    <mergeCell ref="T61:AK61"/>
    <mergeCell ref="T62:AK62"/>
    <mergeCell ref="E2:E14"/>
    <mergeCell ref="E42:E55"/>
    <mergeCell ref="F3:F13"/>
    <mergeCell ref="F43:F53"/>
    <mergeCell ref="G4:G12"/>
    <mergeCell ref="G44:G52"/>
    <mergeCell ref="H5:H11"/>
    <mergeCell ref="H45:H51"/>
    <mergeCell ref="I6:I10"/>
    <mergeCell ref="I46:I50"/>
    <mergeCell ref="J7:J9"/>
    <mergeCell ref="J47:J49"/>
    <mergeCell ref="P6:P10"/>
    <mergeCell ref="P46:P50"/>
    <mergeCell ref="Q7:Q9"/>
    <mergeCell ref="Q47:Q49"/>
    <mergeCell ref="S37:S40"/>
    <mergeCell ref="T37:T40"/>
    <mergeCell ref="AA37:AA40"/>
    <mergeCell ref="AB37:AB40"/>
    <mergeCell ref="AC37:AC40"/>
    <mergeCell ref="AI37:AI40"/>
    <mergeCell ref="AJ37:AJ40"/>
    <mergeCell ref="AK8:AK9"/>
    <mergeCell ref="AK36:AK40"/>
    <mergeCell ref="AK48:AK49"/>
    <mergeCell ref="X38:Z39"/>
    <mergeCell ref="AF38:AH39"/>
  </mergeCells>
  <dataValidations count="11">
    <dataValidation type="textLength" operator="lessThanOrEqual" allowBlank="1" showInputMessage="1" showErrorMessage="1" errorTitle="Ошибка" error="Допускается ввод не более 900 символов!" sqref="T8 AB8 T48 AB48 AK65578:AK65585 AK131114:AK131121 AK196650:AK196657 AK262186:AK262193 AK327722:AK327729 AK393258:AK393265 AK458794:AK458801 AK524330:AK524337 AK589866:AK589873 AK655402:AK655409 AK720938:AK720945 AK786474:AK786481 AK852010:AK852017 AK917546:AK917553 AK983082:AK98308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8 Z8 AF8 AH8 AF16 AH16 X48 Z48 AF48 AH48 X65584 Z65584 AF65584 AH65584 X131120 Z131120 AF131120 AH131120 X196656 Z196656 AF196656 AH196656 X262192 Z262192 AF262192 AH262192 X327728 Z327728 AF327728 AH327728 X393264 Z393264 AF393264 AH393264 X458800 Z458800 AF458800 AH458800 X524336 Z524336 AF524336 AH524336 X589872 Z589872 AF589872 AH589872 X655408 Z655408 AF655408 AH655408 X720944 Z720944 AF720944 AH720944 X786480 Z786480 AF786480 AH786480 X852016 Z852016 AF852016 AH852016 X917552 Z917552 AF917552 AH917552 X983088 Z983088 AF983088 AH983088"/>
    <dataValidation allowBlank="1" showInputMessage="1" showErrorMessage="1" prompt="Для выбора выполните двойной щелчок левой клавиши мыши по соответствующей ячейке." sqref="Y8 AA8 AG8 AI8 AC16 AG16 AI16 Y48 AA48 AG48 AI48 Y65584 AA65584:AB65584 AG65584 AI65584 Y131120 AA131120:AB131120 AG131120 AI131120 Y196656 AA196656:AB196656 AG196656 AI196656 Y262192 AA262192:AB262192 AG262192 AI262192 Y327728 AA327728:AB327728 AG327728 AI327728 Y393264 AA393264:AB393264 AG393264 AI393264 Y458800 AA458800:AB458800 AG458800 AI458800 Y524336 AA524336:AB524336 AG524336 AI524336 Y589872 AA589872:AB589872 AG589872 AI589872 Y655408 AA655408:AB655408 AG655408 AI655408 Y720944 AA720944:AB720944 AG720944 AI720944 Y786480 AA786480:AB786480 AG786480 AI786480 Y852016 AA852016:AB852016 AG852016 AI852016 Y917552 AA917552:AB917552 AG917552 AI917552 Y983088 AA983088:AB983088 AG983088 AI983088"/>
    <dataValidation type="decimal" operator="between" allowBlank="1" showErrorMessage="1" errorTitle="Ошибка" error="Допускается ввод только действительных чисел!" sqref="AC8 AC48">
      <formula1>-9.99999999999999E+23</formula1>
      <formula2>9.99999999999999E+23</formula2>
    </dataValidation>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AC65582 AC131118 AC196654 AC262190 AC327726 AC393262 AC458798 AC524334 AC589870 AC655406 AC720942 AC786478 AC852014 AC917550 AC983086">
      <formula1>kind_of_scheme_in</formula1>
    </dataValidation>
    <dataValidation type="list" allowBlank="1" showInputMessage="1" errorTitle="Ошибка" error="Выберите значение из списка" prompt="Выберите значение из списка" sqref="V65583:AJ65583 V131119:AJ131119 V196655:AJ196655 V262191:AJ262191 V327727:AJ327727 V393263:AJ393263 V458799:AJ458799 V524335:AJ524335 V589871:AJ589871 V655407:AJ655407 V720943:AJ720943 V786479:AJ786479 V852015:AJ852015 V917551:AJ917551 V983087:AJ983087">
      <formula1>kind_of_cons</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promptTitle="checkPeriodRange" sqref="W65585 AE65585 W131121 AE131121 W196657 AE196657 W262193 AE262193 W327729 AE327729 W393265 AE393265 W458801 AE458801 W524337 AE524337 W589873 AE589873 W655409 AE655409 W720945 AE720945 W786481 AE786481 W852017 AE852017 W917553 AE917553 W983089 AE983089"/>
    <dataValidation allowBlank="1" sqref="S131122:AK131128 S589874:AK589880 S196658:AK196664 S655410:AK655416 S262194:AK262200 S720946:AK720952 S327730:AK327736 S786482:AK786488 S393266:AK393272 S852018:AK852024 S458802:AK458808 S917554:AK917560 S65586:AK65592 S524338:AK524344 S983090:AK983096"/>
  </dataValidations>
  <pageMargins left="0.7" right="0.7" top="0.75" bottom="0.75" header="0.3" footer="0.3"/>
  <pageSetup paperSize="1"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4.1428571428571" style="38" hidden="1" customWidth="1"/>
    <col min="10" max="10" width="9.84761904761905" style="38" hidden="1" customWidth="1"/>
    <col min="11" max="11" width="14.7142857142857"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5" style="43" customWidth="1"/>
    <col min="21" max="21" width="0.142857142857143" style="43" customWidth="1"/>
    <col min="22" max="24" width="24.7142857142857" style="43" hidden="1" customWidth="1"/>
    <col min="25" max="25" width="11.7142857142857" style="43" hidden="1" customWidth="1"/>
    <col min="26" max="26" width="3.71428571428571" style="43" hidden="1" customWidth="1"/>
    <col min="27" max="27" width="11.7142857142857" style="43" hidden="1" customWidth="1"/>
    <col min="28" max="28" width="8.57142857142857" style="43" hidden="1" customWidth="1"/>
    <col min="29" max="29" width="24.7142857142857" style="43" customWidth="1"/>
    <col min="30" max="31" width="24" style="43" customWidth="1"/>
    <col min="32" max="32" width="11" style="43" customWidth="1"/>
    <col min="33" max="33" width="3.71428571428571" style="43" customWidth="1"/>
    <col min="34" max="34" width="11" style="43" customWidth="1"/>
    <col min="35" max="35" width="8.57142857142857" style="43" hidden="1" customWidth="1"/>
    <col min="36" max="36" width="4" style="43" customWidth="1"/>
    <col min="37" max="37" width="115" style="43" customWidth="1"/>
    <col min="38" max="42" width="10" style="44" customWidth="1"/>
    <col min="43" max="43" width="10.5714285714286" style="43" hidden="1"/>
  </cols>
  <sheetData>
    <row r="1" ht="22.5" hidden="1" customHeight="1" spans="43:43">
      <c r="AQ1" s="43" t="s">
        <v>14</v>
      </c>
    </row>
    <row r="2" ht="23.25" hidden="1" customHeight="1" spans="1:43">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89"/>
      <c r="AC2" s="1090" t="e">
        <f>INDEX(PT_DIFFERENTIATION_NTAR,MATCH(A2,PT_DIFFERENTIATION_NTAR_ID,0))</f>
        <v>#N/A</v>
      </c>
      <c r="AD2" s="1061"/>
      <c r="AE2" s="1061"/>
      <c r="AF2" s="1061"/>
      <c r="AG2" s="1061"/>
      <c r="AH2" s="1061"/>
      <c r="AI2" s="1061"/>
      <c r="AJ2" s="1089"/>
      <c r="AK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51"/>
      <c r="AN2" s="151" t="str">
        <f t="shared" ref="AN2:AN13" si="0">IF(T2="","",T2)</f>
        <v>Наименование тарифа</v>
      </c>
      <c r="AO2" s="151"/>
      <c r="AP2" s="151"/>
      <c r="AQ2" s="43">
        <v>0</v>
      </c>
    </row>
    <row r="3" ht="23.25" hidden="1" customHeight="1" spans="1:43">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89"/>
      <c r="AC3" s="1090" t="e">
        <f>INDEX(PT_DIFFERENTIATION_TER,MATCH(B3,PT_DIFFERENTIATION_TER_ID,0))</f>
        <v>#N/A</v>
      </c>
      <c r="AD3" s="1061"/>
      <c r="AE3" s="1061"/>
      <c r="AF3" s="1061"/>
      <c r="AG3" s="1061"/>
      <c r="AH3" s="1061"/>
      <c r="AI3" s="1061"/>
      <c r="AJ3" s="1089"/>
      <c r="AK3" s="136" t="s">
        <v>394</v>
      </c>
      <c r="AM3" s="151"/>
      <c r="AN3" s="151" t="str">
        <f t="shared" si="0"/>
        <v>Территория действия тарифа</v>
      </c>
      <c r="AO3" s="151"/>
      <c r="AP3" s="151"/>
      <c r="AQ3" s="43">
        <v>0</v>
      </c>
    </row>
    <row r="4" ht="23.25" hidden="1" customHeight="1" spans="1:43">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475</v>
      </c>
      <c r="U4" s="84"/>
      <c r="V4" s="1090"/>
      <c r="W4" s="1061"/>
      <c r="X4" s="1061"/>
      <c r="Y4" s="1061"/>
      <c r="Z4" s="1061"/>
      <c r="AA4" s="1061"/>
      <c r="AB4" s="1089"/>
      <c r="AC4" s="1090" t="e">
        <f>INDEX(PT_DIFFERENTIATION_CS,MATCH(C4,PT_DIFFERENTIATION_CS_ID,0))</f>
        <v>#N/A</v>
      </c>
      <c r="AD4" s="1061"/>
      <c r="AE4" s="1061"/>
      <c r="AF4" s="1061"/>
      <c r="AG4" s="1061"/>
      <c r="AH4" s="1061"/>
      <c r="AI4" s="1061"/>
      <c r="AJ4" s="1089"/>
      <c r="AK4" s="136" t="s">
        <v>476</v>
      </c>
      <c r="AM4" s="151"/>
      <c r="AN4" s="151" t="str">
        <f t="shared" si="0"/>
        <v>Наименование централизованной системы холодного водоснабжения</v>
      </c>
      <c r="AO4" s="151"/>
      <c r="AP4" s="151"/>
      <c r="AQ4" s="43">
        <v>0</v>
      </c>
    </row>
    <row r="5" ht="23.25" hidden="1" customHeight="1" spans="1:43">
      <c r="A5" s="46"/>
      <c r="B5" s="46"/>
      <c r="C5" s="46"/>
      <c r="D5" s="46"/>
      <c r="E5" s="1053"/>
      <c r="F5" s="1053"/>
      <c r="G5" s="1053"/>
      <c r="H5" s="1053"/>
      <c r="I5" s="229" t="e">
        <f>S4&amp;".1"</f>
        <v>#N/A</v>
      </c>
      <c r="J5" s="46"/>
      <c r="K5" s="46"/>
      <c r="L5" s="1054"/>
      <c r="P5" s="93">
        <v>1</v>
      </c>
      <c r="Q5" s="93"/>
      <c r="R5" s="94"/>
      <c r="S5" s="65" t="e">
        <f>$I5</f>
        <v>#N/A</v>
      </c>
      <c r="T5" s="95" t="s">
        <v>477</v>
      </c>
      <c r="U5" s="84"/>
      <c r="V5" s="1126"/>
      <c r="W5" s="1127"/>
      <c r="X5" s="1127"/>
      <c r="Y5" s="1127"/>
      <c r="Z5" s="1127"/>
      <c r="AA5" s="1127"/>
      <c r="AB5" s="1131"/>
      <c r="AC5" s="831"/>
      <c r="AD5" s="1134"/>
      <c r="AE5" s="1134"/>
      <c r="AF5" s="1134"/>
      <c r="AG5" s="1134"/>
      <c r="AH5" s="1134"/>
      <c r="AI5" s="1134"/>
      <c r="AJ5" s="1135"/>
      <c r="AK5" s="136" t="s">
        <v>478</v>
      </c>
      <c r="AM5" s="151"/>
      <c r="AN5" s="151" t="str">
        <f t="shared" si="0"/>
        <v>Наименование признака дифференциации</v>
      </c>
      <c r="AO5" s="151"/>
      <c r="AP5" s="151"/>
      <c r="AQ5" s="43">
        <v>0</v>
      </c>
    </row>
    <row r="6" ht="23.25" hidden="1" customHeight="1" spans="1:43">
      <c r="A6" s="46"/>
      <c r="B6" s="46"/>
      <c r="C6" s="46"/>
      <c r="D6" s="46"/>
      <c r="E6" s="1053"/>
      <c r="F6" s="1053"/>
      <c r="G6" s="1053"/>
      <c r="H6" s="1053"/>
      <c r="I6" s="1058"/>
      <c r="J6" s="229" t="e">
        <f>I5&amp;".1"</f>
        <v>#N/A</v>
      </c>
      <c r="K6" s="46"/>
      <c r="L6" s="1054" t="s">
        <v>402</v>
      </c>
      <c r="P6" s="93"/>
      <c r="Q6" s="93">
        <v>1</v>
      </c>
      <c r="R6" s="97"/>
      <c r="S6" s="65" t="e">
        <f>$J6</f>
        <v>#N/A</v>
      </c>
      <c r="T6" s="98" t="s">
        <v>403</v>
      </c>
      <c r="U6" s="84"/>
      <c r="V6" s="99"/>
      <c r="W6" s="100"/>
      <c r="X6" s="100"/>
      <c r="Y6" s="100"/>
      <c r="Z6" s="100"/>
      <c r="AA6" s="100"/>
      <c r="AB6" s="137"/>
      <c r="AC6" s="99"/>
      <c r="AD6" s="100"/>
      <c r="AE6" s="100"/>
      <c r="AF6" s="100"/>
      <c r="AG6" s="100"/>
      <c r="AH6" s="100"/>
      <c r="AI6" s="100"/>
      <c r="AJ6" s="137"/>
      <c r="AK6" s="1136" t="s">
        <v>479</v>
      </c>
      <c r="AM6" s="151"/>
      <c r="AN6" s="151" t="str">
        <f t="shared" si="0"/>
        <v>Группа потребителей</v>
      </c>
      <c r="AO6" s="151"/>
      <c r="AP6" s="151"/>
      <c r="AQ6" s="43">
        <v>0</v>
      </c>
    </row>
    <row r="7" ht="23.25" hidden="1" customHeight="1" spans="1:43">
      <c r="A7" s="46"/>
      <c r="B7" s="46"/>
      <c r="C7" s="46"/>
      <c r="D7" s="46"/>
      <c r="E7" s="1053"/>
      <c r="F7" s="1053"/>
      <c r="G7" s="1053"/>
      <c r="H7" s="1053"/>
      <c r="I7" s="1058"/>
      <c r="J7" s="1058"/>
      <c r="K7" s="229" t="e">
        <f>J6&amp;".1"</f>
        <v>#N/A</v>
      </c>
      <c r="L7" s="1054"/>
      <c r="P7" s="93"/>
      <c r="Q7" s="93"/>
      <c r="R7" s="97">
        <v>1</v>
      </c>
      <c r="S7" s="65" t="e">
        <f>$K7</f>
        <v>#N/A</v>
      </c>
      <c r="T7" s="1128"/>
      <c r="U7" s="84"/>
      <c r="V7" s="102"/>
      <c r="W7" s="102"/>
      <c r="X7" s="138"/>
      <c r="Y7" s="139"/>
      <c r="Z7" s="140" t="s">
        <v>66</v>
      </c>
      <c r="AA7" s="139"/>
      <c r="AB7" s="140" t="s">
        <v>66</v>
      </c>
      <c r="AC7" s="102"/>
      <c r="AD7" s="102"/>
      <c r="AE7" s="138"/>
      <c r="AF7" s="139"/>
      <c r="AG7" s="140" t="s">
        <v>66</v>
      </c>
      <c r="AH7" s="1137"/>
      <c r="AI7" s="140" t="s">
        <v>66</v>
      </c>
      <c r="AJ7" s="1138"/>
      <c r="AK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 t="e">
        <f>STRCHECKDATE(V8:AJ8)</f>
        <v>#NAME?</v>
      </c>
      <c r="AM7" s="151"/>
      <c r="AN7" s="151" t="str">
        <f t="shared" si="0"/>
        <v/>
      </c>
      <c r="AO7" s="151"/>
      <c r="AP7" s="151"/>
      <c r="AQ7" s="43">
        <v>0</v>
      </c>
    </row>
    <row r="8" hidden="1" customHeight="1" spans="1:43">
      <c r="A8" s="46"/>
      <c r="B8" s="46"/>
      <c r="C8" s="46"/>
      <c r="D8" s="46"/>
      <c r="E8" s="1053"/>
      <c r="F8" s="1053"/>
      <c r="G8" s="1053"/>
      <c r="H8" s="1053"/>
      <c r="I8" s="1058"/>
      <c r="J8" s="1058"/>
      <c r="K8" s="229"/>
      <c r="L8" s="1054"/>
      <c r="P8" s="93"/>
      <c r="Q8" s="93"/>
      <c r="R8" s="97"/>
      <c r="S8" s="104"/>
      <c r="T8" s="84"/>
      <c r="U8" s="84"/>
      <c r="V8" s="103"/>
      <c r="W8" s="103"/>
      <c r="X8" s="142" t="str">
        <f>Y7&amp;"-"&amp;AA7</f>
        <v>-</v>
      </c>
      <c r="Y8" s="143"/>
      <c r="Z8" s="140"/>
      <c r="AA8" s="143"/>
      <c r="AB8" s="140"/>
      <c r="AC8" s="103"/>
      <c r="AD8" s="103"/>
      <c r="AE8" s="142" t="str">
        <f>AF7&amp;"-"&amp;AH7</f>
        <v>-</v>
      </c>
      <c r="AF8" s="143"/>
      <c r="AG8" s="140"/>
      <c r="AH8" s="1140"/>
      <c r="AI8" s="140"/>
      <c r="AJ8" s="768"/>
      <c r="AK8" s="1139"/>
      <c r="AM8" s="151"/>
      <c r="AN8" s="151" t="str">
        <f t="shared" si="0"/>
        <v/>
      </c>
      <c r="AO8" s="151"/>
      <c r="AP8" s="151"/>
      <c r="AQ8" s="43">
        <v>0</v>
      </c>
    </row>
    <row r="9" ht="21" hidden="1" customHeight="1" spans="1:43">
      <c r="A9" s="46"/>
      <c r="B9" s="46"/>
      <c r="C9" s="46"/>
      <c r="D9" s="46"/>
      <c r="E9" s="1053"/>
      <c r="F9" s="1053"/>
      <c r="G9" s="1053"/>
      <c r="H9" s="1053"/>
      <c r="I9" s="1058"/>
      <c r="J9" s="229"/>
      <c r="K9" s="46"/>
      <c r="L9" s="1054"/>
      <c r="P9" s="93"/>
      <c r="Q9" s="93"/>
      <c r="R9" s="94"/>
      <c r="S9" s="105"/>
      <c r="T9" s="108" t="s">
        <v>480</v>
      </c>
      <c r="U9" s="107"/>
      <c r="V9" s="107"/>
      <c r="W9" s="107"/>
      <c r="X9" s="107"/>
      <c r="Y9" s="107"/>
      <c r="Z9" s="107"/>
      <c r="AA9" s="107"/>
      <c r="AB9" s="107"/>
      <c r="AC9" s="107"/>
      <c r="AD9" s="107"/>
      <c r="AE9" s="107"/>
      <c r="AF9" s="107"/>
      <c r="AG9" s="107"/>
      <c r="AH9" s="107"/>
      <c r="AI9" s="107"/>
      <c r="AJ9" s="107"/>
      <c r="AK9" s="136" t="s">
        <v>481</v>
      </c>
      <c r="AM9" s="151"/>
      <c r="AN9" s="151" t="str">
        <f t="shared" si="0"/>
        <v>Добавить значение признака дифференциации</v>
      </c>
      <c r="AO9" s="151"/>
      <c r="AP9" s="151"/>
      <c r="AQ9" s="43">
        <v>0</v>
      </c>
    </row>
    <row r="10" ht="21" hidden="1" customHeight="1" spans="1:43">
      <c r="A10" s="46"/>
      <c r="B10" s="46"/>
      <c r="C10" s="46"/>
      <c r="D10" s="46"/>
      <c r="E10" s="1053"/>
      <c r="F10" s="1053"/>
      <c r="G10" s="1053"/>
      <c r="H10" s="1053"/>
      <c r="I10" s="229"/>
      <c r="J10" s="46"/>
      <c r="K10" s="46"/>
      <c r="L10" s="1054"/>
      <c r="P10" s="93"/>
      <c r="Q10" s="93"/>
      <c r="R10" s="94"/>
      <c r="S10" s="105"/>
      <c r="T10" s="110" t="s">
        <v>408</v>
      </c>
      <c r="U10" s="107"/>
      <c r="V10" s="107"/>
      <c r="W10" s="107"/>
      <c r="X10" s="107"/>
      <c r="Y10" s="107"/>
      <c r="Z10" s="107"/>
      <c r="AA10" s="107"/>
      <c r="AB10" s="147"/>
      <c r="AC10" s="107"/>
      <c r="AD10" s="107"/>
      <c r="AE10" s="107"/>
      <c r="AF10" s="107"/>
      <c r="AG10" s="107"/>
      <c r="AH10" s="107"/>
      <c r="AI10" s="147"/>
      <c r="AJ10" s="107"/>
      <c r="AK10" s="1141"/>
      <c r="AM10" s="151"/>
      <c r="AN10" s="151" t="str">
        <f t="shared" si="0"/>
        <v>Добавить группу потребителей</v>
      </c>
      <c r="AO10" s="151"/>
      <c r="AP10" s="151"/>
      <c r="AQ10" s="43">
        <v>0</v>
      </c>
    </row>
    <row r="11" hidden="1" customHeight="1" spans="1:43">
      <c r="A11" s="46"/>
      <c r="B11" s="46"/>
      <c r="C11" s="46"/>
      <c r="D11" s="46"/>
      <c r="E11" s="1053"/>
      <c r="F11" s="1053"/>
      <c r="G11" s="1053"/>
      <c r="H11" s="1052"/>
      <c r="I11" s="46"/>
      <c r="J11" s="46"/>
      <c r="K11" s="46"/>
      <c r="L11" s="1054"/>
      <c r="M11" s="47"/>
      <c r="N11" s="47"/>
      <c r="O11" s="38"/>
      <c r="P11" s="81"/>
      <c r="Q11" s="109"/>
      <c r="R11" s="82"/>
      <c r="S11" s="105"/>
      <c r="T11" s="821" t="s">
        <v>482</v>
      </c>
      <c r="U11" s="107"/>
      <c r="V11" s="107"/>
      <c r="W11" s="107"/>
      <c r="X11" s="107"/>
      <c r="Y11" s="107"/>
      <c r="Z11" s="107"/>
      <c r="AA11" s="107"/>
      <c r="AB11" s="147"/>
      <c r="AC11" s="107"/>
      <c r="AD11" s="107"/>
      <c r="AE11" s="107"/>
      <c r="AF11" s="107"/>
      <c r="AG11" s="107"/>
      <c r="AH11" s="107"/>
      <c r="AI11" s="147"/>
      <c r="AJ11" s="107"/>
      <c r="AK11" s="148"/>
      <c r="AM11" s="151"/>
      <c r="AN11" s="151" t="str">
        <f t="shared" si="0"/>
        <v>Добавить наименование признака дифференциации</v>
      </c>
      <c r="AO11" s="151"/>
      <c r="AP11" s="151"/>
      <c r="AQ11" s="43">
        <v>0</v>
      </c>
    </row>
    <row r="12" s="44" customFormat="1" hidden="1" customHeight="1" spans="1:43">
      <c r="A12" s="590"/>
      <c r="B12" s="590"/>
      <c r="C12" s="590"/>
      <c r="D12" s="590"/>
      <c r="E12" s="1053"/>
      <c r="F12" s="1052"/>
      <c r="G12" s="590"/>
      <c r="H12" s="590"/>
      <c r="I12" s="590"/>
      <c r="J12" s="590"/>
      <c r="K12" s="590"/>
      <c r="L12" s="611"/>
      <c r="M12" s="1059"/>
      <c r="N12" s="1059"/>
      <c r="P12" s="152"/>
      <c r="Q12" s="1082"/>
      <c r="R12" s="152"/>
      <c r="S12" s="1084"/>
      <c r="T12" s="1085" t="s">
        <v>411</v>
      </c>
      <c r="U12" s="307"/>
      <c r="V12" s="307"/>
      <c r="W12" s="307"/>
      <c r="X12" s="307"/>
      <c r="Y12" s="307"/>
      <c r="Z12" s="307"/>
      <c r="AA12" s="307"/>
      <c r="AB12" s="307"/>
      <c r="AC12" s="307"/>
      <c r="AD12" s="307"/>
      <c r="AE12" s="307"/>
      <c r="AF12" s="307"/>
      <c r="AG12" s="307"/>
      <c r="AH12" s="307"/>
      <c r="AI12" s="307"/>
      <c r="AJ12" s="307"/>
      <c r="AK12" s="307"/>
      <c r="AM12" s="151"/>
      <c r="AN12" s="151" t="str">
        <f t="shared" si="0"/>
        <v>Добавить централизованную систему для дифференциации</v>
      </c>
      <c r="AO12" s="151"/>
      <c r="AP12" s="151"/>
      <c r="AQ12" s="44">
        <v>0</v>
      </c>
    </row>
    <row r="13" s="44" customFormat="1" hidden="1" customHeight="1" spans="1:43">
      <c r="A13" s="590"/>
      <c r="B13" s="590"/>
      <c r="C13" s="590"/>
      <c r="D13" s="590"/>
      <c r="E13" s="1052"/>
      <c r="F13" s="590"/>
      <c r="G13" s="590"/>
      <c r="H13" s="590"/>
      <c r="I13" s="590"/>
      <c r="J13" s="590"/>
      <c r="K13" s="590"/>
      <c r="L13" s="611"/>
      <c r="M13" s="1059"/>
      <c r="N13" s="1059"/>
      <c r="P13" s="152"/>
      <c r="Q13" s="1082"/>
      <c r="R13" s="152"/>
      <c r="S13" s="1084"/>
      <c r="T13" s="1085" t="s">
        <v>412</v>
      </c>
      <c r="U13" s="307"/>
      <c r="V13" s="307"/>
      <c r="W13" s="307"/>
      <c r="X13" s="307"/>
      <c r="Y13" s="307"/>
      <c r="Z13" s="307"/>
      <c r="AA13" s="307"/>
      <c r="AB13" s="307"/>
      <c r="AC13" s="307"/>
      <c r="AD13" s="307"/>
      <c r="AE13" s="307"/>
      <c r="AF13" s="307"/>
      <c r="AG13" s="307"/>
      <c r="AH13" s="307"/>
      <c r="AI13" s="307"/>
      <c r="AJ13" s="307"/>
      <c r="AK13" s="307"/>
      <c r="AM13" s="151"/>
      <c r="AN13" s="151" t="str">
        <f t="shared" si="0"/>
        <v>Добавить территорию для дифференциации</v>
      </c>
      <c r="AO13" s="151"/>
      <c r="AP13" s="151"/>
      <c r="AQ13" s="44">
        <v>0</v>
      </c>
    </row>
    <row r="14" hidden="1" customHeight="1" spans="43:43">
      <c r="AQ14" s="43">
        <v>0</v>
      </c>
    </row>
    <row r="15" hidden="1" customHeight="1" spans="29:43">
      <c r="AC15" s="492"/>
      <c r="AD15" s="492"/>
      <c r="AE15" s="1132"/>
      <c r="AF15" s="1133"/>
      <c r="AG15" s="353" t="s">
        <v>66</v>
      </c>
      <c r="AH15" s="1133"/>
      <c r="AI15" s="353" t="s">
        <v>66</v>
      </c>
      <c r="AQ15" s="43">
        <v>0</v>
      </c>
    </row>
    <row r="16" hidden="1" customHeight="1" spans="29:43">
      <c r="AC16" s="492"/>
      <c r="AD16" s="492"/>
      <c r="AE16" s="142" t="str">
        <f>AF15&amp;"-"&amp;AH15</f>
        <v>-</v>
      </c>
      <c r="AF16" s="353"/>
      <c r="AG16" s="353"/>
      <c r="AH16" s="353"/>
      <c r="AI16" s="353"/>
      <c r="AQ16" s="43">
        <v>0</v>
      </c>
    </row>
    <row r="17" hidden="1" customHeight="1" spans="43:43">
      <c r="AQ17" s="43">
        <v>0</v>
      </c>
    </row>
    <row r="18" s="38" customFormat="1" ht="22.5" hidden="1" customHeight="1" spans="12:43">
      <c r="L18" s="48"/>
      <c r="M18" s="39"/>
      <c r="N18" s="39"/>
      <c r="O18" s="1060" t="s">
        <v>413</v>
      </c>
      <c r="P18" s="39"/>
      <c r="Q18" s="1051"/>
      <c r="R18" s="1051"/>
      <c r="S18" s="47"/>
      <c r="Y18" s="1060"/>
      <c r="AA18" s="1060"/>
      <c r="AF18" s="1060"/>
      <c r="AH18" s="1060"/>
      <c r="AL18" s="44"/>
      <c r="AM18" s="44"/>
      <c r="AN18" s="44"/>
      <c r="AO18" s="44"/>
      <c r="AP18" s="44"/>
      <c r="AQ18" s="38">
        <v>0</v>
      </c>
    </row>
    <row r="19" s="38" customFormat="1" hidden="1" customHeight="1" spans="12:43">
      <c r="L19" s="48"/>
      <c r="M19" s="39"/>
      <c r="N19" s="39"/>
      <c r="O19" s="39"/>
      <c r="P19" s="39"/>
      <c r="Q19" s="1051"/>
      <c r="R19" s="1051"/>
      <c r="S19" s="47"/>
      <c r="AL19" s="44"/>
      <c r="AM19" s="44"/>
      <c r="AN19" s="44"/>
      <c r="AO19" s="44"/>
      <c r="AP19" s="44"/>
      <c r="AQ19" s="38">
        <v>0</v>
      </c>
    </row>
    <row r="20" s="38" customFormat="1" ht="12" hidden="1" customHeight="1" spans="12:43">
      <c r="L20" s="48"/>
      <c r="M20" s="39"/>
      <c r="N20" s="39"/>
      <c r="O20" s="1054" t="s">
        <v>414</v>
      </c>
      <c r="P20" s="39"/>
      <c r="Q20" s="1129"/>
      <c r="R20" s="1129"/>
      <c r="S20" s="47"/>
      <c r="T20" s="38" t="s">
        <v>415</v>
      </c>
      <c r="Z20" s="45" t="s">
        <v>416</v>
      </c>
      <c r="AB20" s="45" t="s">
        <v>417</v>
      </c>
      <c r="AC20" s="38" t="s">
        <v>415</v>
      </c>
      <c r="AG20" s="45" t="s">
        <v>418</v>
      </c>
      <c r="AI20" s="45" t="s">
        <v>417</v>
      </c>
      <c r="AQ20" s="38">
        <v>0</v>
      </c>
    </row>
    <row r="21" hidden="1" customHeight="1" spans="15:43">
      <c r="O21" s="1054"/>
      <c r="AQ21" s="43">
        <v>0</v>
      </c>
    </row>
    <row r="22" hidden="1" customHeight="1" spans="15:43">
      <c r="O22" s="1054"/>
      <c r="AQ22" s="43">
        <v>0</v>
      </c>
    </row>
    <row r="23" ht="14.7" customHeight="1" spans="17:43">
      <c r="Q23" s="51"/>
      <c r="R23" s="51"/>
      <c r="S23" s="52"/>
      <c r="T23" s="53"/>
      <c r="U23" s="53"/>
      <c r="AQ23" s="43">
        <v>14</v>
      </c>
    </row>
    <row r="24" ht="14.7" customHeight="1" spans="17:43">
      <c r="Q24" s="51"/>
      <c r="R24" s="51"/>
      <c r="S24" s="7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755"/>
      <c r="U24" s="755"/>
      <c r="V24" s="755"/>
      <c r="W24" s="755"/>
      <c r="X24" s="755"/>
      <c r="Y24" s="755"/>
      <c r="Z24" s="755"/>
      <c r="AA24" s="755"/>
      <c r="AB24" s="755"/>
      <c r="AC24" s="755"/>
      <c r="AD24" s="755"/>
      <c r="AE24" s="755"/>
      <c r="AF24" s="755"/>
      <c r="AG24" s="755"/>
      <c r="AH24" s="755"/>
      <c r="AI24" s="121"/>
      <c r="AQ24" s="43">
        <v>14</v>
      </c>
    </row>
    <row r="25" ht="14.7" customHeight="1" spans="17:43">
      <c r="Q25" s="51"/>
      <c r="R25" s="51"/>
      <c r="S25" s="660" t="str">
        <f>IF(org=0,"Не определено",org)</f>
        <v>АО "Теплокоммунэнерго"</v>
      </c>
      <c r="T25" s="660"/>
      <c r="U25" s="660"/>
      <c r="V25" s="660"/>
      <c r="W25" s="660"/>
      <c r="X25" s="660"/>
      <c r="Y25" s="660"/>
      <c r="Z25" s="660"/>
      <c r="AA25" s="660"/>
      <c r="AB25" s="660"/>
      <c r="AC25" s="660"/>
      <c r="AD25" s="660"/>
      <c r="AE25" s="660"/>
      <c r="AF25" s="660"/>
      <c r="AG25" s="660"/>
      <c r="AH25" s="660"/>
      <c r="AI25" s="121"/>
      <c r="AQ25" s="43">
        <v>14</v>
      </c>
    </row>
    <row r="26" hidden="1" customHeight="1" spans="17:43">
      <c r="Q26" s="51"/>
      <c r="R26" s="51"/>
      <c r="S26" s="52"/>
      <c r="T26" s="53"/>
      <c r="U26" s="53"/>
      <c r="V26" s="56"/>
      <c r="W26" s="56"/>
      <c r="X26" s="56"/>
      <c r="Y26" s="56"/>
      <c r="Z26" s="56"/>
      <c r="AA26" s="56"/>
      <c r="AB26" s="56"/>
      <c r="AC26" s="56"/>
      <c r="AD26" s="56"/>
      <c r="AE26" s="56"/>
      <c r="AF26" s="56"/>
      <c r="AG26" s="56"/>
      <c r="AH26" s="56"/>
      <c r="AI26" s="56"/>
      <c r="AQ26" s="43">
        <v>0</v>
      </c>
    </row>
    <row r="27" s="36" customFormat="1" ht="25.5" hidden="1" customHeight="1" spans="1:43">
      <c r="A27" s="45"/>
      <c r="B27" s="45"/>
      <c r="C27" s="45"/>
      <c r="D27" s="45"/>
      <c r="E27" s="45"/>
      <c r="F27" s="45"/>
      <c r="G27" s="45"/>
      <c r="H27" s="45"/>
      <c r="I27" s="45"/>
      <c r="J27" s="45"/>
      <c r="K27" s="45"/>
      <c r="L27" s="1054"/>
      <c r="M27" s="45"/>
      <c r="N27" s="45"/>
      <c r="O27" s="45"/>
      <c r="S27"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58"/>
      <c r="U27" s="1088"/>
      <c r="V27" s="60" t="str">
        <f>IF(TITLE_NAME_OR_PR_CHANGE="",IF(TITLE_NAME_OR_PR="","",TITLE_NAME_OR_PR),TITLE_NAME_OR_PR_CHANGE)</f>
        <v/>
      </c>
      <c r="W27" s="60"/>
      <c r="X27" s="60"/>
      <c r="Y27" s="60"/>
      <c r="Z27" s="60"/>
      <c r="AA27" s="60"/>
      <c r="AB27" s="43"/>
      <c r="AC27" s="60" t="str">
        <f>IF(TITLE_NAME_OR_PR_CHANGE="",IF(TITLE_NAME_OR_PR="","",TITLE_NAME_OR_PR),TITLE_NAME_OR_PR_CHANGE)</f>
        <v/>
      </c>
      <c r="AD27" s="60"/>
      <c r="AE27" s="60"/>
      <c r="AF27" s="60"/>
      <c r="AG27" s="60"/>
      <c r="AH27" s="60"/>
      <c r="AI27" s="43"/>
      <c r="AJ27" s="43"/>
      <c r="AK27" s="122"/>
      <c r="AL27" s="151"/>
      <c r="AM27" s="151"/>
      <c r="AN27" s="151"/>
      <c r="AO27" s="151"/>
      <c r="AP27" s="151"/>
      <c r="AQ27" s="36">
        <v>0</v>
      </c>
    </row>
    <row r="28" s="36" customFormat="1" ht="18.75" hidden="1" customHeight="1" spans="1:43">
      <c r="A28" s="45"/>
      <c r="B28" s="45"/>
      <c r="C28" s="45"/>
      <c r="D28" s="45"/>
      <c r="E28" s="45"/>
      <c r="F28" s="45"/>
      <c r="G28" s="45"/>
      <c r="H28" s="45"/>
      <c r="I28" s="45"/>
      <c r="J28" s="45"/>
      <c r="K28" s="45"/>
      <c r="L28" s="1054"/>
      <c r="M28" s="45"/>
      <c r="N28" s="45"/>
      <c r="O28" s="45"/>
      <c r="S28" s="58" t="str">
        <f>"Дата документа об "&amp;IF(TITLE_DATE_PR_CHANGE="","утверждении","изменении")&amp;" тарифов"</f>
        <v>Дата документа об утверждении тарифов</v>
      </c>
      <c r="T28" s="58"/>
      <c r="U28" s="1088"/>
      <c r="V28" s="793" t="str">
        <f>IF(TITLE_DATE_PR_CHANGE="",IF(TITLE_DATE_PR="","",TITLE_DATE_PR),TITLE_DATE_PR_CHANGE)</f>
        <v/>
      </c>
      <c r="W28" s="793"/>
      <c r="X28" s="793"/>
      <c r="Y28" s="793"/>
      <c r="Z28" s="793"/>
      <c r="AA28" s="793"/>
      <c r="AB28" s="43"/>
      <c r="AC28" s="793" t="str">
        <f>IF(TITLE_DATE_PR_CHANGE="",IF(TITLE_DATE_PR="","",TITLE_DATE_PR),TITLE_DATE_PR_CHANGE)</f>
        <v/>
      </c>
      <c r="AD28" s="793"/>
      <c r="AE28" s="793"/>
      <c r="AF28" s="793"/>
      <c r="AG28" s="793"/>
      <c r="AH28" s="793"/>
      <c r="AI28" s="43"/>
      <c r="AJ28" s="43"/>
      <c r="AK28" s="122"/>
      <c r="AL28" s="151"/>
      <c r="AM28" s="151"/>
      <c r="AN28" s="151"/>
      <c r="AO28" s="151"/>
      <c r="AP28" s="151"/>
      <c r="AQ28" s="36">
        <v>0</v>
      </c>
    </row>
    <row r="29" s="36" customFormat="1" ht="18.75" hidden="1" customHeight="1" spans="1:43">
      <c r="A29" s="45"/>
      <c r="B29" s="45"/>
      <c r="C29" s="45"/>
      <c r="D29" s="45"/>
      <c r="E29" s="45"/>
      <c r="F29" s="45"/>
      <c r="G29" s="45"/>
      <c r="H29" s="45"/>
      <c r="I29" s="45"/>
      <c r="J29" s="45"/>
      <c r="K29" s="45"/>
      <c r="L29" s="1054"/>
      <c r="M29" s="45"/>
      <c r="N29" s="45"/>
      <c r="O29" s="45"/>
      <c r="S29" s="58" t="str">
        <f>"Номер документа об "&amp;IF(TITLE_DATE_PR_CHANGE="","утверждении","изменении")&amp;" тарифов"</f>
        <v>Номер документа об утверждении тарифов</v>
      </c>
      <c r="T29" s="58"/>
      <c r="U29" s="1088"/>
      <c r="V29" s="60" t="str">
        <f>IF(TITLE_NUMBER_PR_CHANGE="",IF(TITLE_NUMBER_PR="","",TITLE_NUMBER_PR),TITLE_NUMBER_PR_CHANGE)</f>
        <v/>
      </c>
      <c r="W29" s="60"/>
      <c r="X29" s="60"/>
      <c r="Y29" s="60"/>
      <c r="Z29" s="60"/>
      <c r="AA29" s="60"/>
      <c r="AB29" s="43"/>
      <c r="AC29" s="60" t="str">
        <f>IF(TITLE_NUMBER_PR_CHANGE="",IF(TITLE_NUMBER_PR="","",TITLE_NUMBER_PR),TITLE_NUMBER_PR_CHANGE)</f>
        <v/>
      </c>
      <c r="AD29" s="60"/>
      <c r="AE29" s="60"/>
      <c r="AF29" s="60"/>
      <c r="AG29" s="60"/>
      <c r="AH29" s="60"/>
      <c r="AI29" s="43"/>
      <c r="AJ29" s="43"/>
      <c r="AK29" s="122"/>
      <c r="AL29" s="151"/>
      <c r="AM29" s="151"/>
      <c r="AN29" s="151"/>
      <c r="AO29" s="151"/>
      <c r="AP29" s="151"/>
      <c r="AQ29" s="36">
        <v>0</v>
      </c>
    </row>
    <row r="30" s="36" customFormat="1" ht="18.75" hidden="1" customHeight="1" spans="1:43">
      <c r="A30" s="45"/>
      <c r="B30" s="45"/>
      <c r="C30" s="45"/>
      <c r="D30" s="45"/>
      <c r="E30" s="45"/>
      <c r="F30" s="45"/>
      <c r="G30" s="45"/>
      <c r="H30" s="45"/>
      <c r="I30" s="45"/>
      <c r="J30" s="45"/>
      <c r="K30" s="45"/>
      <c r="L30" s="1054"/>
      <c r="M30" s="45"/>
      <c r="N30" s="45"/>
      <c r="O30" s="45"/>
      <c r="S30" s="58" t="s">
        <v>43</v>
      </c>
      <c r="T30" s="58"/>
      <c r="U30" s="1088"/>
      <c r="V30" s="60" t="str">
        <f>IF(TITLE_IST_PUB_CHANGE="",IF(TITLE_IST_PUB="","",TITLE_IST_PUB),TITLE_IST_PUB_CHANGE)</f>
        <v/>
      </c>
      <c r="W30" s="60"/>
      <c r="X30" s="60"/>
      <c r="Y30" s="60"/>
      <c r="Z30" s="60"/>
      <c r="AA30" s="60"/>
      <c r="AB30" s="43"/>
      <c r="AC30" s="60" t="str">
        <f>IF(TITLE_IST_PUB_CHANGE="",IF(TITLE_IST_PUB="","",TITLE_IST_PUB),TITLE_IST_PUB_CHANGE)</f>
        <v/>
      </c>
      <c r="AD30" s="60"/>
      <c r="AE30" s="60"/>
      <c r="AF30" s="60"/>
      <c r="AG30" s="60"/>
      <c r="AH30" s="60"/>
      <c r="AI30" s="43"/>
      <c r="AJ30" s="43"/>
      <c r="AK30" s="122"/>
      <c r="AL30" s="151"/>
      <c r="AM30" s="151"/>
      <c r="AN30" s="151"/>
      <c r="AO30" s="151"/>
      <c r="AP30" s="151"/>
      <c r="AQ30" s="36">
        <v>0</v>
      </c>
    </row>
    <row r="31" hidden="1" customHeight="1" spans="17:43">
      <c r="Q31" s="51"/>
      <c r="R31" s="51"/>
      <c r="S31" s="52"/>
      <c r="T31" s="53"/>
      <c r="U31" s="53"/>
      <c r="V31" s="56"/>
      <c r="W31" s="56"/>
      <c r="X31" s="56"/>
      <c r="Y31" s="56"/>
      <c r="Z31" s="56"/>
      <c r="AA31" s="56"/>
      <c r="AB31" s="56"/>
      <c r="AC31" s="56"/>
      <c r="AD31" s="56"/>
      <c r="AE31" s="56"/>
      <c r="AF31" s="56"/>
      <c r="AG31" s="56"/>
      <c r="AH31" s="56"/>
      <c r="AI31" s="56"/>
      <c r="AQ31" s="43">
        <v>0</v>
      </c>
    </row>
    <row r="32" s="36" customFormat="1" ht="18.75" hidden="1" customHeight="1" spans="1:43">
      <c r="A32" s="45"/>
      <c r="B32" s="45"/>
      <c r="C32" s="45"/>
      <c r="D32" s="45"/>
      <c r="E32" s="45"/>
      <c r="F32" s="45"/>
      <c r="G32" s="45"/>
      <c r="H32" s="45"/>
      <c r="I32" s="45"/>
      <c r="J32" s="45"/>
      <c r="K32" s="45"/>
      <c r="L32" s="1054"/>
      <c r="M32" s="45"/>
      <c r="N32" s="45"/>
      <c r="O32" s="45"/>
      <c r="S32" s="58" t="str">
        <f>"Дата подачи заявления об "&amp;IF(TITLE_DATE_PR_CHANGE="","утверждении","изменении")&amp;" тарифов"</f>
        <v>Дата подачи заявления об утверждении тарифов</v>
      </c>
      <c r="T32" s="58"/>
      <c r="U32" s="1088"/>
      <c r="V32" s="793" t="str">
        <f>IF(TITLE_DATE_PR_CHANGE="",IF(TITLE_DATE_PR="","",TITLE_DATE_PR),TITLE_DATE_PR_CHANGE)</f>
        <v/>
      </c>
      <c r="W32" s="793"/>
      <c r="X32" s="793"/>
      <c r="Y32" s="793"/>
      <c r="Z32" s="793"/>
      <c r="AA32" s="793"/>
      <c r="AB32" s="43"/>
      <c r="AC32" s="793" t="str">
        <f>IF(TITLE_DATE_PR_CHANGE="",IF(TITLE_DATE_PR="","",TITLE_DATE_PR),TITLE_DATE_PR_CHANGE)</f>
        <v/>
      </c>
      <c r="AD32" s="793"/>
      <c r="AE32" s="793"/>
      <c r="AF32" s="793"/>
      <c r="AG32" s="793"/>
      <c r="AH32" s="793"/>
      <c r="AI32" s="43"/>
      <c r="AJ32" s="43"/>
      <c r="AK32" s="122"/>
      <c r="AL32" s="151"/>
      <c r="AM32" s="151"/>
      <c r="AN32" s="151"/>
      <c r="AO32" s="151"/>
      <c r="AP32" s="151"/>
      <c r="AQ32" s="36">
        <v>0</v>
      </c>
    </row>
    <row r="33" s="36" customFormat="1" ht="18.75" hidden="1" customHeight="1" spans="1:43">
      <c r="A33" s="45"/>
      <c r="B33" s="45"/>
      <c r="C33" s="45"/>
      <c r="D33" s="45"/>
      <c r="E33" s="45"/>
      <c r="F33" s="45"/>
      <c r="G33" s="45"/>
      <c r="H33" s="45"/>
      <c r="I33" s="45"/>
      <c r="J33" s="45"/>
      <c r="K33" s="45"/>
      <c r="L33" s="1054"/>
      <c r="M33" s="45"/>
      <c r="N33" s="45"/>
      <c r="O33" s="45"/>
      <c r="S33" s="58" t="str">
        <f>"Номер подачи заявления об "&amp;IF(TITLE_DATE_PR_CHANGE="","утверждении","изменении")&amp;" тарифов"</f>
        <v>Номер подачи заявления об утверждении тарифов</v>
      </c>
      <c r="T33" s="58"/>
      <c r="U33" s="1088"/>
      <c r="V33" s="60" t="str">
        <f>IF(TITLE_NUMBER_PR_CHANGE="",IF(TITLE_NUMBER_PR="","",TITLE_NUMBER_PR),TITLE_NUMBER_PR_CHANGE)</f>
        <v/>
      </c>
      <c r="W33" s="60"/>
      <c r="X33" s="60"/>
      <c r="Y33" s="60"/>
      <c r="Z33" s="60"/>
      <c r="AA33" s="60"/>
      <c r="AB33" s="43"/>
      <c r="AC33" s="60" t="str">
        <f>IF(TITLE_NUMBER_PR_CHANGE="",IF(TITLE_NUMBER_PR="","",TITLE_NUMBER_PR),TITLE_NUMBER_PR_CHANGE)</f>
        <v/>
      </c>
      <c r="AD33" s="60"/>
      <c r="AE33" s="60"/>
      <c r="AF33" s="60"/>
      <c r="AG33" s="60"/>
      <c r="AH33" s="60"/>
      <c r="AI33" s="43"/>
      <c r="AJ33" s="43"/>
      <c r="AK33" s="122"/>
      <c r="AL33" s="151"/>
      <c r="AM33" s="151"/>
      <c r="AN33" s="151"/>
      <c r="AO33" s="151"/>
      <c r="AP33" s="151"/>
      <c r="AQ33" s="36">
        <v>0</v>
      </c>
    </row>
    <row r="34" s="36" customFormat="1" ht="1.05" customHeight="1" spans="1:43">
      <c r="A34" s="45"/>
      <c r="B34" s="45"/>
      <c r="C34" s="45"/>
      <c r="D34" s="45"/>
      <c r="E34" s="45"/>
      <c r="F34" s="45"/>
      <c r="G34" s="45"/>
      <c r="H34" s="45"/>
      <c r="I34" s="45"/>
      <c r="J34" s="45"/>
      <c r="K34" s="45"/>
      <c r="L34" s="1054"/>
      <c r="M34" s="45"/>
      <c r="N34" s="45"/>
      <c r="O34" s="45"/>
      <c r="S34" s="43"/>
      <c r="T34" s="43"/>
      <c r="U34" s="61"/>
      <c r="V34" s="43"/>
      <c r="W34" s="43"/>
      <c r="X34" s="43"/>
      <c r="Y34" s="43"/>
      <c r="Z34" s="43"/>
      <c r="AA34" s="43"/>
      <c r="AB34" s="44" t="s">
        <v>419</v>
      </c>
      <c r="AC34" s="43"/>
      <c r="AD34" s="43"/>
      <c r="AE34" s="43"/>
      <c r="AF34" s="43"/>
      <c r="AG34" s="43"/>
      <c r="AH34" s="43"/>
      <c r="AI34" s="44" t="s">
        <v>419</v>
      </c>
      <c r="AL34" s="151"/>
      <c r="AM34" s="151"/>
      <c r="AN34" s="151"/>
      <c r="AO34" s="151"/>
      <c r="AP34" s="151"/>
      <c r="AQ34" s="36">
        <v>1</v>
      </c>
    </row>
    <row r="35" ht="14.7" customHeight="1" spans="17:43">
      <c r="Q35" s="51"/>
      <c r="R35" s="51"/>
      <c r="S35" s="52"/>
      <c r="T35" s="53"/>
      <c r="U35" s="62"/>
      <c r="V35" s="63"/>
      <c r="W35" s="63"/>
      <c r="X35" s="63"/>
      <c r="Y35" s="63"/>
      <c r="Z35" s="63"/>
      <c r="AA35" s="63"/>
      <c r="AB35" s="63"/>
      <c r="AC35" s="63"/>
      <c r="AD35" s="63"/>
      <c r="AE35" s="63"/>
      <c r="AF35" s="63"/>
      <c r="AG35" s="63"/>
      <c r="AH35" s="63"/>
      <c r="AI35" s="63"/>
      <c r="AQ35" s="43">
        <v>14</v>
      </c>
    </row>
    <row r="36" ht="14.7" customHeight="1" spans="17:43">
      <c r="Q36" s="51"/>
      <c r="R36" s="51"/>
      <c r="S36" s="64" t="s">
        <v>296</v>
      </c>
      <c r="T36" s="64"/>
      <c r="U36" s="64"/>
      <c r="V36" s="64"/>
      <c r="W36" s="64"/>
      <c r="X36" s="64"/>
      <c r="Y36" s="64"/>
      <c r="Z36" s="64"/>
      <c r="AA36" s="64"/>
      <c r="AB36" s="64"/>
      <c r="AC36" s="64"/>
      <c r="AD36" s="64"/>
      <c r="AE36" s="64"/>
      <c r="AF36" s="64"/>
      <c r="AG36" s="64"/>
      <c r="AH36" s="64"/>
      <c r="AI36" s="64"/>
      <c r="AJ36" s="64"/>
      <c r="AK36" s="64" t="s">
        <v>297</v>
      </c>
      <c r="AQ36" s="43">
        <v>14</v>
      </c>
    </row>
    <row r="37" ht="14.7" customHeight="1" spans="17:43">
      <c r="Q37" s="51"/>
      <c r="R37" s="51"/>
      <c r="S37" s="65" t="s">
        <v>89</v>
      </c>
      <c r="T37" s="66" t="s">
        <v>420</v>
      </c>
      <c r="U37" s="67"/>
      <c r="V37" s="68" t="s">
        <v>421</v>
      </c>
      <c r="W37" s="69"/>
      <c r="X37" s="69"/>
      <c r="Y37" s="69"/>
      <c r="Z37" s="69"/>
      <c r="AA37" s="123"/>
      <c r="AB37" s="124" t="s">
        <v>422</v>
      </c>
      <c r="AC37" s="68" t="s">
        <v>421</v>
      </c>
      <c r="AD37" s="69"/>
      <c r="AE37" s="69"/>
      <c r="AF37" s="69"/>
      <c r="AG37" s="69"/>
      <c r="AH37" s="123"/>
      <c r="AI37" s="124" t="s">
        <v>423</v>
      </c>
      <c r="AJ37" s="125" t="s">
        <v>424</v>
      </c>
      <c r="AK37" s="64"/>
      <c r="AQ37" s="43">
        <v>14</v>
      </c>
    </row>
    <row r="38" ht="35.7" customHeight="1" spans="17:43">
      <c r="Q38" s="51"/>
      <c r="R38" s="51"/>
      <c r="S38" s="65"/>
      <c r="T38" s="66"/>
      <c r="U38" s="70"/>
      <c r="V38" s="71" t="s">
        <v>483</v>
      </c>
      <c r="W38" s="126" t="s">
        <v>427</v>
      </c>
      <c r="X38" s="127"/>
      <c r="Y38" s="126" t="s">
        <v>428</v>
      </c>
      <c r="Z38" s="128"/>
      <c r="AA38" s="127"/>
      <c r="AB38" s="129"/>
      <c r="AC38" s="71" t="s">
        <v>483</v>
      </c>
      <c r="AD38" s="126" t="s">
        <v>427</v>
      </c>
      <c r="AE38" s="127"/>
      <c r="AF38" s="126" t="s">
        <v>428</v>
      </c>
      <c r="AG38" s="128"/>
      <c r="AH38" s="127"/>
      <c r="AI38" s="129"/>
      <c r="AJ38" s="130"/>
      <c r="AK38" s="64"/>
      <c r="AQ38" s="43">
        <v>34</v>
      </c>
    </row>
    <row r="39" ht="35.7" customHeight="1" spans="1:43">
      <c r="A39" s="45"/>
      <c r="B39" s="45" t="s">
        <v>133</v>
      </c>
      <c r="C39" s="45" t="s">
        <v>134</v>
      </c>
      <c r="D39" s="45" t="s">
        <v>135</v>
      </c>
      <c r="E39" s="1054" t="s">
        <v>429</v>
      </c>
      <c r="F39" s="1054" t="s">
        <v>430</v>
      </c>
      <c r="G39" s="1054" t="s">
        <v>431</v>
      </c>
      <c r="H39" s="1054"/>
      <c r="I39" s="1054" t="s">
        <v>484</v>
      </c>
      <c r="J39" s="1054" t="s">
        <v>434</v>
      </c>
      <c r="K39" s="1054" t="s">
        <v>485</v>
      </c>
      <c r="L39" s="1054" t="s">
        <v>414</v>
      </c>
      <c r="Q39" s="51"/>
      <c r="R39" s="51"/>
      <c r="S39" s="65"/>
      <c r="T39" s="66"/>
      <c r="U39" s="72"/>
      <c r="V39" s="71" t="s">
        <v>486</v>
      </c>
      <c r="W39" s="131" t="s">
        <v>487</v>
      </c>
      <c r="X39" s="131" t="s">
        <v>488</v>
      </c>
      <c r="Y39" s="131" t="s">
        <v>438</v>
      </c>
      <c r="Z39" s="132" t="s">
        <v>439</v>
      </c>
      <c r="AA39" s="133"/>
      <c r="AB39" s="134"/>
      <c r="AC39" s="71" t="s">
        <v>486</v>
      </c>
      <c r="AD39" s="131" t="s">
        <v>487</v>
      </c>
      <c r="AE39" s="131" t="s">
        <v>488</v>
      </c>
      <c r="AF39" s="131" t="s">
        <v>438</v>
      </c>
      <c r="AG39" s="132" t="s">
        <v>439</v>
      </c>
      <c r="AH39" s="133"/>
      <c r="AI39" s="134"/>
      <c r="AJ39" s="135"/>
      <c r="AK39" s="64"/>
      <c r="AQ39" s="43">
        <v>34</v>
      </c>
    </row>
    <row r="40" s="37" customFormat="1" ht="11.25" hidden="1" customHeight="1" spans="1:43">
      <c r="A40" s="45"/>
      <c r="B40" s="45"/>
      <c r="C40" s="45"/>
      <c r="D40" s="45"/>
      <c r="E40" s="45"/>
      <c r="F40" s="45"/>
      <c r="G40" s="45"/>
      <c r="H40" s="45"/>
      <c r="I40" s="45"/>
      <c r="J40" s="45"/>
      <c r="K40" s="45"/>
      <c r="L40" s="1054"/>
      <c r="M40" s="39"/>
      <c r="N40" s="39"/>
      <c r="O40" s="39"/>
      <c r="P40" s="74"/>
      <c r="Q40" s="75"/>
      <c r="R40" s="76">
        <v>1</v>
      </c>
      <c r="S40" s="77" t="s">
        <v>107</v>
      </c>
      <c r="T40" s="78" t="s">
        <v>108</v>
      </c>
      <c r="U40" s="79" t="str">
        <f ca="1">OFFSET(U40,0,-1)</f>
        <v>2</v>
      </c>
      <c r="V40" s="80">
        <f ca="1">OFFSET(V40,0,-1)+1</f>
        <v>3</v>
      </c>
      <c r="W40" s="80">
        <f ca="1">OFFSET(W40,0,-1)+1</f>
        <v>4</v>
      </c>
      <c r="X40" s="80">
        <f ca="1">OFFSET(X40,0,-1)+1</f>
        <v>5</v>
      </c>
      <c r="Y40" s="80">
        <f ca="1">OFFSET(Y40,0,-1)+1</f>
        <v>6</v>
      </c>
      <c r="Z40" s="80">
        <f ca="1">OFFSET(Z40,0,-1)+1</f>
        <v>7</v>
      </c>
      <c r="AA40" s="80"/>
      <c r="AB40" s="80">
        <f ca="1">OFFSET(AB40,0,-2)+1</f>
        <v>8</v>
      </c>
      <c r="AC40" s="80">
        <f ca="1">OFFSET(AC40,0,-1)+1</f>
        <v>9</v>
      </c>
      <c r="AD40" s="80">
        <f ca="1">OFFSET(AD40,0,-1)+1</f>
        <v>10</v>
      </c>
      <c r="AE40" s="80">
        <f ca="1">OFFSET(AE40,0,-1)+1</f>
        <v>11</v>
      </c>
      <c r="AF40" s="80">
        <f ca="1">OFFSET(AF40,0,-1)+1</f>
        <v>12</v>
      </c>
      <c r="AG40" s="80">
        <f ca="1">OFFSET(AG40,0,-1)+1</f>
        <v>13</v>
      </c>
      <c r="AH40" s="80"/>
      <c r="AI40" s="80">
        <f ca="1">OFFSET(AI40,0,-2)+1</f>
        <v>14</v>
      </c>
      <c r="AJ40" s="79">
        <f ca="1">OFFSET(AJ40,0,-1)</f>
        <v>14</v>
      </c>
      <c r="AK40" s="80">
        <f ca="1">OFFSET(AK40,0,-1)+1</f>
        <v>15</v>
      </c>
      <c r="AL40" s="44"/>
      <c r="AM40" s="44"/>
      <c r="AN40" s="44"/>
      <c r="AO40" s="44"/>
      <c r="AP40" s="44"/>
      <c r="AQ40" s="37">
        <v>0</v>
      </c>
    </row>
    <row r="41" ht="24" customHeight="1" spans="1:43">
      <c r="A41" s="46" t="s">
        <v>222</v>
      </c>
      <c r="B41" s="46"/>
      <c r="C41" s="46"/>
      <c r="D41" s="46"/>
      <c r="E41" s="1052">
        <v>1</v>
      </c>
      <c r="F41" s="46"/>
      <c r="G41" s="46"/>
      <c r="H41" s="46"/>
      <c r="I41" s="46"/>
      <c r="J41" s="46"/>
      <c r="K41" s="46"/>
      <c r="L41" s="1054"/>
      <c r="M41" s="47"/>
      <c r="N41" s="47"/>
      <c r="O41" s="47"/>
      <c r="Q41" s="81"/>
      <c r="R41" s="82"/>
      <c r="S41" s="65">
        <f>INDEX(PT_DIFFERENTIATION_NUM_NTAR,MATCH(A41,PT_DIFFERENTIATION_NTAR_ID,0))</f>
        <v>0</v>
      </c>
      <c r="T41" s="83" t="s">
        <v>121</v>
      </c>
      <c r="U41" s="84"/>
      <c r="V41" s="1090"/>
      <c r="W41" s="1061"/>
      <c r="X41" s="1061"/>
      <c r="Y41" s="1061"/>
      <c r="Z41" s="1061"/>
      <c r="AA41" s="1061"/>
      <c r="AB41" s="1089"/>
      <c r="AC41" s="1090" t="str">
        <f>INDEX(PT_DIFFERENTIATION_NTAR,MATCH(A41,PT_DIFFERENTIATION_NTAR_ID,0))</f>
        <v/>
      </c>
      <c r="AD41" s="1061"/>
      <c r="AE41" s="1061"/>
      <c r="AF41" s="1061"/>
      <c r="AG41" s="1061"/>
      <c r="AH41" s="1061"/>
      <c r="AI41" s="1061"/>
      <c r="AJ41" s="1089"/>
      <c r="AK41"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51"/>
      <c r="AN41" s="151" t="str">
        <f t="shared" ref="AN41:AN53" si="1">IF(T41="","",T41)</f>
        <v>Наименование тарифа</v>
      </c>
      <c r="AO41" s="151"/>
      <c r="AP41" s="151"/>
      <c r="AQ41" s="43">
        <v>23</v>
      </c>
    </row>
    <row r="42" ht="24" customHeight="1" spans="1:43">
      <c r="A42" s="46" t="s">
        <v>222</v>
      </c>
      <c r="B42" s="46" t="s">
        <v>223</v>
      </c>
      <c r="C42" s="46"/>
      <c r="D42" s="46"/>
      <c r="E42" s="1053"/>
      <c r="F42" s="1052">
        <v>1</v>
      </c>
      <c r="G42" s="46"/>
      <c r="H42" s="46"/>
      <c r="I42" s="46"/>
      <c r="J42" s="46"/>
      <c r="K42" s="46"/>
      <c r="L42" s="1054"/>
      <c r="M42" s="47"/>
      <c r="N42" s="47"/>
      <c r="O42" s="47"/>
      <c r="P42" s="86"/>
      <c r="Q42" s="87"/>
      <c r="R42" s="88"/>
      <c r="S42" s="65" t="str">
        <f>INDEX(PT_DIFFERENTIATION_NUM_TER,MATCH(B42,PT_DIFFERENTIATION_TER_ID,0))</f>
        <v>.</v>
      </c>
      <c r="T42" s="89" t="s">
        <v>393</v>
      </c>
      <c r="U42" s="84"/>
      <c r="V42" s="1090"/>
      <c r="W42" s="1061"/>
      <c r="X42" s="1061"/>
      <c r="Y42" s="1061"/>
      <c r="Z42" s="1061"/>
      <c r="AA42" s="1061"/>
      <c r="AB42" s="1089"/>
      <c r="AC42" s="1090" t="str">
        <f>INDEX(PT_DIFFERENTIATION_TER,MATCH(B42,PT_DIFFERENTIATION_TER_ID,0))</f>
        <v/>
      </c>
      <c r="AD42" s="1061"/>
      <c r="AE42" s="1061"/>
      <c r="AF42" s="1061"/>
      <c r="AG42" s="1061"/>
      <c r="AH42" s="1061"/>
      <c r="AI42" s="1061"/>
      <c r="AJ42" s="1089"/>
      <c r="AK42" s="136" t="s">
        <v>394</v>
      </c>
      <c r="AM42" s="151"/>
      <c r="AN42" s="151" t="str">
        <f t="shared" si="1"/>
        <v>Территория действия тарифа</v>
      </c>
      <c r="AO42" s="151"/>
      <c r="AP42" s="151"/>
      <c r="AQ42" s="43">
        <v>23</v>
      </c>
    </row>
    <row r="43" ht="24" customHeight="1" spans="1:43">
      <c r="A43" s="46" t="s">
        <v>222</v>
      </c>
      <c r="B43" s="46" t="s">
        <v>223</v>
      </c>
      <c r="C43" s="46" t="s">
        <v>224</v>
      </c>
      <c r="D43" s="46"/>
      <c r="E43" s="1053"/>
      <c r="F43" s="1053"/>
      <c r="G43" s="1052">
        <v>1</v>
      </c>
      <c r="H43" s="46"/>
      <c r="I43" s="46"/>
      <c r="J43" s="46"/>
      <c r="K43" s="46"/>
      <c r="L43" s="1054"/>
      <c r="M43" s="47"/>
      <c r="N43" s="47"/>
      <c r="O43" s="47"/>
      <c r="P43" s="90"/>
      <c r="Q43" s="87"/>
      <c r="R43" s="88"/>
      <c r="S43" s="65" t="str">
        <f>INDEX(PT_DIFFERENTIATION_NUM_CS,MATCH(C43,PT_DIFFERENTIATION_CS_ID,0))</f>
        <v>..</v>
      </c>
      <c r="T43" s="91" t="s">
        <v>475</v>
      </c>
      <c r="U43" s="84"/>
      <c r="V43" s="1090"/>
      <c r="W43" s="1061"/>
      <c r="X43" s="1061"/>
      <c r="Y43" s="1061"/>
      <c r="Z43" s="1061"/>
      <c r="AA43" s="1061"/>
      <c r="AB43" s="1089"/>
      <c r="AC43" s="1090" t="str">
        <f>INDEX(PT_DIFFERENTIATION_CS,MATCH(C43,PT_DIFFERENTIATION_CS_ID,0))</f>
        <v/>
      </c>
      <c r="AD43" s="1061"/>
      <c r="AE43" s="1061"/>
      <c r="AF43" s="1061"/>
      <c r="AG43" s="1061"/>
      <c r="AH43" s="1061"/>
      <c r="AI43" s="1061"/>
      <c r="AJ43" s="1089"/>
      <c r="AK43" s="136" t="s">
        <v>476</v>
      </c>
      <c r="AM43" s="151"/>
      <c r="AN43" s="151" t="str">
        <f t="shared" si="1"/>
        <v>Наименование централизованной системы холодного водоснабжения</v>
      </c>
      <c r="AO43" s="151"/>
      <c r="AP43" s="151"/>
      <c r="AQ43" s="43">
        <v>23</v>
      </c>
    </row>
    <row r="44" ht="24" customHeight="1" spans="1:43">
      <c r="A44" s="46" t="s">
        <v>222</v>
      </c>
      <c r="B44" s="46" t="s">
        <v>223</v>
      </c>
      <c r="C44" s="46" t="s">
        <v>224</v>
      </c>
      <c r="D44" s="46" t="s">
        <v>489</v>
      </c>
      <c r="E44" s="1053"/>
      <c r="F44" s="1053"/>
      <c r="G44" s="1053"/>
      <c r="H44" s="1053"/>
      <c r="I44" s="229" t="str">
        <f>S43&amp;".1"</f>
        <v>...1</v>
      </c>
      <c r="J44" s="46"/>
      <c r="K44" s="46"/>
      <c r="L44" s="1054"/>
      <c r="P44" s="93">
        <v>1</v>
      </c>
      <c r="Q44" s="93"/>
      <c r="R44" s="94"/>
      <c r="S44" s="65" t="str">
        <f>$I44</f>
        <v>...1</v>
      </c>
      <c r="T44" s="95" t="s">
        <v>477</v>
      </c>
      <c r="U44" s="84"/>
      <c r="V44" s="1126"/>
      <c r="W44" s="1127"/>
      <c r="X44" s="1127"/>
      <c r="Y44" s="1127"/>
      <c r="Z44" s="1127"/>
      <c r="AA44" s="1127"/>
      <c r="AB44" s="1131"/>
      <c r="AC44" s="831"/>
      <c r="AD44" s="1134"/>
      <c r="AE44" s="1134"/>
      <c r="AF44" s="1134"/>
      <c r="AG44" s="1134"/>
      <c r="AH44" s="1134"/>
      <c r="AI44" s="1134"/>
      <c r="AJ44" s="1135"/>
      <c r="AK44" s="136" t="s">
        <v>478</v>
      </c>
      <c r="AM44" s="151"/>
      <c r="AN44" s="151" t="str">
        <f t="shared" si="1"/>
        <v>Наименование признака дифференциации</v>
      </c>
      <c r="AO44" s="151"/>
      <c r="AP44" s="151"/>
      <c r="AQ44" s="43">
        <v>23</v>
      </c>
    </row>
    <row r="45" ht="24" customHeight="1" spans="1:43">
      <c r="A45" s="46" t="s">
        <v>222</v>
      </c>
      <c r="B45" s="46" t="s">
        <v>223</v>
      </c>
      <c r="C45" s="46" t="s">
        <v>224</v>
      </c>
      <c r="D45" s="46" t="s">
        <v>489</v>
      </c>
      <c r="E45" s="1053"/>
      <c r="F45" s="1053"/>
      <c r="G45" s="1053"/>
      <c r="H45" s="1053"/>
      <c r="I45" s="1058"/>
      <c r="J45" s="229" t="str">
        <f>I44&amp;".1"</f>
        <v>...1.1</v>
      </c>
      <c r="K45" s="46"/>
      <c r="L45" s="1054" t="s">
        <v>402</v>
      </c>
      <c r="P45" s="93"/>
      <c r="Q45" s="93">
        <v>1</v>
      </c>
      <c r="R45" s="97"/>
      <c r="S45" s="65" t="str">
        <f>$J45</f>
        <v>...1.1</v>
      </c>
      <c r="T45" s="98" t="s">
        <v>403</v>
      </c>
      <c r="U45" s="84"/>
      <c r="V45" s="99"/>
      <c r="W45" s="100"/>
      <c r="X45" s="100"/>
      <c r="Y45" s="100"/>
      <c r="Z45" s="100"/>
      <c r="AA45" s="100"/>
      <c r="AB45" s="137"/>
      <c r="AC45" s="99"/>
      <c r="AD45" s="100"/>
      <c r="AE45" s="100"/>
      <c r="AF45" s="100"/>
      <c r="AG45" s="100"/>
      <c r="AH45" s="100"/>
      <c r="AI45" s="100"/>
      <c r="AJ45" s="137"/>
      <c r="AK45" s="1136" t="s">
        <v>479</v>
      </c>
      <c r="AM45" s="151"/>
      <c r="AN45" s="151" t="str">
        <f t="shared" si="1"/>
        <v>Группа потребителей</v>
      </c>
      <c r="AO45" s="151"/>
      <c r="AP45" s="151"/>
      <c r="AQ45" s="43">
        <v>23</v>
      </c>
    </row>
    <row r="46" ht="24" customHeight="1" spans="1:43">
      <c r="A46" s="46" t="s">
        <v>222</v>
      </c>
      <c r="B46" s="46" t="s">
        <v>223</v>
      </c>
      <c r="C46" s="46" t="s">
        <v>224</v>
      </c>
      <c r="D46" s="46" t="s">
        <v>489</v>
      </c>
      <c r="E46" s="1053"/>
      <c r="F46" s="1053"/>
      <c r="G46" s="1053"/>
      <c r="H46" s="1053"/>
      <c r="I46" s="1058"/>
      <c r="J46" s="1058"/>
      <c r="K46" s="229" t="str">
        <f>J45&amp;".1"</f>
        <v>...1.1.1</v>
      </c>
      <c r="L46" s="1054"/>
      <c r="P46" s="93"/>
      <c r="Q46" s="93"/>
      <c r="R46" s="97">
        <v>1</v>
      </c>
      <c r="S46" s="65" t="str">
        <f>$K46</f>
        <v>...1.1.1</v>
      </c>
      <c r="T46" s="1128"/>
      <c r="U46" s="84"/>
      <c r="V46" s="492"/>
      <c r="W46" s="492"/>
      <c r="X46" s="1132"/>
      <c r="Y46" s="1133"/>
      <c r="Z46" s="353" t="s">
        <v>66</v>
      </c>
      <c r="AA46" s="1133"/>
      <c r="AB46" s="353" t="s">
        <v>66</v>
      </c>
      <c r="AC46" s="102"/>
      <c r="AD46" s="102"/>
      <c r="AE46" s="138"/>
      <c r="AF46" s="139"/>
      <c r="AG46" s="140" t="s">
        <v>66</v>
      </c>
      <c r="AH46" s="1137"/>
      <c r="AI46" s="140" t="s">
        <v>19</v>
      </c>
      <c r="AJ46" s="1138"/>
      <c r="AK46"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 t="e">
        <f>STRCHECKDATE(V47:AJ47)</f>
        <v>#NAME?</v>
      </c>
      <c r="AM46" s="151"/>
      <c r="AN46" s="151" t="str">
        <f t="shared" si="1"/>
        <v/>
      </c>
      <c r="AO46" s="151"/>
      <c r="AP46" s="151"/>
      <c r="AQ46" s="43">
        <v>23</v>
      </c>
    </row>
    <row r="47" hidden="1" customHeight="1" spans="1:43">
      <c r="A47" s="46" t="s">
        <v>222</v>
      </c>
      <c r="B47" s="46" t="s">
        <v>223</v>
      </c>
      <c r="C47" s="46" t="s">
        <v>224</v>
      </c>
      <c r="D47" s="46" t="s">
        <v>489</v>
      </c>
      <c r="E47" s="1053"/>
      <c r="F47" s="1053"/>
      <c r="G47" s="1053"/>
      <c r="H47" s="1053"/>
      <c r="I47" s="1058"/>
      <c r="J47" s="1058"/>
      <c r="K47" s="229"/>
      <c r="L47" s="1054"/>
      <c r="P47" s="93"/>
      <c r="Q47" s="93"/>
      <c r="R47" s="97"/>
      <c r="S47" s="104"/>
      <c r="T47" s="84"/>
      <c r="U47" s="84"/>
      <c r="V47" s="492"/>
      <c r="W47" s="492"/>
      <c r="X47" s="142" t="str">
        <f>Y46&amp;"-"&amp;AA46</f>
        <v>-</v>
      </c>
      <c r="Y47" s="353"/>
      <c r="Z47" s="353"/>
      <c r="AA47" s="353"/>
      <c r="AB47" s="353"/>
      <c r="AC47" s="103"/>
      <c r="AD47" s="103"/>
      <c r="AE47" s="142" t="str">
        <f>AF46&amp;"-"&amp;AH46</f>
        <v>-</v>
      </c>
      <c r="AF47" s="143"/>
      <c r="AG47" s="140"/>
      <c r="AH47" s="1140"/>
      <c r="AI47" s="140"/>
      <c r="AJ47" s="768"/>
      <c r="AK47" s="1139"/>
      <c r="AM47" s="151"/>
      <c r="AN47" s="151" t="str">
        <f t="shared" si="1"/>
        <v/>
      </c>
      <c r="AO47" s="151"/>
      <c r="AP47" s="151"/>
      <c r="AQ47" s="43">
        <v>0</v>
      </c>
    </row>
    <row r="48" ht="21" customHeight="1" spans="1:43">
      <c r="A48" s="46" t="s">
        <v>222</v>
      </c>
      <c r="B48" s="46" t="s">
        <v>223</v>
      </c>
      <c r="C48" s="46" t="s">
        <v>224</v>
      </c>
      <c r="D48" s="46" t="s">
        <v>489</v>
      </c>
      <c r="E48" s="1053"/>
      <c r="F48" s="1053"/>
      <c r="G48" s="1053"/>
      <c r="H48" s="1053"/>
      <c r="I48" s="1058"/>
      <c r="J48" s="229"/>
      <c r="K48" s="46"/>
      <c r="L48" s="1054"/>
      <c r="P48" s="93"/>
      <c r="Q48" s="93"/>
      <c r="R48" s="94"/>
      <c r="S48" s="105"/>
      <c r="T48" s="108" t="s">
        <v>480</v>
      </c>
      <c r="U48" s="107"/>
      <c r="V48" s="107"/>
      <c r="W48" s="107"/>
      <c r="X48" s="107"/>
      <c r="Y48" s="107"/>
      <c r="Z48" s="107"/>
      <c r="AA48" s="107"/>
      <c r="AB48" s="107"/>
      <c r="AC48" s="107"/>
      <c r="AD48" s="107"/>
      <c r="AE48" s="107"/>
      <c r="AF48" s="107"/>
      <c r="AG48" s="107"/>
      <c r="AH48" s="107"/>
      <c r="AI48" s="107"/>
      <c r="AJ48" s="107"/>
      <c r="AK48" s="136" t="s">
        <v>481</v>
      </c>
      <c r="AM48" s="151"/>
      <c r="AN48" s="151" t="str">
        <f t="shared" si="1"/>
        <v>Добавить значение признака дифференциации</v>
      </c>
      <c r="AO48" s="151"/>
      <c r="AP48" s="151"/>
      <c r="AQ48" s="43">
        <v>20</v>
      </c>
    </row>
    <row r="49" ht="22.05" customHeight="1" spans="1:43">
      <c r="A49" s="46" t="s">
        <v>222</v>
      </c>
      <c r="B49" s="46" t="s">
        <v>223</v>
      </c>
      <c r="C49" s="46" t="s">
        <v>224</v>
      </c>
      <c r="D49" s="46" t="s">
        <v>489</v>
      </c>
      <c r="E49" s="1053"/>
      <c r="F49" s="1053"/>
      <c r="G49" s="1053"/>
      <c r="H49" s="1053"/>
      <c r="I49" s="229"/>
      <c r="J49" s="46"/>
      <c r="K49" s="46"/>
      <c r="L49" s="1054"/>
      <c r="P49" s="93"/>
      <c r="Q49" s="93"/>
      <c r="R49" s="94"/>
      <c r="S49" s="105"/>
      <c r="T49" s="110" t="s">
        <v>408</v>
      </c>
      <c r="U49" s="107"/>
      <c r="V49" s="107"/>
      <c r="W49" s="107"/>
      <c r="X49" s="107"/>
      <c r="Y49" s="107"/>
      <c r="Z49" s="107"/>
      <c r="AA49" s="107"/>
      <c r="AB49" s="147"/>
      <c r="AC49" s="107"/>
      <c r="AD49" s="107"/>
      <c r="AE49" s="107"/>
      <c r="AF49" s="107"/>
      <c r="AG49" s="107"/>
      <c r="AH49" s="107"/>
      <c r="AI49" s="147"/>
      <c r="AJ49" s="107"/>
      <c r="AK49" s="1141"/>
      <c r="AM49" s="151"/>
      <c r="AN49" s="151" t="str">
        <f t="shared" si="1"/>
        <v>Добавить группу потребителей</v>
      </c>
      <c r="AO49" s="151"/>
      <c r="AP49" s="151"/>
      <c r="AQ49" s="43">
        <v>21</v>
      </c>
    </row>
    <row r="50" ht="22.05" customHeight="1" spans="1:43">
      <c r="A50" s="46" t="s">
        <v>222</v>
      </c>
      <c r="B50" s="46" t="s">
        <v>223</v>
      </c>
      <c r="C50" s="46" t="s">
        <v>224</v>
      </c>
      <c r="D50" s="46" t="s">
        <v>489</v>
      </c>
      <c r="E50" s="1053"/>
      <c r="F50" s="1053"/>
      <c r="G50" s="1053"/>
      <c r="H50" s="1052"/>
      <c r="I50" s="46"/>
      <c r="J50" s="46"/>
      <c r="K50" s="46"/>
      <c r="L50" s="1054"/>
      <c r="M50" s="47"/>
      <c r="N50" s="47"/>
      <c r="O50" s="38"/>
      <c r="P50" s="81"/>
      <c r="Q50" s="109"/>
      <c r="R50" s="82"/>
      <c r="S50" s="105"/>
      <c r="T50" s="821" t="s">
        <v>482</v>
      </c>
      <c r="U50" s="107"/>
      <c r="V50" s="107"/>
      <c r="W50" s="107"/>
      <c r="X50" s="107"/>
      <c r="Y50" s="107"/>
      <c r="Z50" s="107"/>
      <c r="AA50" s="107"/>
      <c r="AB50" s="147"/>
      <c r="AC50" s="107"/>
      <c r="AD50" s="107"/>
      <c r="AE50" s="107"/>
      <c r="AF50" s="107"/>
      <c r="AG50" s="107"/>
      <c r="AH50" s="107"/>
      <c r="AI50" s="147"/>
      <c r="AJ50" s="107"/>
      <c r="AK50" s="148"/>
      <c r="AM50" s="151"/>
      <c r="AN50" s="151" t="str">
        <f t="shared" si="1"/>
        <v>Добавить наименование признака дифференциации</v>
      </c>
      <c r="AO50" s="151"/>
      <c r="AP50" s="151"/>
      <c r="AQ50" s="43">
        <v>21</v>
      </c>
    </row>
    <row r="51" s="44" customFormat="1" hidden="1" customHeight="1" spans="1:43">
      <c r="A51" s="590" t="s">
        <v>222</v>
      </c>
      <c r="B51" s="590" t="s">
        <v>223</v>
      </c>
      <c r="C51" s="590"/>
      <c r="D51" s="590"/>
      <c r="E51" s="1053"/>
      <c r="F51" s="1052"/>
      <c r="G51" s="590"/>
      <c r="H51" s="590"/>
      <c r="I51" s="590"/>
      <c r="J51" s="590"/>
      <c r="K51" s="590"/>
      <c r="L51" s="611"/>
      <c r="M51" s="1059"/>
      <c r="N51" s="1059"/>
      <c r="P51" s="152"/>
      <c r="Q51" s="1082"/>
      <c r="R51" s="152"/>
      <c r="S51" s="1084"/>
      <c r="T51" s="1085" t="s">
        <v>411</v>
      </c>
      <c r="U51" s="307"/>
      <c r="V51" s="307"/>
      <c r="W51" s="307"/>
      <c r="X51" s="307"/>
      <c r="Y51" s="307"/>
      <c r="Z51" s="307"/>
      <c r="AA51" s="307"/>
      <c r="AB51" s="307"/>
      <c r="AC51" s="307"/>
      <c r="AD51" s="307"/>
      <c r="AE51" s="307"/>
      <c r="AF51" s="307"/>
      <c r="AG51" s="307"/>
      <c r="AH51" s="307"/>
      <c r="AI51" s="307"/>
      <c r="AJ51" s="307"/>
      <c r="AK51" s="307"/>
      <c r="AM51" s="151"/>
      <c r="AN51" s="151" t="str">
        <f t="shared" si="1"/>
        <v>Добавить централизованную систему для дифференциации</v>
      </c>
      <c r="AO51" s="151"/>
      <c r="AP51" s="151"/>
      <c r="AQ51" s="44">
        <v>0</v>
      </c>
    </row>
    <row r="52" s="44" customFormat="1" hidden="1" customHeight="1" spans="1:43">
      <c r="A52" s="590" t="s">
        <v>222</v>
      </c>
      <c r="B52" s="590"/>
      <c r="C52" s="590"/>
      <c r="D52" s="590"/>
      <c r="E52" s="1052"/>
      <c r="F52" s="590"/>
      <c r="G52" s="590"/>
      <c r="H52" s="590"/>
      <c r="I52" s="590"/>
      <c r="J52" s="590"/>
      <c r="K52" s="590"/>
      <c r="L52" s="611"/>
      <c r="M52" s="1059"/>
      <c r="N52" s="1059"/>
      <c r="P52" s="152"/>
      <c r="Q52" s="1082"/>
      <c r="R52" s="152"/>
      <c r="S52" s="1084"/>
      <c r="T52" s="1085" t="s">
        <v>412</v>
      </c>
      <c r="U52" s="307"/>
      <c r="V52" s="307"/>
      <c r="W52" s="307"/>
      <c r="X52" s="307"/>
      <c r="Y52" s="307"/>
      <c r="Z52" s="307"/>
      <c r="AA52" s="307"/>
      <c r="AB52" s="307"/>
      <c r="AC52" s="307"/>
      <c r="AD52" s="307"/>
      <c r="AE52" s="307"/>
      <c r="AF52" s="307"/>
      <c r="AG52" s="307"/>
      <c r="AH52" s="307"/>
      <c r="AI52" s="307"/>
      <c r="AJ52" s="307"/>
      <c r="AK52" s="307"/>
      <c r="AM52" s="151"/>
      <c r="AN52" s="151" t="str">
        <f t="shared" si="1"/>
        <v>Добавить территорию для дифференциации</v>
      </c>
      <c r="AO52" s="151"/>
      <c r="AP52" s="151"/>
      <c r="AQ52" s="44">
        <v>0</v>
      </c>
    </row>
    <row r="53" s="44" customFormat="1" hidden="1" customHeight="1" spans="1:43">
      <c r="A53" s="590"/>
      <c r="B53" s="590"/>
      <c r="C53" s="590"/>
      <c r="D53" s="590"/>
      <c r="E53" s="590"/>
      <c r="F53" s="590"/>
      <c r="G53" s="590"/>
      <c r="H53" s="590"/>
      <c r="I53" s="590"/>
      <c r="J53" s="590"/>
      <c r="K53" s="590"/>
      <c r="L53" s="611"/>
      <c r="M53" s="1059"/>
      <c r="N53" s="1059"/>
      <c r="P53" s="152"/>
      <c r="Q53" s="1082"/>
      <c r="R53" s="152"/>
      <c r="S53" s="1084"/>
      <c r="T53" s="1085" t="s">
        <v>440</v>
      </c>
      <c r="U53" s="307"/>
      <c r="V53" s="307"/>
      <c r="W53" s="307"/>
      <c r="X53" s="307"/>
      <c r="Y53" s="307"/>
      <c r="Z53" s="307"/>
      <c r="AA53" s="307"/>
      <c r="AB53" s="307"/>
      <c r="AC53" s="307"/>
      <c r="AD53" s="307"/>
      <c r="AE53" s="307"/>
      <c r="AF53" s="307"/>
      <c r="AG53" s="307"/>
      <c r="AH53" s="307"/>
      <c r="AI53" s="307"/>
      <c r="AJ53" s="307"/>
      <c r="AK53" s="307"/>
      <c r="AM53" s="151"/>
      <c r="AN53" s="151" t="str">
        <f t="shared" si="1"/>
        <v>Добавить наименование тарифа</v>
      </c>
      <c r="AO53" s="151"/>
      <c r="AP53" s="151"/>
      <c r="AQ53" s="44">
        <v>0</v>
      </c>
    </row>
    <row r="54" ht="11.55" customHeight="1" spans="13:43">
      <c r="M54" s="38"/>
      <c r="N54" s="38"/>
      <c r="O54" s="38"/>
      <c r="P54" s="43"/>
      <c r="Q54" s="43"/>
      <c r="R54" s="43"/>
      <c r="S54" s="43"/>
      <c r="AL54" s="43"/>
      <c r="AM54" s="43"/>
      <c r="AN54" s="43"/>
      <c r="AO54" s="43"/>
      <c r="AP54" s="43"/>
      <c r="AQ54" s="43">
        <v>11</v>
      </c>
    </row>
    <row r="55" ht="14.7" customHeight="1" spans="15:43">
      <c r="O55" s="38"/>
      <c r="S55" s="786"/>
      <c r="T55" s="120"/>
      <c r="U55" s="120"/>
      <c r="V55" s="120"/>
      <c r="W55" s="120"/>
      <c r="X55" s="120"/>
      <c r="Y55" s="120"/>
      <c r="Z55" s="120"/>
      <c r="AA55" s="120"/>
      <c r="AB55" s="120"/>
      <c r="AC55" s="120"/>
      <c r="AD55" s="120"/>
      <c r="AE55" s="120"/>
      <c r="AF55" s="120"/>
      <c r="AG55" s="120"/>
      <c r="AH55" s="120"/>
      <c r="AI55" s="120"/>
      <c r="AJ55" s="120"/>
      <c r="AK55" s="120"/>
      <c r="AQ55" s="43">
        <v>14</v>
      </c>
    </row>
    <row r="56" ht="14.7" customHeight="1" spans="15:43">
      <c r="O56" s="38"/>
      <c r="AQ56" s="43">
        <v>14</v>
      </c>
    </row>
    <row r="57" ht="14.7" customHeight="1" spans="15:43">
      <c r="O57" s="38"/>
      <c r="S57" s="786"/>
      <c r="T57" s="120"/>
      <c r="U57" s="120"/>
      <c r="V57" s="120"/>
      <c r="W57" s="120"/>
      <c r="X57" s="120"/>
      <c r="Y57" s="120"/>
      <c r="Z57" s="120"/>
      <c r="AA57" s="120"/>
      <c r="AB57" s="120"/>
      <c r="AC57" s="120"/>
      <c r="AD57" s="120"/>
      <c r="AE57" s="120"/>
      <c r="AF57" s="120"/>
      <c r="AG57" s="120"/>
      <c r="AH57" s="120"/>
      <c r="AI57" s="120"/>
      <c r="AJ57" s="120"/>
      <c r="AK57" s="120"/>
      <c r="AQ57" s="43">
        <v>14</v>
      </c>
    </row>
    <row r="58" ht="22.5" hidden="1" customHeight="1" spans="1:43">
      <c r="A58" s="38" t="s">
        <v>83</v>
      </c>
      <c r="B58" s="38">
        <v>0</v>
      </c>
      <c r="C58" s="38">
        <v>0</v>
      </c>
      <c r="D58" s="38">
        <v>0</v>
      </c>
      <c r="E58" s="38">
        <v>0</v>
      </c>
      <c r="F58" s="38">
        <v>0</v>
      </c>
      <c r="G58" s="38">
        <v>0</v>
      </c>
      <c r="H58" s="38">
        <v>0</v>
      </c>
      <c r="I58" s="38">
        <v>0</v>
      </c>
      <c r="J58" s="38">
        <v>0</v>
      </c>
      <c r="K58" s="38">
        <v>0</v>
      </c>
      <c r="L58" s="48">
        <v>0</v>
      </c>
      <c r="M58" s="39">
        <v>0</v>
      </c>
      <c r="N58" s="39">
        <v>0</v>
      </c>
      <c r="O58" s="39">
        <v>0</v>
      </c>
      <c r="P58" s="40">
        <v>3</v>
      </c>
      <c r="Q58" s="41">
        <v>3</v>
      </c>
      <c r="R58" s="41">
        <v>3</v>
      </c>
      <c r="S58" s="42">
        <v>12</v>
      </c>
      <c r="T58" s="43">
        <v>35</v>
      </c>
      <c r="U58" s="43">
        <v>0</v>
      </c>
      <c r="V58" s="43">
        <v>0</v>
      </c>
      <c r="W58" s="43">
        <v>0</v>
      </c>
      <c r="X58" s="43">
        <v>0</v>
      </c>
      <c r="Y58" s="43">
        <v>0</v>
      </c>
      <c r="Z58" s="43">
        <v>0</v>
      </c>
      <c r="AA58" s="43">
        <v>0</v>
      </c>
      <c r="AB58" s="43">
        <v>0</v>
      </c>
      <c r="AC58" s="43">
        <v>24</v>
      </c>
      <c r="AD58" s="43">
        <v>24</v>
      </c>
      <c r="AE58" s="43">
        <v>24</v>
      </c>
      <c r="AF58" s="43">
        <v>11</v>
      </c>
      <c r="AG58" s="43">
        <v>3</v>
      </c>
      <c r="AH58" s="43">
        <v>11</v>
      </c>
      <c r="AI58" s="43">
        <v>0</v>
      </c>
      <c r="AJ58" s="43">
        <v>4</v>
      </c>
      <c r="AK58" s="43">
        <v>115</v>
      </c>
      <c r="AL58" s="44">
        <v>10</v>
      </c>
      <c r="AM58" s="44">
        <v>10</v>
      </c>
      <c r="AN58" s="44">
        <v>10</v>
      </c>
      <c r="AO58" s="44">
        <v>10</v>
      </c>
      <c r="AP58" s="44">
        <v>10</v>
      </c>
      <c r="AQ58" s="43">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4.1428571428571" style="38" hidden="1" customWidth="1"/>
    <col min="10" max="10" width="9.84761904761905" style="38" hidden="1" customWidth="1"/>
    <col min="11" max="11" width="14.7142857142857"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5" style="43" customWidth="1"/>
    <col min="21" max="21" width="0.142857142857143" style="43" customWidth="1"/>
    <col min="22" max="24" width="24.7142857142857" style="43" hidden="1" customWidth="1"/>
    <col min="25" max="25" width="11.7142857142857" style="43" hidden="1" customWidth="1"/>
    <col min="26" max="26" width="3.71428571428571" style="43" hidden="1" customWidth="1"/>
    <col min="27" max="27" width="11.7142857142857" style="43" hidden="1" customWidth="1"/>
    <col min="28" max="28" width="8.57142857142857" style="43" hidden="1" customWidth="1"/>
    <col min="29" max="29" width="24.7142857142857" style="43" customWidth="1"/>
    <col min="30" max="31" width="24" style="43" customWidth="1"/>
    <col min="32" max="32" width="11" style="43" customWidth="1"/>
    <col min="33" max="33" width="3.71428571428571" style="43" customWidth="1"/>
    <col min="34" max="34" width="11" style="43" customWidth="1"/>
    <col min="35" max="35" width="8.57142857142857" style="43" hidden="1" customWidth="1"/>
    <col min="36" max="36" width="4" style="43" customWidth="1"/>
    <col min="37" max="37" width="115" style="43" customWidth="1"/>
    <col min="38" max="42" width="10" style="44" customWidth="1"/>
    <col min="43" max="43" width="10.5714285714286" style="43" hidden="1"/>
  </cols>
  <sheetData>
    <row r="1" ht="22.5" hidden="1" customHeight="1" spans="43:43">
      <c r="AQ1" s="43" t="s">
        <v>14</v>
      </c>
    </row>
    <row r="2" ht="23.25" hidden="1" customHeight="1" spans="1:43">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89"/>
      <c r="AC2" s="1090" t="e">
        <f>INDEX(PT_DIFFERENTIATION_NTAR,MATCH(A2,PT_DIFFERENTIATION_NTAR_ID,0))</f>
        <v>#N/A</v>
      </c>
      <c r="AD2" s="1061"/>
      <c r="AE2" s="1061"/>
      <c r="AF2" s="1061"/>
      <c r="AG2" s="1061"/>
      <c r="AH2" s="1061"/>
      <c r="AI2" s="1061"/>
      <c r="AJ2" s="1089"/>
      <c r="AK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51"/>
      <c r="AN2" s="151" t="str">
        <f t="shared" ref="AN2:AN13" si="0">IF(T2="","",T2)</f>
        <v>Наименование тарифа</v>
      </c>
      <c r="AO2" s="151"/>
      <c r="AP2" s="151"/>
      <c r="AQ2" s="43">
        <v>0</v>
      </c>
    </row>
    <row r="3" ht="23.25" hidden="1" customHeight="1" spans="1:43">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89"/>
      <c r="AC3" s="1090" t="e">
        <f>INDEX(PT_DIFFERENTIATION_TER,MATCH(B3,PT_DIFFERENTIATION_TER_ID,0))</f>
        <v>#N/A</v>
      </c>
      <c r="AD3" s="1061"/>
      <c r="AE3" s="1061"/>
      <c r="AF3" s="1061"/>
      <c r="AG3" s="1061"/>
      <c r="AH3" s="1061"/>
      <c r="AI3" s="1061"/>
      <c r="AJ3" s="1089"/>
      <c r="AK3" s="136" t="s">
        <v>394</v>
      </c>
      <c r="AM3" s="151"/>
      <c r="AN3" s="151" t="str">
        <f t="shared" si="0"/>
        <v>Территория действия тарифа</v>
      </c>
      <c r="AO3" s="151"/>
      <c r="AP3" s="151"/>
      <c r="AQ3" s="43">
        <v>0</v>
      </c>
    </row>
    <row r="4" ht="23.25" hidden="1" customHeight="1" spans="1:43">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475</v>
      </c>
      <c r="U4" s="84"/>
      <c r="V4" s="1090"/>
      <c r="W4" s="1061"/>
      <c r="X4" s="1061"/>
      <c r="Y4" s="1061"/>
      <c r="Z4" s="1061"/>
      <c r="AA4" s="1061"/>
      <c r="AB4" s="1089"/>
      <c r="AC4" s="1090" t="e">
        <f>INDEX(PT_DIFFERENTIATION_CS,MATCH(C4,PT_DIFFERENTIATION_CS_ID,0))</f>
        <v>#N/A</v>
      </c>
      <c r="AD4" s="1061"/>
      <c r="AE4" s="1061"/>
      <c r="AF4" s="1061"/>
      <c r="AG4" s="1061"/>
      <c r="AH4" s="1061"/>
      <c r="AI4" s="1061"/>
      <c r="AJ4" s="1089"/>
      <c r="AK4" s="136" t="s">
        <v>476</v>
      </c>
      <c r="AM4" s="151"/>
      <c r="AN4" s="151" t="str">
        <f t="shared" si="0"/>
        <v>Наименование централизованной системы холодного водоснабжения</v>
      </c>
      <c r="AO4" s="151"/>
      <c r="AP4" s="151"/>
      <c r="AQ4" s="43">
        <v>0</v>
      </c>
    </row>
    <row r="5" ht="23.25" hidden="1" customHeight="1" spans="1:43">
      <c r="A5" s="46"/>
      <c r="B5" s="46"/>
      <c r="C5" s="46"/>
      <c r="D5" s="46"/>
      <c r="E5" s="1053"/>
      <c r="F5" s="1053"/>
      <c r="G5" s="1053"/>
      <c r="H5" s="1053"/>
      <c r="I5" s="229" t="e">
        <f>S4&amp;".1"</f>
        <v>#N/A</v>
      </c>
      <c r="J5" s="46"/>
      <c r="K5" s="46"/>
      <c r="L5" s="1054"/>
      <c r="P5" s="93">
        <v>1</v>
      </c>
      <c r="Q5" s="93"/>
      <c r="R5" s="94"/>
      <c r="S5" s="65" t="e">
        <f>$I5</f>
        <v>#N/A</v>
      </c>
      <c r="T5" s="95" t="s">
        <v>477</v>
      </c>
      <c r="U5" s="84"/>
      <c r="V5" s="1126"/>
      <c r="W5" s="1127"/>
      <c r="X5" s="1127"/>
      <c r="Y5" s="1127"/>
      <c r="Z5" s="1127"/>
      <c r="AA5" s="1127"/>
      <c r="AB5" s="1131"/>
      <c r="AC5" s="831"/>
      <c r="AD5" s="1134"/>
      <c r="AE5" s="1134"/>
      <c r="AF5" s="1134"/>
      <c r="AG5" s="1134"/>
      <c r="AH5" s="1134"/>
      <c r="AI5" s="1134"/>
      <c r="AJ5" s="1135"/>
      <c r="AK5" s="136" t="s">
        <v>478</v>
      </c>
      <c r="AM5" s="151"/>
      <c r="AN5" s="151" t="str">
        <f t="shared" si="0"/>
        <v>Наименование признака дифференциации</v>
      </c>
      <c r="AO5" s="151"/>
      <c r="AP5" s="151"/>
      <c r="AQ5" s="43">
        <v>0</v>
      </c>
    </row>
    <row r="6" ht="23.25" hidden="1" customHeight="1" spans="1:43">
      <c r="A6" s="46"/>
      <c r="B6" s="46"/>
      <c r="C6" s="46"/>
      <c r="D6" s="46"/>
      <c r="E6" s="1053"/>
      <c r="F6" s="1053"/>
      <c r="G6" s="1053"/>
      <c r="H6" s="1053"/>
      <c r="I6" s="1058"/>
      <c r="J6" s="229" t="e">
        <f>I5&amp;".1"</f>
        <v>#N/A</v>
      </c>
      <c r="K6" s="46"/>
      <c r="L6" s="1054" t="s">
        <v>402</v>
      </c>
      <c r="P6" s="93"/>
      <c r="Q6" s="93">
        <v>1</v>
      </c>
      <c r="R6" s="97"/>
      <c r="S6" s="65" t="e">
        <f>$J6</f>
        <v>#N/A</v>
      </c>
      <c r="T6" s="98" t="s">
        <v>403</v>
      </c>
      <c r="U6" s="84"/>
      <c r="V6" s="99"/>
      <c r="W6" s="100"/>
      <c r="X6" s="100"/>
      <c r="Y6" s="100"/>
      <c r="Z6" s="100"/>
      <c r="AA6" s="100"/>
      <c r="AB6" s="137"/>
      <c r="AC6" s="99"/>
      <c r="AD6" s="100"/>
      <c r="AE6" s="100"/>
      <c r="AF6" s="100"/>
      <c r="AG6" s="100"/>
      <c r="AH6" s="100"/>
      <c r="AI6" s="100"/>
      <c r="AJ6" s="137"/>
      <c r="AK6" s="1136" t="s">
        <v>479</v>
      </c>
      <c r="AM6" s="151"/>
      <c r="AN6" s="151" t="str">
        <f t="shared" si="0"/>
        <v>Группа потребителей</v>
      </c>
      <c r="AO6" s="151"/>
      <c r="AP6" s="151"/>
      <c r="AQ6" s="43">
        <v>0</v>
      </c>
    </row>
    <row r="7" ht="23.25" hidden="1" customHeight="1" spans="1:43">
      <c r="A7" s="46"/>
      <c r="B7" s="46"/>
      <c r="C7" s="46"/>
      <c r="D7" s="46"/>
      <c r="E7" s="1053"/>
      <c r="F7" s="1053"/>
      <c r="G7" s="1053"/>
      <c r="H7" s="1053"/>
      <c r="I7" s="1058"/>
      <c r="J7" s="1058"/>
      <c r="K7" s="229" t="e">
        <f>J6&amp;".1"</f>
        <v>#N/A</v>
      </c>
      <c r="L7" s="1054"/>
      <c r="P7" s="93"/>
      <c r="Q7" s="93"/>
      <c r="R7" s="97">
        <v>1</v>
      </c>
      <c r="S7" s="65" t="e">
        <f>$K7</f>
        <v>#N/A</v>
      </c>
      <c r="T7" s="1128"/>
      <c r="U7" s="84"/>
      <c r="V7" s="102"/>
      <c r="W7" s="102"/>
      <c r="X7" s="138"/>
      <c r="Y7" s="139"/>
      <c r="Z7" s="140" t="s">
        <v>66</v>
      </c>
      <c r="AA7" s="139"/>
      <c r="AB7" s="140" t="s">
        <v>66</v>
      </c>
      <c r="AC7" s="102"/>
      <c r="AD7" s="102"/>
      <c r="AE7" s="138"/>
      <c r="AF7" s="139"/>
      <c r="AG7" s="140" t="s">
        <v>66</v>
      </c>
      <c r="AH7" s="1137"/>
      <c r="AI7" s="140" t="s">
        <v>66</v>
      </c>
      <c r="AJ7" s="1138"/>
      <c r="AK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 t="e">
        <f>STRCHECKDATE(V8:AJ8)</f>
        <v>#NAME?</v>
      </c>
      <c r="AM7" s="151"/>
      <c r="AN7" s="151" t="str">
        <f t="shared" si="0"/>
        <v/>
      </c>
      <c r="AO7" s="151"/>
      <c r="AP7" s="151"/>
      <c r="AQ7" s="43">
        <v>0</v>
      </c>
    </row>
    <row r="8" hidden="1" customHeight="1" spans="1:43">
      <c r="A8" s="46"/>
      <c r="B8" s="46"/>
      <c r="C8" s="46"/>
      <c r="D8" s="46"/>
      <c r="E8" s="1053"/>
      <c r="F8" s="1053"/>
      <c r="G8" s="1053"/>
      <c r="H8" s="1053"/>
      <c r="I8" s="1058"/>
      <c r="J8" s="1058"/>
      <c r="K8" s="229"/>
      <c r="L8" s="1054"/>
      <c r="P8" s="93"/>
      <c r="Q8" s="93"/>
      <c r="R8" s="97"/>
      <c r="S8" s="104"/>
      <c r="T8" s="84"/>
      <c r="U8" s="84"/>
      <c r="V8" s="103"/>
      <c r="W8" s="103"/>
      <c r="X8" s="142" t="str">
        <f>Y7&amp;"-"&amp;AA7</f>
        <v>-</v>
      </c>
      <c r="Y8" s="143"/>
      <c r="Z8" s="140"/>
      <c r="AA8" s="143"/>
      <c r="AB8" s="140"/>
      <c r="AC8" s="103"/>
      <c r="AD8" s="103"/>
      <c r="AE8" s="142" t="str">
        <f>AF7&amp;"-"&amp;AH7</f>
        <v>-</v>
      </c>
      <c r="AF8" s="143"/>
      <c r="AG8" s="140"/>
      <c r="AH8" s="1140"/>
      <c r="AI8" s="140"/>
      <c r="AJ8" s="768"/>
      <c r="AK8" s="1139"/>
      <c r="AM8" s="151"/>
      <c r="AN8" s="151" t="str">
        <f t="shared" si="0"/>
        <v/>
      </c>
      <c r="AO8" s="151"/>
      <c r="AP8" s="151"/>
      <c r="AQ8" s="43">
        <v>0</v>
      </c>
    </row>
    <row r="9" ht="21" hidden="1" customHeight="1" spans="1:43">
      <c r="A9" s="46"/>
      <c r="B9" s="46"/>
      <c r="C9" s="46"/>
      <c r="D9" s="46"/>
      <c r="E9" s="1053"/>
      <c r="F9" s="1053"/>
      <c r="G9" s="1053"/>
      <c r="H9" s="1053"/>
      <c r="I9" s="1058"/>
      <c r="J9" s="229"/>
      <c r="K9" s="46"/>
      <c r="L9" s="1054"/>
      <c r="P9" s="93"/>
      <c r="Q9" s="93"/>
      <c r="R9" s="94"/>
      <c r="S9" s="105"/>
      <c r="T9" s="108" t="s">
        <v>480</v>
      </c>
      <c r="U9" s="107"/>
      <c r="V9" s="107"/>
      <c r="W9" s="107"/>
      <c r="X9" s="107"/>
      <c r="Y9" s="107"/>
      <c r="Z9" s="107"/>
      <c r="AA9" s="107"/>
      <c r="AB9" s="107"/>
      <c r="AC9" s="107"/>
      <c r="AD9" s="107"/>
      <c r="AE9" s="107"/>
      <c r="AF9" s="107"/>
      <c r="AG9" s="107"/>
      <c r="AH9" s="107"/>
      <c r="AI9" s="107"/>
      <c r="AJ9" s="107"/>
      <c r="AK9" s="136" t="s">
        <v>481</v>
      </c>
      <c r="AM9" s="151"/>
      <c r="AN9" s="151" t="str">
        <f t="shared" si="0"/>
        <v>Добавить значение признака дифференциации</v>
      </c>
      <c r="AO9" s="151"/>
      <c r="AP9" s="151"/>
      <c r="AQ9" s="43">
        <v>0</v>
      </c>
    </row>
    <row r="10" ht="21" hidden="1" customHeight="1" spans="1:43">
      <c r="A10" s="46"/>
      <c r="B10" s="46"/>
      <c r="C10" s="46"/>
      <c r="D10" s="46"/>
      <c r="E10" s="1053"/>
      <c r="F10" s="1053"/>
      <c r="G10" s="1053"/>
      <c r="H10" s="1053"/>
      <c r="I10" s="229"/>
      <c r="J10" s="46"/>
      <c r="K10" s="46"/>
      <c r="L10" s="1054"/>
      <c r="P10" s="93"/>
      <c r="Q10" s="93"/>
      <c r="R10" s="94"/>
      <c r="S10" s="105"/>
      <c r="T10" s="110" t="s">
        <v>408</v>
      </c>
      <c r="U10" s="107"/>
      <c r="V10" s="107"/>
      <c r="W10" s="107"/>
      <c r="X10" s="107"/>
      <c r="Y10" s="107"/>
      <c r="Z10" s="107"/>
      <c r="AA10" s="107"/>
      <c r="AB10" s="147"/>
      <c r="AC10" s="107"/>
      <c r="AD10" s="107"/>
      <c r="AE10" s="107"/>
      <c r="AF10" s="107"/>
      <c r="AG10" s="107"/>
      <c r="AH10" s="107"/>
      <c r="AI10" s="147"/>
      <c r="AJ10" s="107"/>
      <c r="AK10" s="1141"/>
      <c r="AM10" s="151"/>
      <c r="AN10" s="151" t="str">
        <f t="shared" si="0"/>
        <v>Добавить группу потребителей</v>
      </c>
      <c r="AO10" s="151"/>
      <c r="AP10" s="151"/>
      <c r="AQ10" s="43">
        <v>0</v>
      </c>
    </row>
    <row r="11" ht="21" hidden="1" customHeight="1" spans="1:43">
      <c r="A11" s="46"/>
      <c r="B11" s="46"/>
      <c r="C11" s="46"/>
      <c r="D11" s="46"/>
      <c r="E11" s="1053"/>
      <c r="F11" s="1053"/>
      <c r="G11" s="1053"/>
      <c r="H11" s="1052"/>
      <c r="I11" s="46"/>
      <c r="J11" s="46"/>
      <c r="K11" s="46"/>
      <c r="L11" s="1054"/>
      <c r="M11" s="47"/>
      <c r="N11" s="47"/>
      <c r="O11" s="38"/>
      <c r="P11" s="81"/>
      <c r="Q11" s="109"/>
      <c r="R11" s="82"/>
      <c r="S11" s="105"/>
      <c r="T11" s="821" t="s">
        <v>482</v>
      </c>
      <c r="U11" s="107"/>
      <c r="V11" s="107"/>
      <c r="W11" s="107"/>
      <c r="X11" s="107"/>
      <c r="Y11" s="107"/>
      <c r="Z11" s="107"/>
      <c r="AA11" s="107"/>
      <c r="AB11" s="147"/>
      <c r="AC11" s="107"/>
      <c r="AD11" s="107"/>
      <c r="AE11" s="107"/>
      <c r="AF11" s="107"/>
      <c r="AG11" s="107"/>
      <c r="AH11" s="107"/>
      <c r="AI11" s="147"/>
      <c r="AJ11" s="107"/>
      <c r="AK11" s="148"/>
      <c r="AM11" s="151"/>
      <c r="AN11" s="151" t="str">
        <f t="shared" si="0"/>
        <v>Добавить наименование признака дифференциации</v>
      </c>
      <c r="AO11" s="151"/>
      <c r="AP11" s="151"/>
      <c r="AQ11" s="43">
        <v>0</v>
      </c>
    </row>
    <row r="12" s="44" customFormat="1" hidden="1" customHeight="1" spans="1:43">
      <c r="A12" s="590"/>
      <c r="B12" s="590"/>
      <c r="C12" s="590"/>
      <c r="D12" s="590"/>
      <c r="E12" s="1053"/>
      <c r="F12" s="1052"/>
      <c r="G12" s="590"/>
      <c r="H12" s="590"/>
      <c r="I12" s="590"/>
      <c r="J12" s="590"/>
      <c r="K12" s="590"/>
      <c r="L12" s="611"/>
      <c r="M12" s="1059"/>
      <c r="N12" s="1059"/>
      <c r="P12" s="152"/>
      <c r="Q12" s="1082"/>
      <c r="R12" s="152"/>
      <c r="S12" s="1084"/>
      <c r="T12" s="1085" t="s">
        <v>411</v>
      </c>
      <c r="U12" s="307"/>
      <c r="V12" s="307"/>
      <c r="W12" s="307"/>
      <c r="X12" s="307"/>
      <c r="Y12" s="307"/>
      <c r="Z12" s="307"/>
      <c r="AA12" s="307"/>
      <c r="AB12" s="307"/>
      <c r="AC12" s="307"/>
      <c r="AD12" s="307"/>
      <c r="AE12" s="307"/>
      <c r="AF12" s="307"/>
      <c r="AG12" s="307"/>
      <c r="AH12" s="307"/>
      <c r="AI12" s="307"/>
      <c r="AJ12" s="307"/>
      <c r="AK12" s="307"/>
      <c r="AM12" s="151"/>
      <c r="AN12" s="151" t="str">
        <f t="shared" si="0"/>
        <v>Добавить централизованную систему для дифференциации</v>
      </c>
      <c r="AO12" s="151"/>
      <c r="AP12" s="151"/>
      <c r="AQ12" s="44">
        <v>0</v>
      </c>
    </row>
    <row r="13" s="44" customFormat="1" hidden="1" customHeight="1" spans="1:43">
      <c r="A13" s="590"/>
      <c r="B13" s="590"/>
      <c r="C13" s="590"/>
      <c r="D13" s="590"/>
      <c r="E13" s="1052"/>
      <c r="F13" s="590"/>
      <c r="G13" s="590"/>
      <c r="H13" s="590"/>
      <c r="I13" s="590"/>
      <c r="J13" s="590"/>
      <c r="K13" s="590"/>
      <c r="L13" s="611"/>
      <c r="M13" s="1059"/>
      <c r="N13" s="1059"/>
      <c r="P13" s="152"/>
      <c r="Q13" s="1082"/>
      <c r="R13" s="152"/>
      <c r="S13" s="1084"/>
      <c r="T13" s="1085" t="s">
        <v>412</v>
      </c>
      <c r="U13" s="307"/>
      <c r="V13" s="307"/>
      <c r="W13" s="307"/>
      <c r="X13" s="307"/>
      <c r="Y13" s="307"/>
      <c r="Z13" s="307"/>
      <c r="AA13" s="307"/>
      <c r="AB13" s="307"/>
      <c r="AC13" s="307"/>
      <c r="AD13" s="307"/>
      <c r="AE13" s="307"/>
      <c r="AF13" s="307"/>
      <c r="AG13" s="307"/>
      <c r="AH13" s="307"/>
      <c r="AI13" s="307"/>
      <c r="AJ13" s="307"/>
      <c r="AK13" s="307"/>
      <c r="AM13" s="151"/>
      <c r="AN13" s="151" t="str">
        <f t="shared" si="0"/>
        <v>Добавить территорию для дифференциации</v>
      </c>
      <c r="AO13" s="151"/>
      <c r="AP13" s="151"/>
      <c r="AQ13" s="44">
        <v>0</v>
      </c>
    </row>
    <row r="14" hidden="1" customHeight="1" spans="43:43">
      <c r="AQ14" s="43">
        <v>0</v>
      </c>
    </row>
    <row r="15" hidden="1" customHeight="1" spans="29:43">
      <c r="AC15" s="492"/>
      <c r="AD15" s="492"/>
      <c r="AE15" s="1132"/>
      <c r="AF15" s="1133"/>
      <c r="AG15" s="353" t="s">
        <v>66</v>
      </c>
      <c r="AH15" s="1133"/>
      <c r="AI15" s="353" t="s">
        <v>66</v>
      </c>
      <c r="AQ15" s="43">
        <v>0</v>
      </c>
    </row>
    <row r="16" hidden="1" customHeight="1" spans="29:43">
      <c r="AC16" s="492"/>
      <c r="AD16" s="492"/>
      <c r="AE16" s="142" t="str">
        <f>AF15&amp;"-"&amp;AH15</f>
        <v>-</v>
      </c>
      <c r="AF16" s="353"/>
      <c r="AG16" s="353"/>
      <c r="AH16" s="353"/>
      <c r="AI16" s="353"/>
      <c r="AQ16" s="43">
        <v>0</v>
      </c>
    </row>
    <row r="17" hidden="1" customHeight="1" spans="43:43">
      <c r="AQ17" s="43">
        <v>0</v>
      </c>
    </row>
    <row r="18" s="38" customFormat="1" ht="22.5" hidden="1" customHeight="1" spans="12:43">
      <c r="L18" s="48"/>
      <c r="M18" s="39"/>
      <c r="N18" s="39"/>
      <c r="O18" s="1060" t="s">
        <v>413</v>
      </c>
      <c r="P18" s="39"/>
      <c r="Q18" s="1051"/>
      <c r="R18" s="1051"/>
      <c r="S18" s="47"/>
      <c r="Y18" s="1060"/>
      <c r="AA18" s="1060"/>
      <c r="AF18" s="1060"/>
      <c r="AH18" s="1060"/>
      <c r="AL18" s="44"/>
      <c r="AM18" s="44"/>
      <c r="AN18" s="44"/>
      <c r="AO18" s="44"/>
      <c r="AP18" s="44"/>
      <c r="AQ18" s="38">
        <v>0</v>
      </c>
    </row>
    <row r="19" s="38" customFormat="1" hidden="1" customHeight="1" spans="12:43">
      <c r="L19" s="48"/>
      <c r="M19" s="39"/>
      <c r="N19" s="39"/>
      <c r="O19" s="39"/>
      <c r="P19" s="39"/>
      <c r="Q19" s="1051"/>
      <c r="R19" s="1051"/>
      <c r="S19" s="47"/>
      <c r="AL19" s="44"/>
      <c r="AM19" s="44"/>
      <c r="AN19" s="44"/>
      <c r="AO19" s="44"/>
      <c r="AP19" s="44"/>
      <c r="AQ19" s="38">
        <v>0</v>
      </c>
    </row>
    <row r="20" s="38" customFormat="1" ht="12" hidden="1" customHeight="1" spans="12:43">
      <c r="L20" s="48"/>
      <c r="M20" s="39"/>
      <c r="N20" s="39"/>
      <c r="O20" s="1054" t="s">
        <v>414</v>
      </c>
      <c r="P20" s="39"/>
      <c r="Q20" s="1129"/>
      <c r="R20" s="1129"/>
      <c r="S20" s="47"/>
      <c r="T20" s="38" t="s">
        <v>415</v>
      </c>
      <c r="Z20" s="45" t="s">
        <v>416</v>
      </c>
      <c r="AB20" s="45" t="s">
        <v>417</v>
      </c>
      <c r="AC20" s="38" t="s">
        <v>415</v>
      </c>
      <c r="AG20" s="45" t="s">
        <v>418</v>
      </c>
      <c r="AI20" s="45" t="s">
        <v>417</v>
      </c>
      <c r="AQ20" s="38">
        <v>0</v>
      </c>
    </row>
    <row r="21" hidden="1" customHeight="1" spans="15:43">
      <c r="O21" s="1054"/>
      <c r="AQ21" s="43">
        <v>0</v>
      </c>
    </row>
    <row r="22" hidden="1" customHeight="1" spans="15:43">
      <c r="O22" s="1054"/>
      <c r="AQ22" s="43">
        <v>0</v>
      </c>
    </row>
    <row r="23" ht="14.7" customHeight="1" spans="17:43">
      <c r="Q23" s="51"/>
      <c r="R23" s="51"/>
      <c r="S23" s="52"/>
      <c r="T23" s="53"/>
      <c r="U23" s="53"/>
      <c r="AQ23" s="43">
        <v>14</v>
      </c>
    </row>
    <row r="24" ht="14.7" customHeight="1" spans="17:43">
      <c r="Q24" s="51"/>
      <c r="R24" s="51"/>
      <c r="S24" s="7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755"/>
      <c r="U24" s="755"/>
      <c r="V24" s="755"/>
      <c r="W24" s="755"/>
      <c r="X24" s="755"/>
      <c r="Y24" s="755"/>
      <c r="Z24" s="755"/>
      <c r="AA24" s="755"/>
      <c r="AB24" s="755"/>
      <c r="AC24" s="755"/>
      <c r="AD24" s="755"/>
      <c r="AE24" s="755"/>
      <c r="AF24" s="755"/>
      <c r="AG24" s="755"/>
      <c r="AH24" s="755"/>
      <c r="AI24" s="121"/>
      <c r="AQ24" s="43">
        <v>14</v>
      </c>
    </row>
    <row r="25" ht="14.7" customHeight="1" spans="17:43">
      <c r="Q25" s="51"/>
      <c r="R25" s="51"/>
      <c r="S25" s="660" t="str">
        <f>IF(org=0,"Не определено",org)</f>
        <v>АО "Теплокоммунэнерго"</v>
      </c>
      <c r="T25" s="660"/>
      <c r="U25" s="660"/>
      <c r="V25" s="660"/>
      <c r="W25" s="660"/>
      <c r="X25" s="660"/>
      <c r="Y25" s="660"/>
      <c r="Z25" s="660"/>
      <c r="AA25" s="660"/>
      <c r="AB25" s="660"/>
      <c r="AC25" s="660"/>
      <c r="AD25" s="660"/>
      <c r="AE25" s="660"/>
      <c r="AF25" s="660"/>
      <c r="AG25" s="660"/>
      <c r="AH25" s="660"/>
      <c r="AI25" s="121"/>
      <c r="AQ25" s="43">
        <v>14</v>
      </c>
    </row>
    <row r="26" hidden="1" customHeight="1" spans="17:43">
      <c r="Q26" s="51"/>
      <c r="R26" s="51"/>
      <c r="S26" s="52"/>
      <c r="T26" s="53"/>
      <c r="U26" s="53"/>
      <c r="V26" s="56"/>
      <c r="W26" s="56"/>
      <c r="X26" s="56"/>
      <c r="Y26" s="56"/>
      <c r="Z26" s="56"/>
      <c r="AA26" s="56"/>
      <c r="AB26" s="56"/>
      <c r="AC26" s="56"/>
      <c r="AD26" s="56"/>
      <c r="AE26" s="56"/>
      <c r="AF26" s="56"/>
      <c r="AG26" s="56"/>
      <c r="AH26" s="56"/>
      <c r="AI26" s="56"/>
      <c r="AQ26" s="43">
        <v>0</v>
      </c>
    </row>
    <row r="27" s="36" customFormat="1" ht="25.5" hidden="1" customHeight="1" spans="1:43">
      <c r="A27" s="45"/>
      <c r="B27" s="45"/>
      <c r="C27" s="45"/>
      <c r="D27" s="45"/>
      <c r="E27" s="45"/>
      <c r="F27" s="45"/>
      <c r="G27" s="45"/>
      <c r="H27" s="45"/>
      <c r="I27" s="45"/>
      <c r="J27" s="45"/>
      <c r="K27" s="45"/>
      <c r="L27" s="1054"/>
      <c r="M27" s="45"/>
      <c r="N27" s="45"/>
      <c r="O27" s="45"/>
      <c r="S27"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58"/>
      <c r="U27" s="1088"/>
      <c r="V27" s="60" t="str">
        <f>IF(TITLE_NAME_OR_PR_CHANGE="",IF(TITLE_NAME_OR_PR="","",TITLE_NAME_OR_PR),TITLE_NAME_OR_PR_CHANGE)</f>
        <v/>
      </c>
      <c r="W27" s="60"/>
      <c r="X27" s="60"/>
      <c r="Y27" s="60"/>
      <c r="Z27" s="60"/>
      <c r="AA27" s="60"/>
      <c r="AB27" s="43"/>
      <c r="AC27" s="60" t="str">
        <f>IF(TITLE_NAME_OR_PR_CHANGE="",IF(TITLE_NAME_OR_PR="","",TITLE_NAME_OR_PR),TITLE_NAME_OR_PR_CHANGE)</f>
        <v/>
      </c>
      <c r="AD27" s="60"/>
      <c r="AE27" s="60"/>
      <c r="AF27" s="60"/>
      <c r="AG27" s="60"/>
      <c r="AH27" s="60"/>
      <c r="AI27" s="43"/>
      <c r="AJ27" s="43"/>
      <c r="AK27" s="122"/>
      <c r="AL27" s="151"/>
      <c r="AM27" s="151"/>
      <c r="AN27" s="151"/>
      <c r="AO27" s="151"/>
      <c r="AP27" s="151"/>
      <c r="AQ27" s="36">
        <v>0</v>
      </c>
    </row>
    <row r="28" s="36" customFormat="1" ht="18.75" hidden="1" customHeight="1" spans="1:43">
      <c r="A28" s="45"/>
      <c r="B28" s="45"/>
      <c r="C28" s="45"/>
      <c r="D28" s="45"/>
      <c r="E28" s="45"/>
      <c r="F28" s="45"/>
      <c r="G28" s="45"/>
      <c r="H28" s="45"/>
      <c r="I28" s="45"/>
      <c r="J28" s="45"/>
      <c r="K28" s="45"/>
      <c r="L28" s="1054"/>
      <c r="M28" s="45"/>
      <c r="N28" s="45"/>
      <c r="O28" s="45"/>
      <c r="S28" s="58" t="str">
        <f>"Дата документа об "&amp;IF(TITLE_DATE_PR_CHANGE="","утверждении","изменении")&amp;" тарифов"</f>
        <v>Дата документа об утверждении тарифов</v>
      </c>
      <c r="T28" s="58"/>
      <c r="U28" s="1088"/>
      <c r="V28" s="793" t="str">
        <f>IF(TITLE_DATE_PR_CHANGE="",IF(TITLE_DATE_PR="","",TITLE_DATE_PR),TITLE_DATE_PR_CHANGE)</f>
        <v/>
      </c>
      <c r="W28" s="793"/>
      <c r="X28" s="793"/>
      <c r="Y28" s="793"/>
      <c r="Z28" s="793"/>
      <c r="AA28" s="793"/>
      <c r="AB28" s="43"/>
      <c r="AC28" s="793" t="str">
        <f>IF(TITLE_DATE_PR_CHANGE="",IF(TITLE_DATE_PR="","",TITLE_DATE_PR),TITLE_DATE_PR_CHANGE)</f>
        <v/>
      </c>
      <c r="AD28" s="793"/>
      <c r="AE28" s="793"/>
      <c r="AF28" s="793"/>
      <c r="AG28" s="793"/>
      <c r="AH28" s="793"/>
      <c r="AI28" s="43"/>
      <c r="AJ28" s="43"/>
      <c r="AK28" s="122"/>
      <c r="AL28" s="151"/>
      <c r="AM28" s="151"/>
      <c r="AN28" s="151"/>
      <c r="AO28" s="151"/>
      <c r="AP28" s="151"/>
      <c r="AQ28" s="36">
        <v>0</v>
      </c>
    </row>
    <row r="29" s="36" customFormat="1" ht="18.75" hidden="1" customHeight="1" spans="1:43">
      <c r="A29" s="45"/>
      <c r="B29" s="45"/>
      <c r="C29" s="45"/>
      <c r="D29" s="45"/>
      <c r="E29" s="45"/>
      <c r="F29" s="45"/>
      <c r="G29" s="45"/>
      <c r="H29" s="45"/>
      <c r="I29" s="45"/>
      <c r="J29" s="45"/>
      <c r="K29" s="45"/>
      <c r="L29" s="1054"/>
      <c r="M29" s="45"/>
      <c r="N29" s="45"/>
      <c r="O29" s="45"/>
      <c r="S29" s="58" t="str">
        <f>"Номер документа об "&amp;IF(TITLE_DATE_PR_CHANGE="","утверждении","изменении")&amp;" тарифов"</f>
        <v>Номер документа об утверждении тарифов</v>
      </c>
      <c r="T29" s="58"/>
      <c r="U29" s="1088"/>
      <c r="V29" s="60" t="str">
        <f>IF(TITLE_NUMBER_PR_CHANGE="",IF(TITLE_NUMBER_PR="","",TITLE_NUMBER_PR),TITLE_NUMBER_PR_CHANGE)</f>
        <v/>
      </c>
      <c r="W29" s="60"/>
      <c r="X29" s="60"/>
      <c r="Y29" s="60"/>
      <c r="Z29" s="60"/>
      <c r="AA29" s="60"/>
      <c r="AB29" s="43"/>
      <c r="AC29" s="60" t="str">
        <f>IF(TITLE_NUMBER_PR_CHANGE="",IF(TITLE_NUMBER_PR="","",TITLE_NUMBER_PR),TITLE_NUMBER_PR_CHANGE)</f>
        <v/>
      </c>
      <c r="AD29" s="60"/>
      <c r="AE29" s="60"/>
      <c r="AF29" s="60"/>
      <c r="AG29" s="60"/>
      <c r="AH29" s="60"/>
      <c r="AI29" s="43"/>
      <c r="AJ29" s="43"/>
      <c r="AK29" s="122"/>
      <c r="AL29" s="151"/>
      <c r="AM29" s="151"/>
      <c r="AN29" s="151"/>
      <c r="AO29" s="151"/>
      <c r="AP29" s="151"/>
      <c r="AQ29" s="36">
        <v>0</v>
      </c>
    </row>
    <row r="30" s="36" customFormat="1" ht="18.75" hidden="1" customHeight="1" spans="1:43">
      <c r="A30" s="45"/>
      <c r="B30" s="45"/>
      <c r="C30" s="45"/>
      <c r="D30" s="45"/>
      <c r="E30" s="45"/>
      <c r="F30" s="45"/>
      <c r="G30" s="45"/>
      <c r="H30" s="45"/>
      <c r="I30" s="45"/>
      <c r="J30" s="45"/>
      <c r="K30" s="45"/>
      <c r="L30" s="1054"/>
      <c r="M30" s="45"/>
      <c r="N30" s="45"/>
      <c r="O30" s="45"/>
      <c r="S30" s="58" t="s">
        <v>43</v>
      </c>
      <c r="T30" s="58"/>
      <c r="U30" s="1088"/>
      <c r="V30" s="60" t="str">
        <f>IF(TITLE_IST_PUB_CHANGE="",IF(TITLE_IST_PUB="","",TITLE_IST_PUB),TITLE_IST_PUB_CHANGE)</f>
        <v/>
      </c>
      <c r="W30" s="60"/>
      <c r="X30" s="60"/>
      <c r="Y30" s="60"/>
      <c r="Z30" s="60"/>
      <c r="AA30" s="60"/>
      <c r="AB30" s="43"/>
      <c r="AC30" s="60" t="str">
        <f>IF(TITLE_IST_PUB_CHANGE="",IF(TITLE_IST_PUB="","",TITLE_IST_PUB),TITLE_IST_PUB_CHANGE)</f>
        <v/>
      </c>
      <c r="AD30" s="60"/>
      <c r="AE30" s="60"/>
      <c r="AF30" s="60"/>
      <c r="AG30" s="60"/>
      <c r="AH30" s="60"/>
      <c r="AI30" s="43"/>
      <c r="AJ30" s="43"/>
      <c r="AK30" s="122"/>
      <c r="AL30" s="151"/>
      <c r="AM30" s="151"/>
      <c r="AN30" s="151"/>
      <c r="AO30" s="151"/>
      <c r="AP30" s="151"/>
      <c r="AQ30" s="36">
        <v>0</v>
      </c>
    </row>
    <row r="31" hidden="1" customHeight="1" spans="17:43">
      <c r="Q31" s="51"/>
      <c r="R31" s="51"/>
      <c r="S31" s="52"/>
      <c r="T31" s="53"/>
      <c r="U31" s="53"/>
      <c r="V31" s="56"/>
      <c r="W31" s="56"/>
      <c r="X31" s="56"/>
      <c r="Y31" s="56"/>
      <c r="Z31" s="56"/>
      <c r="AA31" s="56"/>
      <c r="AB31" s="56"/>
      <c r="AC31" s="56"/>
      <c r="AD31" s="56"/>
      <c r="AE31" s="56"/>
      <c r="AF31" s="56"/>
      <c r="AG31" s="56"/>
      <c r="AH31" s="56"/>
      <c r="AI31" s="56"/>
      <c r="AQ31" s="43">
        <v>0</v>
      </c>
    </row>
    <row r="32" s="36" customFormat="1" ht="18.75" hidden="1" customHeight="1" spans="1:43">
      <c r="A32" s="45"/>
      <c r="B32" s="45"/>
      <c r="C32" s="45"/>
      <c r="D32" s="45"/>
      <c r="E32" s="45"/>
      <c r="F32" s="45"/>
      <c r="G32" s="45"/>
      <c r="H32" s="45"/>
      <c r="I32" s="45"/>
      <c r="J32" s="45"/>
      <c r="K32" s="45"/>
      <c r="L32" s="1054"/>
      <c r="M32" s="45"/>
      <c r="N32" s="45"/>
      <c r="O32" s="45"/>
      <c r="S32" s="58" t="str">
        <f>"Дата подачи заявления об "&amp;IF(TITLE_DATE_PR_CHANGE="","утверждении","изменении")&amp;" тарифов"</f>
        <v>Дата подачи заявления об утверждении тарифов</v>
      </c>
      <c r="T32" s="58"/>
      <c r="U32" s="1088"/>
      <c r="V32" s="793" t="str">
        <f>IF(TITLE_DATE_PR_CHANGE="",IF(TITLE_DATE_PR="","",TITLE_DATE_PR),TITLE_DATE_PR_CHANGE)</f>
        <v/>
      </c>
      <c r="W32" s="793"/>
      <c r="X32" s="793"/>
      <c r="Y32" s="793"/>
      <c r="Z32" s="793"/>
      <c r="AA32" s="793"/>
      <c r="AB32" s="43"/>
      <c r="AC32" s="793" t="str">
        <f>IF(TITLE_DATE_PR_CHANGE="",IF(TITLE_DATE_PR="","",TITLE_DATE_PR),TITLE_DATE_PR_CHANGE)</f>
        <v/>
      </c>
      <c r="AD32" s="793"/>
      <c r="AE32" s="793"/>
      <c r="AF32" s="793"/>
      <c r="AG32" s="793"/>
      <c r="AH32" s="793"/>
      <c r="AI32" s="43"/>
      <c r="AJ32" s="43"/>
      <c r="AK32" s="122"/>
      <c r="AL32" s="151"/>
      <c r="AM32" s="151"/>
      <c r="AN32" s="151"/>
      <c r="AO32" s="151"/>
      <c r="AP32" s="151"/>
      <c r="AQ32" s="36">
        <v>0</v>
      </c>
    </row>
    <row r="33" s="36" customFormat="1" ht="18.75" hidden="1" customHeight="1" spans="1:43">
      <c r="A33" s="45"/>
      <c r="B33" s="45"/>
      <c r="C33" s="45"/>
      <c r="D33" s="45"/>
      <c r="E33" s="45"/>
      <c r="F33" s="45"/>
      <c r="G33" s="45"/>
      <c r="H33" s="45"/>
      <c r="I33" s="45"/>
      <c r="J33" s="45"/>
      <c r="K33" s="45"/>
      <c r="L33" s="1054"/>
      <c r="M33" s="45"/>
      <c r="N33" s="45"/>
      <c r="O33" s="45"/>
      <c r="S33" s="58" t="str">
        <f>"Номер подачи заявления об "&amp;IF(TITLE_DATE_PR_CHANGE="","утверждении","изменении")&amp;" тарифов"</f>
        <v>Номер подачи заявления об утверждении тарифов</v>
      </c>
      <c r="T33" s="58"/>
      <c r="U33" s="1088"/>
      <c r="V33" s="60" t="str">
        <f>IF(TITLE_NUMBER_PR_CHANGE="",IF(TITLE_NUMBER_PR="","",TITLE_NUMBER_PR),TITLE_NUMBER_PR_CHANGE)</f>
        <v/>
      </c>
      <c r="W33" s="60"/>
      <c r="X33" s="60"/>
      <c r="Y33" s="60"/>
      <c r="Z33" s="60"/>
      <c r="AA33" s="60"/>
      <c r="AB33" s="43"/>
      <c r="AC33" s="60" t="str">
        <f>IF(TITLE_NUMBER_PR_CHANGE="",IF(TITLE_NUMBER_PR="","",TITLE_NUMBER_PR),TITLE_NUMBER_PR_CHANGE)</f>
        <v/>
      </c>
      <c r="AD33" s="60"/>
      <c r="AE33" s="60"/>
      <c r="AF33" s="60"/>
      <c r="AG33" s="60"/>
      <c r="AH33" s="60"/>
      <c r="AI33" s="43"/>
      <c r="AJ33" s="43"/>
      <c r="AK33" s="122"/>
      <c r="AL33" s="151"/>
      <c r="AM33" s="151"/>
      <c r="AN33" s="151"/>
      <c r="AO33" s="151"/>
      <c r="AP33" s="151"/>
      <c r="AQ33" s="36">
        <v>0</v>
      </c>
    </row>
    <row r="34" s="36" customFormat="1" ht="1.05" customHeight="1" spans="1:43">
      <c r="A34" s="45"/>
      <c r="B34" s="45"/>
      <c r="C34" s="45"/>
      <c r="D34" s="45"/>
      <c r="E34" s="45"/>
      <c r="F34" s="45"/>
      <c r="G34" s="45"/>
      <c r="H34" s="45"/>
      <c r="I34" s="45"/>
      <c r="J34" s="45"/>
      <c r="K34" s="45"/>
      <c r="L34" s="1054"/>
      <c r="M34" s="45"/>
      <c r="N34" s="45"/>
      <c r="O34" s="45"/>
      <c r="S34" s="43"/>
      <c r="T34" s="43"/>
      <c r="U34" s="61"/>
      <c r="V34" s="43"/>
      <c r="W34" s="43"/>
      <c r="X34" s="43"/>
      <c r="Y34" s="43"/>
      <c r="Z34" s="43"/>
      <c r="AA34" s="43"/>
      <c r="AB34" s="44" t="s">
        <v>419</v>
      </c>
      <c r="AC34" s="43"/>
      <c r="AD34" s="43"/>
      <c r="AE34" s="43"/>
      <c r="AF34" s="43"/>
      <c r="AG34" s="43"/>
      <c r="AH34" s="43"/>
      <c r="AI34" s="44" t="s">
        <v>419</v>
      </c>
      <c r="AL34" s="151"/>
      <c r="AM34" s="151"/>
      <c r="AN34" s="151"/>
      <c r="AO34" s="151"/>
      <c r="AP34" s="151"/>
      <c r="AQ34" s="36">
        <v>1</v>
      </c>
    </row>
    <row r="35" ht="14.7" customHeight="1" spans="17:43">
      <c r="Q35" s="51"/>
      <c r="R35" s="51"/>
      <c r="S35" s="52"/>
      <c r="T35" s="53"/>
      <c r="U35" s="62"/>
      <c r="V35" s="63"/>
      <c r="W35" s="63"/>
      <c r="X35" s="63"/>
      <c r="Y35" s="63"/>
      <c r="Z35" s="63"/>
      <c r="AA35" s="63"/>
      <c r="AB35" s="63"/>
      <c r="AC35" s="63"/>
      <c r="AD35" s="63"/>
      <c r="AE35" s="63"/>
      <c r="AF35" s="63"/>
      <c r="AG35" s="63"/>
      <c r="AH35" s="63"/>
      <c r="AI35" s="63"/>
      <c r="AQ35" s="43">
        <v>14</v>
      </c>
    </row>
    <row r="36" ht="14.7" customHeight="1" spans="17:43">
      <c r="Q36" s="51"/>
      <c r="R36" s="51"/>
      <c r="S36" s="64" t="s">
        <v>296</v>
      </c>
      <c r="T36" s="64"/>
      <c r="U36" s="64"/>
      <c r="V36" s="64"/>
      <c r="W36" s="64"/>
      <c r="X36" s="64"/>
      <c r="Y36" s="64"/>
      <c r="Z36" s="64"/>
      <c r="AA36" s="64"/>
      <c r="AB36" s="64"/>
      <c r="AC36" s="64"/>
      <c r="AD36" s="64"/>
      <c r="AE36" s="64"/>
      <c r="AF36" s="64"/>
      <c r="AG36" s="64"/>
      <c r="AH36" s="64"/>
      <c r="AI36" s="64"/>
      <c r="AJ36" s="64"/>
      <c r="AK36" s="64" t="s">
        <v>297</v>
      </c>
      <c r="AQ36" s="43">
        <v>14</v>
      </c>
    </row>
    <row r="37" ht="14.7" customHeight="1" spans="17:43">
      <c r="Q37" s="51"/>
      <c r="R37" s="51"/>
      <c r="S37" s="65" t="s">
        <v>89</v>
      </c>
      <c r="T37" s="66" t="s">
        <v>420</v>
      </c>
      <c r="U37" s="67"/>
      <c r="V37" s="68" t="s">
        <v>421</v>
      </c>
      <c r="W37" s="69"/>
      <c r="X37" s="69"/>
      <c r="Y37" s="69"/>
      <c r="Z37" s="69"/>
      <c r="AA37" s="123"/>
      <c r="AB37" s="124" t="s">
        <v>422</v>
      </c>
      <c r="AC37" s="68" t="s">
        <v>421</v>
      </c>
      <c r="AD37" s="69"/>
      <c r="AE37" s="69"/>
      <c r="AF37" s="69"/>
      <c r="AG37" s="69"/>
      <c r="AH37" s="123"/>
      <c r="AI37" s="124" t="s">
        <v>423</v>
      </c>
      <c r="AJ37" s="125" t="s">
        <v>424</v>
      </c>
      <c r="AK37" s="64"/>
      <c r="AQ37" s="43">
        <v>14</v>
      </c>
    </row>
    <row r="38" ht="35.7" customHeight="1" spans="17:43">
      <c r="Q38" s="51"/>
      <c r="R38" s="51"/>
      <c r="S38" s="65"/>
      <c r="T38" s="66"/>
      <c r="U38" s="70"/>
      <c r="V38" s="71" t="s">
        <v>483</v>
      </c>
      <c r="W38" s="126" t="s">
        <v>427</v>
      </c>
      <c r="X38" s="127"/>
      <c r="Y38" s="126" t="s">
        <v>428</v>
      </c>
      <c r="Z38" s="128"/>
      <c r="AA38" s="127"/>
      <c r="AB38" s="129"/>
      <c r="AC38" s="71" t="s">
        <v>483</v>
      </c>
      <c r="AD38" s="126" t="s">
        <v>427</v>
      </c>
      <c r="AE38" s="127"/>
      <c r="AF38" s="126" t="s">
        <v>428</v>
      </c>
      <c r="AG38" s="128"/>
      <c r="AH38" s="127"/>
      <c r="AI38" s="129"/>
      <c r="AJ38" s="130"/>
      <c r="AK38" s="64"/>
      <c r="AQ38" s="43">
        <v>34</v>
      </c>
    </row>
    <row r="39" ht="35.7" customHeight="1" spans="1:43">
      <c r="A39" s="45"/>
      <c r="B39" s="45" t="s">
        <v>133</v>
      </c>
      <c r="C39" s="45" t="s">
        <v>134</v>
      </c>
      <c r="D39" s="45" t="s">
        <v>135</v>
      </c>
      <c r="E39" s="1054" t="s">
        <v>429</v>
      </c>
      <c r="F39" s="1054" t="s">
        <v>430</v>
      </c>
      <c r="G39" s="1054" t="s">
        <v>431</v>
      </c>
      <c r="H39" s="1054"/>
      <c r="I39" s="1054" t="s">
        <v>484</v>
      </c>
      <c r="J39" s="1054" t="s">
        <v>434</v>
      </c>
      <c r="K39" s="1054" t="s">
        <v>485</v>
      </c>
      <c r="L39" s="1054" t="s">
        <v>414</v>
      </c>
      <c r="Q39" s="51"/>
      <c r="R39" s="51"/>
      <c r="S39" s="65"/>
      <c r="T39" s="66"/>
      <c r="U39" s="72"/>
      <c r="V39" s="71" t="s">
        <v>486</v>
      </c>
      <c r="W39" s="131" t="s">
        <v>487</v>
      </c>
      <c r="X39" s="131" t="s">
        <v>488</v>
      </c>
      <c r="Y39" s="131" t="s">
        <v>438</v>
      </c>
      <c r="Z39" s="132" t="s">
        <v>439</v>
      </c>
      <c r="AA39" s="133"/>
      <c r="AB39" s="134"/>
      <c r="AC39" s="71" t="s">
        <v>486</v>
      </c>
      <c r="AD39" s="131" t="s">
        <v>487</v>
      </c>
      <c r="AE39" s="131" t="s">
        <v>488</v>
      </c>
      <c r="AF39" s="131" t="s">
        <v>438</v>
      </c>
      <c r="AG39" s="132" t="s">
        <v>439</v>
      </c>
      <c r="AH39" s="133"/>
      <c r="AI39" s="134"/>
      <c r="AJ39" s="135"/>
      <c r="AK39" s="64"/>
      <c r="AQ39" s="43">
        <v>34</v>
      </c>
    </row>
    <row r="40" s="37" customFormat="1" hidden="1" customHeight="1" spans="1:43">
      <c r="A40" s="45"/>
      <c r="B40" s="45"/>
      <c r="C40" s="45"/>
      <c r="D40" s="45"/>
      <c r="E40" s="45"/>
      <c r="F40" s="45"/>
      <c r="G40" s="45"/>
      <c r="H40" s="45"/>
      <c r="I40" s="45"/>
      <c r="J40" s="45"/>
      <c r="K40" s="45"/>
      <c r="L40" s="1054"/>
      <c r="M40" s="39"/>
      <c r="N40" s="39"/>
      <c r="O40" s="39"/>
      <c r="P40" s="74"/>
      <c r="Q40" s="75"/>
      <c r="R40" s="76">
        <v>1</v>
      </c>
      <c r="S40" s="77" t="s">
        <v>107</v>
      </c>
      <c r="T40" s="78" t="s">
        <v>108</v>
      </c>
      <c r="U40" s="79" t="str">
        <f ca="1">OFFSET(U40,0,-1)</f>
        <v>2</v>
      </c>
      <c r="V40" s="80">
        <f ca="1">OFFSET(V40,0,-1)+1</f>
        <v>3</v>
      </c>
      <c r="W40" s="80">
        <f ca="1">OFFSET(W40,0,-1)+1</f>
        <v>4</v>
      </c>
      <c r="X40" s="80">
        <f ca="1">OFFSET(X40,0,-1)+1</f>
        <v>5</v>
      </c>
      <c r="Y40" s="80">
        <f ca="1">OFFSET(Y40,0,-1)+1</f>
        <v>6</v>
      </c>
      <c r="Z40" s="80">
        <f ca="1">OFFSET(Z40,0,-1)+1</f>
        <v>7</v>
      </c>
      <c r="AA40" s="80"/>
      <c r="AB40" s="80">
        <f ca="1">OFFSET(AB40,0,-2)+1</f>
        <v>8</v>
      </c>
      <c r="AC40" s="80">
        <f ca="1">OFFSET(AC40,0,-1)+1</f>
        <v>9</v>
      </c>
      <c r="AD40" s="80">
        <f ca="1">OFFSET(AD40,0,-1)+1</f>
        <v>10</v>
      </c>
      <c r="AE40" s="80">
        <f ca="1">OFFSET(AE40,0,-1)+1</f>
        <v>11</v>
      </c>
      <c r="AF40" s="80">
        <f ca="1">OFFSET(AF40,0,-1)+1</f>
        <v>12</v>
      </c>
      <c r="AG40" s="80">
        <f ca="1">OFFSET(AG40,0,-1)+1</f>
        <v>13</v>
      </c>
      <c r="AH40" s="80"/>
      <c r="AI40" s="80">
        <f ca="1">OFFSET(AI40,0,-2)+1</f>
        <v>14</v>
      </c>
      <c r="AJ40" s="79">
        <f ca="1">OFFSET(AJ40,0,-1)</f>
        <v>14</v>
      </c>
      <c r="AK40" s="80">
        <f ca="1">OFFSET(AK40,0,-1)+1</f>
        <v>15</v>
      </c>
      <c r="AL40" s="44"/>
      <c r="AM40" s="44"/>
      <c r="AN40" s="44"/>
      <c r="AO40" s="44"/>
      <c r="AP40" s="44"/>
      <c r="AQ40" s="37">
        <v>0</v>
      </c>
    </row>
    <row r="41" ht="24" customHeight="1" spans="1:43">
      <c r="A41" s="46" t="s">
        <v>227</v>
      </c>
      <c r="B41" s="46"/>
      <c r="C41" s="46"/>
      <c r="D41" s="46"/>
      <c r="E41" s="1052">
        <v>1</v>
      </c>
      <c r="F41" s="46"/>
      <c r="G41" s="46"/>
      <c r="H41" s="46"/>
      <c r="I41" s="46"/>
      <c r="J41" s="46"/>
      <c r="K41" s="46"/>
      <c r="L41" s="1054"/>
      <c r="M41" s="47"/>
      <c r="N41" s="47"/>
      <c r="O41" s="47"/>
      <c r="Q41" s="81"/>
      <c r="R41" s="82"/>
      <c r="S41" s="65">
        <f>INDEX(PT_DIFFERENTIATION_NUM_NTAR,MATCH(A41,PT_DIFFERENTIATION_NTAR_ID,0))</f>
        <v>0</v>
      </c>
      <c r="T41" s="83" t="s">
        <v>121</v>
      </c>
      <c r="U41" s="84"/>
      <c r="V41" s="1090"/>
      <c r="W41" s="1061"/>
      <c r="X41" s="1061"/>
      <c r="Y41" s="1061"/>
      <c r="Z41" s="1061"/>
      <c r="AA41" s="1061"/>
      <c r="AB41" s="1089"/>
      <c r="AC41" s="1090" t="str">
        <f>INDEX(PT_DIFFERENTIATION_NTAR,MATCH(A41,PT_DIFFERENTIATION_NTAR_ID,0))</f>
        <v/>
      </c>
      <c r="AD41" s="1061"/>
      <c r="AE41" s="1061"/>
      <c r="AF41" s="1061"/>
      <c r="AG41" s="1061"/>
      <c r="AH41" s="1061"/>
      <c r="AI41" s="1061"/>
      <c r="AJ41" s="1089"/>
      <c r="AK41"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51"/>
      <c r="AN41" s="151" t="str">
        <f t="shared" ref="AN41:AN53" si="1">IF(T41="","",T41)</f>
        <v>Наименование тарифа</v>
      </c>
      <c r="AO41" s="151"/>
      <c r="AP41" s="151"/>
      <c r="AQ41" s="43">
        <v>23</v>
      </c>
    </row>
    <row r="42" ht="24" customHeight="1" spans="1:43">
      <c r="A42" s="46" t="s">
        <v>227</v>
      </c>
      <c r="B42" s="46" t="s">
        <v>228</v>
      </c>
      <c r="C42" s="46"/>
      <c r="D42" s="46"/>
      <c r="E42" s="1053"/>
      <c r="F42" s="1052">
        <v>1</v>
      </c>
      <c r="G42" s="46"/>
      <c r="H42" s="46"/>
      <c r="I42" s="46"/>
      <c r="J42" s="46"/>
      <c r="K42" s="46"/>
      <c r="L42" s="1054"/>
      <c r="M42" s="47"/>
      <c r="N42" s="47"/>
      <c r="O42" s="47"/>
      <c r="P42" s="86"/>
      <c r="Q42" s="87"/>
      <c r="R42" s="88"/>
      <c r="S42" s="65" t="str">
        <f>INDEX(PT_DIFFERENTIATION_NUM_TER,MATCH(B42,PT_DIFFERENTIATION_TER_ID,0))</f>
        <v>.</v>
      </c>
      <c r="T42" s="89" t="s">
        <v>393</v>
      </c>
      <c r="U42" s="84"/>
      <c r="V42" s="1090"/>
      <c r="W42" s="1061"/>
      <c r="X42" s="1061"/>
      <c r="Y42" s="1061"/>
      <c r="Z42" s="1061"/>
      <c r="AA42" s="1061"/>
      <c r="AB42" s="1089"/>
      <c r="AC42" s="1090" t="str">
        <f>INDEX(PT_DIFFERENTIATION_TER,MATCH(B42,PT_DIFFERENTIATION_TER_ID,0))</f>
        <v/>
      </c>
      <c r="AD42" s="1061"/>
      <c r="AE42" s="1061"/>
      <c r="AF42" s="1061"/>
      <c r="AG42" s="1061"/>
      <c r="AH42" s="1061"/>
      <c r="AI42" s="1061"/>
      <c r="AJ42" s="1089"/>
      <c r="AK42" s="136" t="s">
        <v>394</v>
      </c>
      <c r="AM42" s="151"/>
      <c r="AN42" s="151" t="str">
        <f t="shared" si="1"/>
        <v>Территория действия тарифа</v>
      </c>
      <c r="AO42" s="151"/>
      <c r="AP42" s="151"/>
      <c r="AQ42" s="43">
        <v>23</v>
      </c>
    </row>
    <row r="43" ht="24" customHeight="1" spans="1:43">
      <c r="A43" s="46" t="s">
        <v>227</v>
      </c>
      <c r="B43" s="46" t="s">
        <v>228</v>
      </c>
      <c r="C43" s="46" t="s">
        <v>229</v>
      </c>
      <c r="D43" s="46"/>
      <c r="E43" s="1053"/>
      <c r="F43" s="1053"/>
      <c r="G43" s="1052">
        <v>1</v>
      </c>
      <c r="H43" s="46"/>
      <c r="I43" s="46"/>
      <c r="J43" s="46"/>
      <c r="K43" s="46"/>
      <c r="L43" s="1054"/>
      <c r="M43" s="47"/>
      <c r="N43" s="47"/>
      <c r="O43" s="47"/>
      <c r="P43" s="90"/>
      <c r="Q43" s="87"/>
      <c r="R43" s="88"/>
      <c r="S43" s="65" t="str">
        <f>INDEX(PT_DIFFERENTIATION_NUM_CS,MATCH(C43,PT_DIFFERENTIATION_CS_ID,0))</f>
        <v>..</v>
      </c>
      <c r="T43" s="91" t="s">
        <v>475</v>
      </c>
      <c r="U43" s="84"/>
      <c r="V43" s="1090"/>
      <c r="W43" s="1061"/>
      <c r="X43" s="1061"/>
      <c r="Y43" s="1061"/>
      <c r="Z43" s="1061"/>
      <c r="AA43" s="1061"/>
      <c r="AB43" s="1089"/>
      <c r="AC43" s="1090" t="str">
        <f>INDEX(PT_DIFFERENTIATION_CS,MATCH(C43,PT_DIFFERENTIATION_CS_ID,0))</f>
        <v/>
      </c>
      <c r="AD43" s="1061"/>
      <c r="AE43" s="1061"/>
      <c r="AF43" s="1061"/>
      <c r="AG43" s="1061"/>
      <c r="AH43" s="1061"/>
      <c r="AI43" s="1061"/>
      <c r="AJ43" s="1089"/>
      <c r="AK43" s="136" t="s">
        <v>476</v>
      </c>
      <c r="AM43" s="151"/>
      <c r="AN43" s="151" t="str">
        <f t="shared" si="1"/>
        <v>Наименование централизованной системы холодного водоснабжения</v>
      </c>
      <c r="AO43" s="151"/>
      <c r="AP43" s="151"/>
      <c r="AQ43" s="43">
        <v>23</v>
      </c>
    </row>
    <row r="44" ht="24" customHeight="1" spans="1:43">
      <c r="A44" s="46" t="s">
        <v>227</v>
      </c>
      <c r="B44" s="46" t="s">
        <v>228</v>
      </c>
      <c r="C44" s="46" t="s">
        <v>229</v>
      </c>
      <c r="D44" s="46" t="s">
        <v>490</v>
      </c>
      <c r="E44" s="1053"/>
      <c r="F44" s="1053"/>
      <c r="G44" s="1053"/>
      <c r="H44" s="1053"/>
      <c r="I44" s="229" t="str">
        <f>S43&amp;".1"</f>
        <v>...1</v>
      </c>
      <c r="J44" s="46"/>
      <c r="K44" s="46"/>
      <c r="L44" s="1054"/>
      <c r="P44" s="93">
        <v>1</v>
      </c>
      <c r="Q44" s="93"/>
      <c r="R44" s="94"/>
      <c r="S44" s="65" t="str">
        <f>$I44</f>
        <v>...1</v>
      </c>
      <c r="T44" s="95" t="s">
        <v>477</v>
      </c>
      <c r="U44" s="84"/>
      <c r="V44" s="1126"/>
      <c r="W44" s="1127"/>
      <c r="X44" s="1127"/>
      <c r="Y44" s="1127"/>
      <c r="Z44" s="1127"/>
      <c r="AA44" s="1127"/>
      <c r="AB44" s="1131"/>
      <c r="AC44" s="831"/>
      <c r="AD44" s="1134"/>
      <c r="AE44" s="1134"/>
      <c r="AF44" s="1134"/>
      <c r="AG44" s="1134"/>
      <c r="AH44" s="1134"/>
      <c r="AI44" s="1134"/>
      <c r="AJ44" s="1135"/>
      <c r="AK44" s="136" t="s">
        <v>478</v>
      </c>
      <c r="AM44" s="151"/>
      <c r="AN44" s="151" t="str">
        <f t="shared" si="1"/>
        <v>Наименование признака дифференциации</v>
      </c>
      <c r="AO44" s="151"/>
      <c r="AP44" s="151"/>
      <c r="AQ44" s="43">
        <v>23</v>
      </c>
    </row>
    <row r="45" ht="24" customHeight="1" spans="1:43">
      <c r="A45" s="46" t="s">
        <v>227</v>
      </c>
      <c r="B45" s="46" t="s">
        <v>228</v>
      </c>
      <c r="C45" s="46" t="s">
        <v>229</v>
      </c>
      <c r="D45" s="46" t="s">
        <v>490</v>
      </c>
      <c r="E45" s="1053"/>
      <c r="F45" s="1053"/>
      <c r="G45" s="1053"/>
      <c r="H45" s="1053"/>
      <c r="I45" s="1058"/>
      <c r="J45" s="229" t="str">
        <f>I44&amp;".1"</f>
        <v>...1.1</v>
      </c>
      <c r="K45" s="46"/>
      <c r="L45" s="1054" t="s">
        <v>402</v>
      </c>
      <c r="P45" s="93"/>
      <c r="Q45" s="93">
        <v>1</v>
      </c>
      <c r="R45" s="97"/>
      <c r="S45" s="65" t="str">
        <f>$J45</f>
        <v>...1.1</v>
      </c>
      <c r="T45" s="98" t="s">
        <v>403</v>
      </c>
      <c r="U45" s="84"/>
      <c r="V45" s="99"/>
      <c r="W45" s="100"/>
      <c r="X45" s="100"/>
      <c r="Y45" s="100"/>
      <c r="Z45" s="100"/>
      <c r="AA45" s="100"/>
      <c r="AB45" s="137"/>
      <c r="AC45" s="99"/>
      <c r="AD45" s="100"/>
      <c r="AE45" s="100"/>
      <c r="AF45" s="100"/>
      <c r="AG45" s="100"/>
      <c r="AH45" s="100"/>
      <c r="AI45" s="100"/>
      <c r="AJ45" s="137"/>
      <c r="AK45" s="1136" t="s">
        <v>479</v>
      </c>
      <c r="AM45" s="151"/>
      <c r="AN45" s="151" t="str">
        <f t="shared" si="1"/>
        <v>Группа потребителей</v>
      </c>
      <c r="AO45" s="151"/>
      <c r="AP45" s="151"/>
      <c r="AQ45" s="43">
        <v>23</v>
      </c>
    </row>
    <row r="46" ht="24" customHeight="1" spans="1:43">
      <c r="A46" s="46" t="s">
        <v>227</v>
      </c>
      <c r="B46" s="46" t="s">
        <v>228</v>
      </c>
      <c r="C46" s="46" t="s">
        <v>229</v>
      </c>
      <c r="D46" s="46" t="s">
        <v>490</v>
      </c>
      <c r="E46" s="1053"/>
      <c r="F46" s="1053"/>
      <c r="G46" s="1053"/>
      <c r="H46" s="1053"/>
      <c r="I46" s="1058"/>
      <c r="J46" s="1058"/>
      <c r="K46" s="229" t="str">
        <f>J45&amp;".1"</f>
        <v>...1.1.1</v>
      </c>
      <c r="L46" s="1054"/>
      <c r="P46" s="93"/>
      <c r="Q46" s="93"/>
      <c r="R46" s="97">
        <v>1</v>
      </c>
      <c r="S46" s="65" t="str">
        <f>$K46</f>
        <v>...1.1.1</v>
      </c>
      <c r="T46" s="1128"/>
      <c r="U46" s="84"/>
      <c r="V46" s="102"/>
      <c r="W46" s="102"/>
      <c r="X46" s="138"/>
      <c r="Y46" s="139"/>
      <c r="Z46" s="140" t="s">
        <v>66</v>
      </c>
      <c r="AA46" s="139"/>
      <c r="AB46" s="140" t="s">
        <v>66</v>
      </c>
      <c r="AC46" s="102"/>
      <c r="AD46" s="102"/>
      <c r="AE46" s="138"/>
      <c r="AF46" s="139"/>
      <c r="AG46" s="140" t="s">
        <v>66</v>
      </c>
      <c r="AH46" s="1137"/>
      <c r="AI46" s="140" t="s">
        <v>66</v>
      </c>
      <c r="AJ46" s="1138"/>
      <c r="AK46"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 t="e">
        <f>STRCHECKDATE(V47:AJ47)</f>
        <v>#NAME?</v>
      </c>
      <c r="AM46" s="151"/>
      <c r="AN46" s="151" t="str">
        <f t="shared" si="1"/>
        <v/>
      </c>
      <c r="AO46" s="151"/>
      <c r="AP46" s="151"/>
      <c r="AQ46" s="43">
        <v>23</v>
      </c>
    </row>
    <row r="47" hidden="1" customHeight="1" spans="1:43">
      <c r="A47" s="46" t="s">
        <v>227</v>
      </c>
      <c r="B47" s="46" t="s">
        <v>228</v>
      </c>
      <c r="C47" s="46" t="s">
        <v>229</v>
      </c>
      <c r="D47" s="46" t="s">
        <v>490</v>
      </c>
      <c r="E47" s="1053"/>
      <c r="F47" s="1053"/>
      <c r="G47" s="1053"/>
      <c r="H47" s="1053"/>
      <c r="I47" s="1058"/>
      <c r="J47" s="1058"/>
      <c r="K47" s="229"/>
      <c r="L47" s="1054"/>
      <c r="P47" s="93"/>
      <c r="Q47" s="93"/>
      <c r="R47" s="97"/>
      <c r="S47" s="104"/>
      <c r="T47" s="84"/>
      <c r="U47" s="84"/>
      <c r="V47" s="103"/>
      <c r="W47" s="103"/>
      <c r="X47" s="142" t="str">
        <f>Y46&amp;"-"&amp;AA46</f>
        <v>-</v>
      </c>
      <c r="Y47" s="143"/>
      <c r="Z47" s="140"/>
      <c r="AA47" s="143"/>
      <c r="AB47" s="140"/>
      <c r="AC47" s="103"/>
      <c r="AD47" s="103"/>
      <c r="AE47" s="142" t="str">
        <f>AF46&amp;"-"&amp;AH46</f>
        <v>-</v>
      </c>
      <c r="AF47" s="143"/>
      <c r="AG47" s="140"/>
      <c r="AH47" s="1140"/>
      <c r="AI47" s="140"/>
      <c r="AJ47" s="768"/>
      <c r="AK47" s="1139"/>
      <c r="AM47" s="151"/>
      <c r="AN47" s="151" t="str">
        <f t="shared" si="1"/>
        <v/>
      </c>
      <c r="AO47" s="151"/>
      <c r="AP47" s="151"/>
      <c r="AQ47" s="43">
        <v>0</v>
      </c>
    </row>
    <row r="48" ht="21" customHeight="1" spans="1:43">
      <c r="A48" s="46" t="s">
        <v>227</v>
      </c>
      <c r="B48" s="46" t="s">
        <v>228</v>
      </c>
      <c r="C48" s="46" t="s">
        <v>229</v>
      </c>
      <c r="D48" s="46" t="s">
        <v>490</v>
      </c>
      <c r="E48" s="1053"/>
      <c r="F48" s="1053"/>
      <c r="G48" s="1053"/>
      <c r="H48" s="1053"/>
      <c r="I48" s="1058"/>
      <c r="J48" s="229"/>
      <c r="K48" s="46"/>
      <c r="L48" s="1054"/>
      <c r="P48" s="93"/>
      <c r="Q48" s="93"/>
      <c r="R48" s="94"/>
      <c r="S48" s="105"/>
      <c r="T48" s="108" t="s">
        <v>480</v>
      </c>
      <c r="U48" s="107"/>
      <c r="V48" s="107"/>
      <c r="W48" s="107"/>
      <c r="X48" s="107"/>
      <c r="Y48" s="107"/>
      <c r="Z48" s="107"/>
      <c r="AA48" s="107"/>
      <c r="AB48" s="107"/>
      <c r="AC48" s="107"/>
      <c r="AD48" s="107"/>
      <c r="AE48" s="107"/>
      <c r="AF48" s="107"/>
      <c r="AG48" s="107"/>
      <c r="AH48" s="107"/>
      <c r="AI48" s="107"/>
      <c r="AJ48" s="107"/>
      <c r="AK48" s="136" t="s">
        <v>481</v>
      </c>
      <c r="AM48" s="151"/>
      <c r="AN48" s="151" t="str">
        <f t="shared" si="1"/>
        <v>Добавить значение признака дифференциации</v>
      </c>
      <c r="AO48" s="151"/>
      <c r="AP48" s="151"/>
      <c r="AQ48" s="43">
        <v>20</v>
      </c>
    </row>
    <row r="49" ht="22.05" customHeight="1" spans="1:43">
      <c r="A49" s="46" t="s">
        <v>227</v>
      </c>
      <c r="B49" s="46" t="s">
        <v>228</v>
      </c>
      <c r="C49" s="46" t="s">
        <v>229</v>
      </c>
      <c r="D49" s="46" t="s">
        <v>490</v>
      </c>
      <c r="E49" s="1053"/>
      <c r="F49" s="1053"/>
      <c r="G49" s="1053"/>
      <c r="H49" s="1053"/>
      <c r="I49" s="229"/>
      <c r="J49" s="46"/>
      <c r="K49" s="46"/>
      <c r="L49" s="1054"/>
      <c r="P49" s="93"/>
      <c r="Q49" s="93"/>
      <c r="R49" s="94"/>
      <c r="S49" s="105"/>
      <c r="T49" s="110" t="s">
        <v>408</v>
      </c>
      <c r="U49" s="107"/>
      <c r="V49" s="107"/>
      <c r="W49" s="107"/>
      <c r="X49" s="107"/>
      <c r="Y49" s="107"/>
      <c r="Z49" s="107"/>
      <c r="AA49" s="107"/>
      <c r="AB49" s="147"/>
      <c r="AC49" s="107"/>
      <c r="AD49" s="107"/>
      <c r="AE49" s="107"/>
      <c r="AF49" s="107"/>
      <c r="AG49" s="107"/>
      <c r="AH49" s="107"/>
      <c r="AI49" s="147"/>
      <c r="AJ49" s="107"/>
      <c r="AK49" s="1141"/>
      <c r="AM49" s="151"/>
      <c r="AN49" s="151" t="str">
        <f t="shared" si="1"/>
        <v>Добавить группу потребителей</v>
      </c>
      <c r="AO49" s="151"/>
      <c r="AP49" s="151"/>
      <c r="AQ49" s="43">
        <v>21</v>
      </c>
    </row>
    <row r="50" ht="22.05" customHeight="1" spans="1:43">
      <c r="A50" s="46" t="s">
        <v>227</v>
      </c>
      <c r="B50" s="46" t="s">
        <v>228</v>
      </c>
      <c r="C50" s="46" t="s">
        <v>229</v>
      </c>
      <c r="D50" s="46" t="s">
        <v>490</v>
      </c>
      <c r="E50" s="1053"/>
      <c r="F50" s="1053"/>
      <c r="G50" s="1053"/>
      <c r="H50" s="1052"/>
      <c r="I50" s="46"/>
      <c r="J50" s="46"/>
      <c r="K50" s="46"/>
      <c r="L50" s="1054"/>
      <c r="M50" s="47"/>
      <c r="N50" s="47"/>
      <c r="O50" s="38"/>
      <c r="P50" s="81"/>
      <c r="Q50" s="109"/>
      <c r="R50" s="82"/>
      <c r="S50" s="105"/>
      <c r="T50" s="821" t="s">
        <v>482</v>
      </c>
      <c r="U50" s="107"/>
      <c r="V50" s="107"/>
      <c r="W50" s="107"/>
      <c r="X50" s="107"/>
      <c r="Y50" s="107"/>
      <c r="Z50" s="107"/>
      <c r="AA50" s="107"/>
      <c r="AB50" s="147"/>
      <c r="AC50" s="107"/>
      <c r="AD50" s="107"/>
      <c r="AE50" s="107"/>
      <c r="AF50" s="107"/>
      <c r="AG50" s="107"/>
      <c r="AH50" s="107"/>
      <c r="AI50" s="147"/>
      <c r="AJ50" s="107"/>
      <c r="AK50" s="148"/>
      <c r="AM50" s="151"/>
      <c r="AN50" s="151" t="str">
        <f t="shared" si="1"/>
        <v>Добавить наименование признака дифференциации</v>
      </c>
      <c r="AO50" s="151"/>
      <c r="AP50" s="151"/>
      <c r="AQ50" s="43">
        <v>21</v>
      </c>
    </row>
    <row r="51" s="44" customFormat="1" hidden="1" customHeight="1" spans="1:43">
      <c r="A51" s="590" t="s">
        <v>227</v>
      </c>
      <c r="B51" s="590" t="s">
        <v>228</v>
      </c>
      <c r="C51" s="590"/>
      <c r="D51" s="590"/>
      <c r="E51" s="1053"/>
      <c r="F51" s="1052"/>
      <c r="G51" s="590"/>
      <c r="H51" s="590"/>
      <c r="I51" s="590"/>
      <c r="J51" s="590"/>
      <c r="K51" s="590"/>
      <c r="L51" s="611"/>
      <c r="M51" s="1059"/>
      <c r="N51" s="1059"/>
      <c r="P51" s="152"/>
      <c r="Q51" s="1082"/>
      <c r="R51" s="152"/>
      <c r="S51" s="1084"/>
      <c r="T51" s="1085" t="s">
        <v>411</v>
      </c>
      <c r="U51" s="307"/>
      <c r="V51" s="307"/>
      <c r="W51" s="307"/>
      <c r="X51" s="307"/>
      <c r="Y51" s="307"/>
      <c r="Z51" s="307"/>
      <c r="AA51" s="307"/>
      <c r="AB51" s="307"/>
      <c r="AC51" s="307"/>
      <c r="AD51" s="307"/>
      <c r="AE51" s="307"/>
      <c r="AF51" s="307"/>
      <c r="AG51" s="307"/>
      <c r="AH51" s="307"/>
      <c r="AI51" s="307"/>
      <c r="AJ51" s="307"/>
      <c r="AK51" s="307"/>
      <c r="AM51" s="151"/>
      <c r="AN51" s="151" t="str">
        <f t="shared" si="1"/>
        <v>Добавить централизованную систему для дифференциации</v>
      </c>
      <c r="AO51" s="151"/>
      <c r="AP51" s="151"/>
      <c r="AQ51" s="44">
        <v>0</v>
      </c>
    </row>
    <row r="52" s="44" customFormat="1" hidden="1" customHeight="1" spans="1:43">
      <c r="A52" s="590" t="s">
        <v>227</v>
      </c>
      <c r="B52" s="590"/>
      <c r="C52" s="590"/>
      <c r="D52" s="590"/>
      <c r="E52" s="1052"/>
      <c r="F52" s="590"/>
      <c r="G52" s="590"/>
      <c r="H52" s="590"/>
      <c r="I52" s="590"/>
      <c r="J52" s="590"/>
      <c r="K52" s="590"/>
      <c r="L52" s="611"/>
      <c r="M52" s="1059"/>
      <c r="N52" s="1059"/>
      <c r="P52" s="152"/>
      <c r="Q52" s="1082"/>
      <c r="R52" s="152"/>
      <c r="S52" s="1084"/>
      <c r="T52" s="1085" t="s">
        <v>412</v>
      </c>
      <c r="U52" s="307"/>
      <c r="V52" s="307"/>
      <c r="W52" s="307"/>
      <c r="X52" s="307"/>
      <c r="Y52" s="307"/>
      <c r="Z52" s="307"/>
      <c r="AA52" s="307"/>
      <c r="AB52" s="307"/>
      <c r="AC52" s="307"/>
      <c r="AD52" s="307"/>
      <c r="AE52" s="307"/>
      <c r="AF52" s="307"/>
      <c r="AG52" s="307"/>
      <c r="AH52" s="307"/>
      <c r="AI52" s="307"/>
      <c r="AJ52" s="307"/>
      <c r="AK52" s="307"/>
      <c r="AM52" s="151"/>
      <c r="AN52" s="151" t="str">
        <f t="shared" si="1"/>
        <v>Добавить территорию для дифференциации</v>
      </c>
      <c r="AO52" s="151"/>
      <c r="AP52" s="151"/>
      <c r="AQ52" s="44">
        <v>0</v>
      </c>
    </row>
    <row r="53" s="44" customFormat="1" hidden="1" customHeight="1" spans="1:43">
      <c r="A53" s="590"/>
      <c r="B53" s="590"/>
      <c r="C53" s="590"/>
      <c r="D53" s="590"/>
      <c r="E53" s="590"/>
      <c r="F53" s="590"/>
      <c r="G53" s="590"/>
      <c r="H53" s="590"/>
      <c r="I53" s="590"/>
      <c r="J53" s="590"/>
      <c r="K53" s="590"/>
      <c r="L53" s="611"/>
      <c r="M53" s="1059"/>
      <c r="N53" s="1059"/>
      <c r="P53" s="152"/>
      <c r="Q53" s="1082"/>
      <c r="R53" s="152"/>
      <c r="S53" s="1084"/>
      <c r="T53" s="1085" t="s">
        <v>440</v>
      </c>
      <c r="U53" s="307"/>
      <c r="V53" s="307"/>
      <c r="W53" s="307"/>
      <c r="X53" s="307"/>
      <c r="Y53" s="307"/>
      <c r="Z53" s="307"/>
      <c r="AA53" s="307"/>
      <c r="AB53" s="307"/>
      <c r="AC53" s="307"/>
      <c r="AD53" s="307"/>
      <c r="AE53" s="307"/>
      <c r="AF53" s="307"/>
      <c r="AG53" s="307"/>
      <c r="AH53" s="307"/>
      <c r="AI53" s="307"/>
      <c r="AJ53" s="307"/>
      <c r="AK53" s="307"/>
      <c r="AM53" s="151"/>
      <c r="AN53" s="151" t="str">
        <f t="shared" si="1"/>
        <v>Добавить наименование тарифа</v>
      </c>
      <c r="AO53" s="151"/>
      <c r="AP53" s="151"/>
      <c r="AQ53" s="44">
        <v>0</v>
      </c>
    </row>
    <row r="54" ht="11.55" customHeight="1" spans="13:43">
      <c r="M54" s="38"/>
      <c r="N54" s="38"/>
      <c r="O54" s="38"/>
      <c r="P54" s="43"/>
      <c r="Q54" s="43"/>
      <c r="R54" s="43"/>
      <c r="S54" s="43"/>
      <c r="AL54" s="43"/>
      <c r="AM54" s="43"/>
      <c r="AN54" s="43"/>
      <c r="AO54" s="43"/>
      <c r="AP54" s="43"/>
      <c r="AQ54" s="43">
        <v>11</v>
      </c>
    </row>
    <row r="55" ht="14.7" customHeight="1" spans="15:43">
      <c r="O55" s="38"/>
      <c r="S55" s="786"/>
      <c r="T55" s="120"/>
      <c r="U55" s="120"/>
      <c r="V55" s="120"/>
      <c r="W55" s="120"/>
      <c r="X55" s="120"/>
      <c r="Y55" s="120"/>
      <c r="Z55" s="120"/>
      <c r="AA55" s="120"/>
      <c r="AB55" s="120"/>
      <c r="AC55" s="120"/>
      <c r="AD55" s="120"/>
      <c r="AE55" s="120"/>
      <c r="AF55" s="120"/>
      <c r="AG55" s="120"/>
      <c r="AH55" s="120"/>
      <c r="AI55" s="120"/>
      <c r="AJ55" s="120"/>
      <c r="AK55" s="120"/>
      <c r="AQ55" s="43">
        <v>14</v>
      </c>
    </row>
    <row r="56" ht="14.7" customHeight="1" spans="15:43">
      <c r="O56" s="38"/>
      <c r="AQ56" s="43">
        <v>14</v>
      </c>
    </row>
    <row r="57" ht="14.7" customHeight="1" spans="15:43">
      <c r="O57" s="38"/>
      <c r="S57" s="786"/>
      <c r="T57" s="120"/>
      <c r="U57" s="120"/>
      <c r="V57" s="120"/>
      <c r="W57" s="120"/>
      <c r="X57" s="120"/>
      <c r="Y57" s="120"/>
      <c r="Z57" s="120"/>
      <c r="AA57" s="120"/>
      <c r="AB57" s="120"/>
      <c r="AC57" s="120"/>
      <c r="AD57" s="120"/>
      <c r="AE57" s="120"/>
      <c r="AF57" s="120"/>
      <c r="AG57" s="120"/>
      <c r="AH57" s="120"/>
      <c r="AI57" s="120"/>
      <c r="AJ57" s="120"/>
      <c r="AK57" s="120"/>
      <c r="AQ57" s="43">
        <v>14</v>
      </c>
    </row>
    <row r="58" ht="22.5" hidden="1" customHeight="1" spans="1:43">
      <c r="A58" s="38" t="s">
        <v>83</v>
      </c>
      <c r="B58" s="38">
        <v>0</v>
      </c>
      <c r="C58" s="38">
        <v>0</v>
      </c>
      <c r="D58" s="38">
        <v>0</v>
      </c>
      <c r="E58" s="38">
        <v>0</v>
      </c>
      <c r="F58" s="38">
        <v>0</v>
      </c>
      <c r="G58" s="38">
        <v>0</v>
      </c>
      <c r="H58" s="38">
        <v>0</v>
      </c>
      <c r="I58" s="38">
        <v>0</v>
      </c>
      <c r="J58" s="38">
        <v>0</v>
      </c>
      <c r="K58" s="38">
        <v>0</v>
      </c>
      <c r="L58" s="48">
        <v>0</v>
      </c>
      <c r="M58" s="39">
        <v>0</v>
      </c>
      <c r="N58" s="39">
        <v>0</v>
      </c>
      <c r="O58" s="39">
        <v>0</v>
      </c>
      <c r="P58" s="40">
        <v>3</v>
      </c>
      <c r="Q58" s="41">
        <v>3</v>
      </c>
      <c r="R58" s="41">
        <v>3</v>
      </c>
      <c r="S58" s="42">
        <v>12</v>
      </c>
      <c r="T58" s="43">
        <v>35</v>
      </c>
      <c r="U58" s="43">
        <v>0</v>
      </c>
      <c r="V58" s="43">
        <v>0</v>
      </c>
      <c r="W58" s="43">
        <v>0</v>
      </c>
      <c r="X58" s="43">
        <v>0</v>
      </c>
      <c r="Y58" s="43">
        <v>0</v>
      </c>
      <c r="Z58" s="43">
        <v>0</v>
      </c>
      <c r="AA58" s="43">
        <v>0</v>
      </c>
      <c r="AB58" s="43">
        <v>0</v>
      </c>
      <c r="AC58" s="43">
        <v>24</v>
      </c>
      <c r="AD58" s="43">
        <v>24</v>
      </c>
      <c r="AE58" s="43">
        <v>24</v>
      </c>
      <c r="AF58" s="43">
        <v>11</v>
      </c>
      <c r="AG58" s="43">
        <v>3</v>
      </c>
      <c r="AH58" s="43">
        <v>11</v>
      </c>
      <c r="AI58" s="43">
        <v>0</v>
      </c>
      <c r="AJ58" s="43">
        <v>4</v>
      </c>
      <c r="AK58" s="43">
        <v>115</v>
      </c>
      <c r="AL58" s="44">
        <v>10</v>
      </c>
      <c r="AM58" s="44">
        <v>10</v>
      </c>
      <c r="AN58" s="44">
        <v>10</v>
      </c>
      <c r="AO58" s="44">
        <v>10</v>
      </c>
      <c r="AP58" s="44">
        <v>10</v>
      </c>
      <c r="AQ58" s="43">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4.1428571428571" style="38" hidden="1" customWidth="1"/>
    <col min="10" max="10" width="9.84761904761905" style="38" hidden="1" customWidth="1"/>
    <col min="11" max="11" width="14.7142857142857"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5" style="43" customWidth="1"/>
    <col min="21" max="21" width="0.142857142857143" style="43" customWidth="1"/>
    <col min="22" max="24" width="24.7142857142857" style="43" hidden="1" customWidth="1"/>
    <col min="25" max="25" width="11.7142857142857" style="43" hidden="1" customWidth="1"/>
    <col min="26" max="26" width="3.71428571428571" style="43" hidden="1" customWidth="1"/>
    <col min="27" max="27" width="11.7142857142857" style="43" hidden="1" customWidth="1"/>
    <col min="28" max="28" width="8.57142857142857" style="43" hidden="1" customWidth="1"/>
    <col min="29" max="29" width="24.7142857142857" style="43" customWidth="1"/>
    <col min="30" max="31" width="24" style="43" customWidth="1"/>
    <col min="32" max="32" width="11" style="43" customWidth="1"/>
    <col min="33" max="33" width="3.71428571428571" style="43" customWidth="1"/>
    <col min="34" max="34" width="11" style="43" customWidth="1"/>
    <col min="35" max="35" width="8.57142857142857" style="43" hidden="1" customWidth="1"/>
    <col min="36" max="36" width="4" style="43" customWidth="1"/>
    <col min="37" max="37" width="115" style="43" customWidth="1"/>
    <col min="38" max="42" width="10" style="44" customWidth="1"/>
    <col min="43" max="43" width="10.5714285714286" style="43" hidden="1"/>
  </cols>
  <sheetData>
    <row r="1" ht="22.5" hidden="1" customHeight="1" spans="43:43">
      <c r="AQ1" s="43" t="s">
        <v>14</v>
      </c>
    </row>
    <row r="2" ht="23.25" hidden="1" customHeight="1" spans="1:43">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89"/>
      <c r="AC2" s="1090" t="e">
        <f>INDEX(PT_DIFFERENTIATION_NTAR,MATCH(A2,PT_DIFFERENTIATION_NTAR_ID,0))</f>
        <v>#N/A</v>
      </c>
      <c r="AD2" s="1061"/>
      <c r="AE2" s="1061"/>
      <c r="AF2" s="1061"/>
      <c r="AG2" s="1061"/>
      <c r="AH2" s="1061"/>
      <c r="AI2" s="1061"/>
      <c r="AJ2" s="1089"/>
      <c r="AK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51"/>
      <c r="AN2" s="151" t="str">
        <f t="shared" ref="AN2:AN13" si="0">IF(T2="","",T2)</f>
        <v>Наименование тарифа</v>
      </c>
      <c r="AO2" s="151"/>
      <c r="AP2" s="151"/>
      <c r="AQ2" s="43">
        <v>0</v>
      </c>
    </row>
    <row r="3" ht="23.25" hidden="1" customHeight="1" spans="1:43">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89"/>
      <c r="AC3" s="1090" t="e">
        <f>INDEX(PT_DIFFERENTIATION_TER,MATCH(B3,PT_DIFFERENTIATION_TER_ID,0))</f>
        <v>#N/A</v>
      </c>
      <c r="AD3" s="1061"/>
      <c r="AE3" s="1061"/>
      <c r="AF3" s="1061"/>
      <c r="AG3" s="1061"/>
      <c r="AH3" s="1061"/>
      <c r="AI3" s="1061"/>
      <c r="AJ3" s="1089"/>
      <c r="AK3" s="136" t="s">
        <v>394</v>
      </c>
      <c r="AM3" s="151"/>
      <c r="AN3" s="151" t="str">
        <f t="shared" si="0"/>
        <v>Территория действия тарифа</v>
      </c>
      <c r="AO3" s="151"/>
      <c r="AP3" s="151"/>
      <c r="AQ3" s="43">
        <v>0</v>
      </c>
    </row>
    <row r="4" ht="23.25" hidden="1" customHeight="1" spans="1:43">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475</v>
      </c>
      <c r="U4" s="84"/>
      <c r="V4" s="1090"/>
      <c r="W4" s="1061"/>
      <c r="X4" s="1061"/>
      <c r="Y4" s="1061"/>
      <c r="Z4" s="1061"/>
      <c r="AA4" s="1061"/>
      <c r="AB4" s="1089"/>
      <c r="AC4" s="1090" t="e">
        <f>INDEX(PT_DIFFERENTIATION_CS,MATCH(C4,PT_DIFFERENTIATION_CS_ID,0))</f>
        <v>#N/A</v>
      </c>
      <c r="AD4" s="1061"/>
      <c r="AE4" s="1061"/>
      <c r="AF4" s="1061"/>
      <c r="AG4" s="1061"/>
      <c r="AH4" s="1061"/>
      <c r="AI4" s="1061"/>
      <c r="AJ4" s="1089"/>
      <c r="AK4" s="136" t="s">
        <v>476</v>
      </c>
      <c r="AM4" s="151"/>
      <c r="AN4" s="151" t="str">
        <f t="shared" si="0"/>
        <v>Наименование централизованной системы холодного водоснабжения</v>
      </c>
      <c r="AO4" s="151"/>
      <c r="AP4" s="151"/>
      <c r="AQ4" s="43">
        <v>0</v>
      </c>
    </row>
    <row r="5" ht="23.25" hidden="1" customHeight="1" spans="1:43">
      <c r="A5" s="46"/>
      <c r="B5" s="46"/>
      <c r="C5" s="46"/>
      <c r="D5" s="46"/>
      <c r="E5" s="1053"/>
      <c r="F5" s="1053"/>
      <c r="G5" s="1053"/>
      <c r="H5" s="1053"/>
      <c r="I5" s="229" t="e">
        <f>S4&amp;".1"</f>
        <v>#N/A</v>
      </c>
      <c r="J5" s="46"/>
      <c r="K5" s="46"/>
      <c r="L5" s="1054"/>
      <c r="P5" s="93">
        <v>1</v>
      </c>
      <c r="Q5" s="93"/>
      <c r="R5" s="94"/>
      <c r="S5" s="65" t="e">
        <f>$I5</f>
        <v>#N/A</v>
      </c>
      <c r="T5" s="95" t="s">
        <v>477</v>
      </c>
      <c r="U5" s="84"/>
      <c r="V5" s="1126"/>
      <c r="W5" s="1127"/>
      <c r="X5" s="1127"/>
      <c r="Y5" s="1127"/>
      <c r="Z5" s="1127"/>
      <c r="AA5" s="1127"/>
      <c r="AB5" s="1131"/>
      <c r="AC5" s="831"/>
      <c r="AD5" s="1134"/>
      <c r="AE5" s="1134"/>
      <c r="AF5" s="1134"/>
      <c r="AG5" s="1134"/>
      <c r="AH5" s="1134"/>
      <c r="AI5" s="1134"/>
      <c r="AJ5" s="1135"/>
      <c r="AK5" s="136" t="s">
        <v>478</v>
      </c>
      <c r="AM5" s="151"/>
      <c r="AN5" s="151" t="str">
        <f t="shared" si="0"/>
        <v>Наименование признака дифференциации</v>
      </c>
      <c r="AO5" s="151"/>
      <c r="AP5" s="151"/>
      <c r="AQ5" s="43">
        <v>0</v>
      </c>
    </row>
    <row r="6" ht="23.25" hidden="1" customHeight="1" spans="1:43">
      <c r="A6" s="46"/>
      <c r="B6" s="46"/>
      <c r="C6" s="46"/>
      <c r="D6" s="46"/>
      <c r="E6" s="1053"/>
      <c r="F6" s="1053"/>
      <c r="G6" s="1053"/>
      <c r="H6" s="1053"/>
      <c r="I6" s="1058"/>
      <c r="J6" s="229" t="e">
        <f>I5&amp;".1"</f>
        <v>#N/A</v>
      </c>
      <c r="K6" s="46"/>
      <c r="L6" s="1054" t="s">
        <v>402</v>
      </c>
      <c r="P6" s="93"/>
      <c r="Q6" s="93">
        <v>1</v>
      </c>
      <c r="R6" s="97"/>
      <c r="S6" s="65" t="e">
        <f>$J6</f>
        <v>#N/A</v>
      </c>
      <c r="T6" s="98" t="s">
        <v>403</v>
      </c>
      <c r="U6" s="84"/>
      <c r="V6" s="99"/>
      <c r="W6" s="100"/>
      <c r="X6" s="100"/>
      <c r="Y6" s="100"/>
      <c r="Z6" s="100"/>
      <c r="AA6" s="100"/>
      <c r="AB6" s="137"/>
      <c r="AC6" s="99"/>
      <c r="AD6" s="100"/>
      <c r="AE6" s="100"/>
      <c r="AF6" s="100"/>
      <c r="AG6" s="100"/>
      <c r="AH6" s="100"/>
      <c r="AI6" s="100"/>
      <c r="AJ6" s="137"/>
      <c r="AK6" s="1136" t="s">
        <v>479</v>
      </c>
      <c r="AM6" s="151"/>
      <c r="AN6" s="151" t="str">
        <f t="shared" si="0"/>
        <v>Группа потребителей</v>
      </c>
      <c r="AO6" s="151"/>
      <c r="AP6" s="151"/>
      <c r="AQ6" s="43">
        <v>0</v>
      </c>
    </row>
    <row r="7" ht="23.25" hidden="1" customHeight="1" spans="1:43">
      <c r="A7" s="46"/>
      <c r="B7" s="46"/>
      <c r="C7" s="46"/>
      <c r="D7" s="46"/>
      <c r="E7" s="1053"/>
      <c r="F7" s="1053"/>
      <c r="G7" s="1053"/>
      <c r="H7" s="1053"/>
      <c r="I7" s="1058"/>
      <c r="J7" s="1058"/>
      <c r="K7" s="229" t="e">
        <f>J6&amp;".1"</f>
        <v>#N/A</v>
      </c>
      <c r="L7" s="1054"/>
      <c r="P7" s="93"/>
      <c r="Q7" s="93"/>
      <c r="R7" s="97">
        <v>1</v>
      </c>
      <c r="S7" s="65" t="e">
        <f>$K7</f>
        <v>#N/A</v>
      </c>
      <c r="T7" s="1128"/>
      <c r="U7" s="84"/>
      <c r="V7" s="102"/>
      <c r="W7" s="102"/>
      <c r="X7" s="138"/>
      <c r="Y7" s="139"/>
      <c r="Z7" s="140" t="s">
        <v>66</v>
      </c>
      <c r="AA7" s="139"/>
      <c r="AB7" s="140" t="s">
        <v>66</v>
      </c>
      <c r="AC7" s="102"/>
      <c r="AD7" s="102"/>
      <c r="AE7" s="138"/>
      <c r="AF7" s="139"/>
      <c r="AG7" s="140" t="s">
        <v>66</v>
      </c>
      <c r="AH7" s="1137"/>
      <c r="AI7" s="140" t="s">
        <v>66</v>
      </c>
      <c r="AJ7" s="1138"/>
      <c r="AK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 t="e">
        <f>STRCHECKDATE(V8:AJ8)</f>
        <v>#NAME?</v>
      </c>
      <c r="AM7" s="151"/>
      <c r="AN7" s="151" t="str">
        <f t="shared" si="0"/>
        <v/>
      </c>
      <c r="AO7" s="151"/>
      <c r="AP7" s="151"/>
      <c r="AQ7" s="43">
        <v>0</v>
      </c>
    </row>
    <row r="8" hidden="1" customHeight="1" spans="1:43">
      <c r="A8" s="46"/>
      <c r="B8" s="46"/>
      <c r="C8" s="46"/>
      <c r="D8" s="46"/>
      <c r="E8" s="1053"/>
      <c r="F8" s="1053"/>
      <c r="G8" s="1053"/>
      <c r="H8" s="1053"/>
      <c r="I8" s="1058"/>
      <c r="J8" s="1058"/>
      <c r="K8" s="229"/>
      <c r="L8" s="1054"/>
      <c r="P8" s="93"/>
      <c r="Q8" s="93"/>
      <c r="R8" s="97"/>
      <c r="S8" s="104"/>
      <c r="T8" s="84"/>
      <c r="U8" s="84"/>
      <c r="V8" s="103"/>
      <c r="W8" s="103"/>
      <c r="X8" s="142" t="str">
        <f>Y7&amp;"-"&amp;AA7</f>
        <v>-</v>
      </c>
      <c r="Y8" s="143"/>
      <c r="Z8" s="140"/>
      <c r="AA8" s="143"/>
      <c r="AB8" s="140"/>
      <c r="AC8" s="103"/>
      <c r="AD8" s="103"/>
      <c r="AE8" s="142" t="str">
        <f>AF7&amp;"-"&amp;AH7</f>
        <v>-</v>
      </c>
      <c r="AF8" s="143"/>
      <c r="AG8" s="140"/>
      <c r="AH8" s="1140"/>
      <c r="AI8" s="140"/>
      <c r="AJ8" s="768"/>
      <c r="AK8" s="1139"/>
      <c r="AM8" s="151"/>
      <c r="AN8" s="151" t="str">
        <f t="shared" si="0"/>
        <v/>
      </c>
      <c r="AO8" s="151"/>
      <c r="AP8" s="151"/>
      <c r="AQ8" s="43">
        <v>0</v>
      </c>
    </row>
    <row r="9" ht="21" hidden="1" customHeight="1" spans="1:43">
      <c r="A9" s="46"/>
      <c r="B9" s="46"/>
      <c r="C9" s="46"/>
      <c r="D9" s="46"/>
      <c r="E9" s="1053"/>
      <c r="F9" s="1053"/>
      <c r="G9" s="1053"/>
      <c r="H9" s="1053"/>
      <c r="I9" s="1058"/>
      <c r="J9" s="229"/>
      <c r="K9" s="46"/>
      <c r="L9" s="1054"/>
      <c r="P9" s="93"/>
      <c r="Q9" s="93"/>
      <c r="R9" s="94"/>
      <c r="S9" s="105"/>
      <c r="T9" s="108" t="s">
        <v>480</v>
      </c>
      <c r="U9" s="107"/>
      <c r="V9" s="107"/>
      <c r="W9" s="107"/>
      <c r="X9" s="107"/>
      <c r="Y9" s="107"/>
      <c r="Z9" s="107"/>
      <c r="AA9" s="107"/>
      <c r="AB9" s="107"/>
      <c r="AC9" s="107"/>
      <c r="AD9" s="107"/>
      <c r="AE9" s="107"/>
      <c r="AF9" s="107"/>
      <c r="AG9" s="107"/>
      <c r="AH9" s="107"/>
      <c r="AI9" s="107"/>
      <c r="AJ9" s="107"/>
      <c r="AK9" s="136" t="s">
        <v>481</v>
      </c>
      <c r="AM9" s="151"/>
      <c r="AN9" s="151" t="str">
        <f t="shared" si="0"/>
        <v>Добавить значение признака дифференциации</v>
      </c>
      <c r="AO9" s="151"/>
      <c r="AP9" s="151"/>
      <c r="AQ9" s="43">
        <v>0</v>
      </c>
    </row>
    <row r="10" ht="21" hidden="1" customHeight="1" spans="1:43">
      <c r="A10" s="46"/>
      <c r="B10" s="46"/>
      <c r="C10" s="46"/>
      <c r="D10" s="46"/>
      <c r="E10" s="1053"/>
      <c r="F10" s="1053"/>
      <c r="G10" s="1053"/>
      <c r="H10" s="1053"/>
      <c r="I10" s="229"/>
      <c r="J10" s="46"/>
      <c r="K10" s="46"/>
      <c r="L10" s="1054"/>
      <c r="P10" s="93"/>
      <c r="Q10" s="93"/>
      <c r="R10" s="94"/>
      <c r="S10" s="105"/>
      <c r="T10" s="110" t="s">
        <v>408</v>
      </c>
      <c r="U10" s="107"/>
      <c r="V10" s="107"/>
      <c r="W10" s="107"/>
      <c r="X10" s="107"/>
      <c r="Y10" s="107"/>
      <c r="Z10" s="107"/>
      <c r="AA10" s="107"/>
      <c r="AB10" s="147"/>
      <c r="AC10" s="107"/>
      <c r="AD10" s="107"/>
      <c r="AE10" s="107"/>
      <c r="AF10" s="107"/>
      <c r="AG10" s="107"/>
      <c r="AH10" s="107"/>
      <c r="AI10" s="147"/>
      <c r="AJ10" s="107"/>
      <c r="AK10" s="1141"/>
      <c r="AM10" s="151"/>
      <c r="AN10" s="151" t="str">
        <f t="shared" si="0"/>
        <v>Добавить группу потребителей</v>
      </c>
      <c r="AO10" s="151"/>
      <c r="AP10" s="151"/>
      <c r="AQ10" s="43">
        <v>0</v>
      </c>
    </row>
    <row r="11" ht="21" hidden="1" customHeight="1" spans="1:43">
      <c r="A11" s="46"/>
      <c r="B11" s="46"/>
      <c r="C11" s="46"/>
      <c r="D11" s="46"/>
      <c r="E11" s="1053"/>
      <c r="F11" s="1053"/>
      <c r="G11" s="1053"/>
      <c r="H11" s="1052"/>
      <c r="I11" s="46"/>
      <c r="J11" s="46"/>
      <c r="K11" s="46"/>
      <c r="L11" s="1054"/>
      <c r="M11" s="47"/>
      <c r="N11" s="47"/>
      <c r="O11" s="38"/>
      <c r="P11" s="81"/>
      <c r="Q11" s="109"/>
      <c r="R11" s="82"/>
      <c r="S11" s="105"/>
      <c r="T11" s="821" t="s">
        <v>482</v>
      </c>
      <c r="U11" s="107"/>
      <c r="V11" s="107"/>
      <c r="W11" s="107"/>
      <c r="X11" s="107"/>
      <c r="Y11" s="107"/>
      <c r="Z11" s="107"/>
      <c r="AA11" s="107"/>
      <c r="AB11" s="147"/>
      <c r="AC11" s="107"/>
      <c r="AD11" s="107"/>
      <c r="AE11" s="107"/>
      <c r="AF11" s="107"/>
      <c r="AG11" s="107"/>
      <c r="AH11" s="107"/>
      <c r="AI11" s="147"/>
      <c r="AJ11" s="107"/>
      <c r="AK11" s="148"/>
      <c r="AM11" s="151"/>
      <c r="AN11" s="151" t="str">
        <f t="shared" si="0"/>
        <v>Добавить наименование признака дифференциации</v>
      </c>
      <c r="AO11" s="151"/>
      <c r="AP11" s="151"/>
      <c r="AQ11" s="43">
        <v>0</v>
      </c>
    </row>
    <row r="12" s="44" customFormat="1" hidden="1" customHeight="1" spans="1:43">
      <c r="A12" s="590"/>
      <c r="B12" s="590"/>
      <c r="C12" s="590"/>
      <c r="D12" s="590"/>
      <c r="E12" s="1053"/>
      <c r="F12" s="1052"/>
      <c r="G12" s="590"/>
      <c r="H12" s="590"/>
      <c r="I12" s="590"/>
      <c r="J12" s="590"/>
      <c r="K12" s="590"/>
      <c r="L12" s="611"/>
      <c r="M12" s="1059"/>
      <c r="N12" s="1059"/>
      <c r="P12" s="152"/>
      <c r="Q12" s="1082"/>
      <c r="R12" s="152"/>
      <c r="S12" s="1084"/>
      <c r="T12" s="1085" t="s">
        <v>411</v>
      </c>
      <c r="U12" s="307"/>
      <c r="V12" s="307"/>
      <c r="W12" s="307"/>
      <c r="X12" s="307"/>
      <c r="Y12" s="307"/>
      <c r="Z12" s="307"/>
      <c r="AA12" s="307"/>
      <c r="AB12" s="307"/>
      <c r="AC12" s="307"/>
      <c r="AD12" s="307"/>
      <c r="AE12" s="307"/>
      <c r="AF12" s="307"/>
      <c r="AG12" s="307"/>
      <c r="AH12" s="307"/>
      <c r="AI12" s="307"/>
      <c r="AJ12" s="307"/>
      <c r="AK12" s="307"/>
      <c r="AM12" s="151"/>
      <c r="AN12" s="151" t="str">
        <f t="shared" si="0"/>
        <v>Добавить централизованную систему для дифференциации</v>
      </c>
      <c r="AO12" s="151"/>
      <c r="AP12" s="151"/>
      <c r="AQ12" s="44">
        <v>0</v>
      </c>
    </row>
    <row r="13" s="44" customFormat="1" hidden="1" customHeight="1" spans="1:43">
      <c r="A13" s="590"/>
      <c r="B13" s="590"/>
      <c r="C13" s="590"/>
      <c r="D13" s="590"/>
      <c r="E13" s="1052"/>
      <c r="F13" s="590"/>
      <c r="G13" s="590"/>
      <c r="H13" s="590"/>
      <c r="I13" s="590"/>
      <c r="J13" s="590"/>
      <c r="K13" s="590"/>
      <c r="L13" s="611"/>
      <c r="M13" s="1059"/>
      <c r="N13" s="1059"/>
      <c r="P13" s="152"/>
      <c r="Q13" s="1082"/>
      <c r="R13" s="152"/>
      <c r="S13" s="1084"/>
      <c r="T13" s="1085" t="s">
        <v>412</v>
      </c>
      <c r="U13" s="307"/>
      <c r="V13" s="307"/>
      <c r="W13" s="307"/>
      <c r="X13" s="307"/>
      <c r="Y13" s="307"/>
      <c r="Z13" s="307"/>
      <c r="AA13" s="307"/>
      <c r="AB13" s="307"/>
      <c r="AC13" s="307"/>
      <c r="AD13" s="307"/>
      <c r="AE13" s="307"/>
      <c r="AF13" s="307"/>
      <c r="AG13" s="307"/>
      <c r="AH13" s="307"/>
      <c r="AI13" s="307"/>
      <c r="AJ13" s="307"/>
      <c r="AK13" s="307"/>
      <c r="AM13" s="151"/>
      <c r="AN13" s="151" t="str">
        <f t="shared" si="0"/>
        <v>Добавить территорию для дифференциации</v>
      </c>
      <c r="AO13" s="151"/>
      <c r="AP13" s="151"/>
      <c r="AQ13" s="44">
        <v>0</v>
      </c>
    </row>
    <row r="14" hidden="1" customHeight="1" spans="43:43">
      <c r="AQ14" s="43">
        <v>0</v>
      </c>
    </row>
    <row r="15" hidden="1" customHeight="1" spans="29:43">
      <c r="AC15" s="492"/>
      <c r="AD15" s="492"/>
      <c r="AE15" s="1132"/>
      <c r="AF15" s="1133"/>
      <c r="AG15" s="353" t="s">
        <v>66</v>
      </c>
      <c r="AH15" s="1133"/>
      <c r="AI15" s="353" t="s">
        <v>66</v>
      </c>
      <c r="AQ15" s="43">
        <v>0</v>
      </c>
    </row>
    <row r="16" hidden="1" customHeight="1" spans="29:43">
      <c r="AC16" s="492"/>
      <c r="AD16" s="492"/>
      <c r="AE16" s="142" t="str">
        <f>AF15&amp;"-"&amp;AH15</f>
        <v>-</v>
      </c>
      <c r="AF16" s="353"/>
      <c r="AG16" s="353"/>
      <c r="AH16" s="353"/>
      <c r="AI16" s="353"/>
      <c r="AQ16" s="43">
        <v>0</v>
      </c>
    </row>
    <row r="17" hidden="1" customHeight="1" spans="43:43">
      <c r="AQ17" s="43">
        <v>0</v>
      </c>
    </row>
    <row r="18" s="38" customFormat="1" ht="22.5" hidden="1" customHeight="1" spans="12:43">
      <c r="L18" s="48"/>
      <c r="M18" s="39"/>
      <c r="N18" s="39"/>
      <c r="O18" s="1060" t="s">
        <v>413</v>
      </c>
      <c r="P18" s="39"/>
      <c r="Q18" s="1051"/>
      <c r="R18" s="1051"/>
      <c r="S18" s="47"/>
      <c r="Y18" s="1060"/>
      <c r="AA18" s="1060"/>
      <c r="AF18" s="1060"/>
      <c r="AH18" s="1060"/>
      <c r="AL18" s="44"/>
      <c r="AM18" s="44"/>
      <c r="AN18" s="44"/>
      <c r="AO18" s="44"/>
      <c r="AP18" s="44"/>
      <c r="AQ18" s="38">
        <v>0</v>
      </c>
    </row>
    <row r="19" s="38" customFormat="1" hidden="1" customHeight="1" spans="12:43">
      <c r="L19" s="48"/>
      <c r="M19" s="39"/>
      <c r="N19" s="39"/>
      <c r="O19" s="39"/>
      <c r="P19" s="39"/>
      <c r="Q19" s="1051"/>
      <c r="R19" s="1051"/>
      <c r="S19" s="47"/>
      <c r="AL19" s="44"/>
      <c r="AM19" s="44"/>
      <c r="AN19" s="44"/>
      <c r="AO19" s="44"/>
      <c r="AP19" s="44"/>
      <c r="AQ19" s="38">
        <v>0</v>
      </c>
    </row>
    <row r="20" s="38" customFormat="1" ht="12" hidden="1" customHeight="1" spans="12:43">
      <c r="L20" s="48"/>
      <c r="M20" s="39"/>
      <c r="N20" s="39"/>
      <c r="O20" s="1054" t="s">
        <v>414</v>
      </c>
      <c r="P20" s="39"/>
      <c r="Q20" s="1129"/>
      <c r="R20" s="1129"/>
      <c r="S20" s="47"/>
      <c r="T20" s="38" t="s">
        <v>415</v>
      </c>
      <c r="Z20" s="45" t="s">
        <v>416</v>
      </c>
      <c r="AB20" s="45" t="s">
        <v>417</v>
      </c>
      <c r="AC20" s="38" t="s">
        <v>415</v>
      </c>
      <c r="AG20" s="45" t="s">
        <v>418</v>
      </c>
      <c r="AI20" s="45" t="s">
        <v>417</v>
      </c>
      <c r="AQ20" s="38">
        <v>0</v>
      </c>
    </row>
    <row r="21" hidden="1" customHeight="1" spans="15:43">
      <c r="O21" s="1054"/>
      <c r="AQ21" s="43">
        <v>0</v>
      </c>
    </row>
    <row r="22" hidden="1" customHeight="1" spans="15:43">
      <c r="O22" s="1054"/>
      <c r="AQ22" s="43">
        <v>0</v>
      </c>
    </row>
    <row r="23" ht="14.7" customHeight="1" spans="17:43">
      <c r="Q23" s="51"/>
      <c r="R23" s="51"/>
      <c r="S23" s="52"/>
      <c r="T23" s="53"/>
      <c r="U23" s="53"/>
      <c r="AQ23" s="43">
        <v>14</v>
      </c>
    </row>
    <row r="24" ht="14.7" customHeight="1" spans="17:43">
      <c r="Q24" s="51"/>
      <c r="R24" s="51"/>
      <c r="S24" s="7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755"/>
      <c r="U24" s="755"/>
      <c r="V24" s="755"/>
      <c r="W24" s="755"/>
      <c r="X24" s="755"/>
      <c r="Y24" s="755"/>
      <c r="Z24" s="755"/>
      <c r="AA24" s="755"/>
      <c r="AB24" s="755"/>
      <c r="AC24" s="755"/>
      <c r="AD24" s="755"/>
      <c r="AE24" s="755"/>
      <c r="AF24" s="755"/>
      <c r="AG24" s="755"/>
      <c r="AH24" s="755"/>
      <c r="AI24" s="121"/>
      <c r="AQ24" s="43">
        <v>14</v>
      </c>
    </row>
    <row r="25" ht="14.7" customHeight="1" spans="17:43">
      <c r="Q25" s="51"/>
      <c r="R25" s="51"/>
      <c r="S25" s="660" t="str">
        <f>IF(org=0,"Не определено",org)</f>
        <v>АО "Теплокоммунэнерго"</v>
      </c>
      <c r="T25" s="660"/>
      <c r="U25" s="660"/>
      <c r="V25" s="660"/>
      <c r="W25" s="660"/>
      <c r="X25" s="660"/>
      <c r="Y25" s="660"/>
      <c r="Z25" s="660"/>
      <c r="AA25" s="660"/>
      <c r="AB25" s="660"/>
      <c r="AC25" s="660"/>
      <c r="AD25" s="660"/>
      <c r="AE25" s="660"/>
      <c r="AF25" s="660"/>
      <c r="AG25" s="660"/>
      <c r="AH25" s="660"/>
      <c r="AI25" s="121"/>
      <c r="AQ25" s="43">
        <v>14</v>
      </c>
    </row>
    <row r="26" hidden="1" customHeight="1" spans="17:43">
      <c r="Q26" s="51"/>
      <c r="R26" s="51"/>
      <c r="S26" s="52"/>
      <c r="T26" s="53"/>
      <c r="U26" s="53"/>
      <c r="V26" s="56"/>
      <c r="W26" s="56"/>
      <c r="X26" s="56"/>
      <c r="Y26" s="56"/>
      <c r="Z26" s="56"/>
      <c r="AA26" s="56"/>
      <c r="AB26" s="56"/>
      <c r="AC26" s="56"/>
      <c r="AD26" s="56"/>
      <c r="AE26" s="56"/>
      <c r="AF26" s="56"/>
      <c r="AG26" s="56"/>
      <c r="AH26" s="56"/>
      <c r="AI26" s="56"/>
      <c r="AQ26" s="43">
        <v>0</v>
      </c>
    </row>
    <row r="27" s="36" customFormat="1" ht="25.5" hidden="1" customHeight="1" spans="1:43">
      <c r="A27" s="45"/>
      <c r="B27" s="45"/>
      <c r="C27" s="45"/>
      <c r="D27" s="45"/>
      <c r="E27" s="45"/>
      <c r="F27" s="45"/>
      <c r="G27" s="45"/>
      <c r="H27" s="45"/>
      <c r="I27" s="45"/>
      <c r="J27" s="45"/>
      <c r="K27" s="45"/>
      <c r="L27" s="1054"/>
      <c r="M27" s="45"/>
      <c r="N27" s="45"/>
      <c r="O27" s="45"/>
      <c r="S27"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58"/>
      <c r="U27" s="1088"/>
      <c r="V27" s="60" t="str">
        <f>IF(TITLE_NAME_OR_PR_CHANGE="",IF(TITLE_NAME_OR_PR="","",TITLE_NAME_OR_PR),TITLE_NAME_OR_PR_CHANGE)</f>
        <v/>
      </c>
      <c r="W27" s="60"/>
      <c r="X27" s="60"/>
      <c r="Y27" s="60"/>
      <c r="Z27" s="60"/>
      <c r="AA27" s="60"/>
      <c r="AB27" s="43"/>
      <c r="AC27" s="60" t="str">
        <f>IF(TITLE_NAME_OR_PR_CHANGE="",IF(TITLE_NAME_OR_PR="","",TITLE_NAME_OR_PR),TITLE_NAME_OR_PR_CHANGE)</f>
        <v/>
      </c>
      <c r="AD27" s="60"/>
      <c r="AE27" s="60"/>
      <c r="AF27" s="60"/>
      <c r="AG27" s="60"/>
      <c r="AH27" s="60"/>
      <c r="AI27" s="43"/>
      <c r="AJ27" s="43"/>
      <c r="AK27" s="122"/>
      <c r="AL27" s="151"/>
      <c r="AM27" s="151"/>
      <c r="AN27" s="151"/>
      <c r="AO27" s="151"/>
      <c r="AP27" s="151"/>
      <c r="AQ27" s="36">
        <v>0</v>
      </c>
    </row>
    <row r="28" s="36" customFormat="1" ht="18.75" hidden="1" customHeight="1" spans="1:43">
      <c r="A28" s="45"/>
      <c r="B28" s="45"/>
      <c r="C28" s="45"/>
      <c r="D28" s="45"/>
      <c r="E28" s="45"/>
      <c r="F28" s="45"/>
      <c r="G28" s="45"/>
      <c r="H28" s="45"/>
      <c r="I28" s="45"/>
      <c r="J28" s="45"/>
      <c r="K28" s="45"/>
      <c r="L28" s="1054"/>
      <c r="M28" s="45"/>
      <c r="N28" s="45"/>
      <c r="O28" s="45"/>
      <c r="S28" s="58" t="str">
        <f>"Дата документа об "&amp;IF(TITLE_DATE_PR_CHANGE="","утверждении","изменении")&amp;" тарифов"</f>
        <v>Дата документа об утверждении тарифов</v>
      </c>
      <c r="T28" s="58"/>
      <c r="U28" s="1088"/>
      <c r="V28" s="793" t="str">
        <f>IF(TITLE_DATE_PR_CHANGE="",IF(TITLE_DATE_PR="","",TITLE_DATE_PR),TITLE_DATE_PR_CHANGE)</f>
        <v/>
      </c>
      <c r="W28" s="793"/>
      <c r="X28" s="793"/>
      <c r="Y28" s="793"/>
      <c r="Z28" s="793"/>
      <c r="AA28" s="793"/>
      <c r="AB28" s="43"/>
      <c r="AC28" s="793" t="str">
        <f>IF(TITLE_DATE_PR_CHANGE="",IF(TITLE_DATE_PR="","",TITLE_DATE_PR),TITLE_DATE_PR_CHANGE)</f>
        <v/>
      </c>
      <c r="AD28" s="793"/>
      <c r="AE28" s="793"/>
      <c r="AF28" s="793"/>
      <c r="AG28" s="793"/>
      <c r="AH28" s="793"/>
      <c r="AI28" s="43"/>
      <c r="AJ28" s="43"/>
      <c r="AK28" s="122"/>
      <c r="AL28" s="151"/>
      <c r="AM28" s="151"/>
      <c r="AN28" s="151"/>
      <c r="AO28" s="151"/>
      <c r="AP28" s="151"/>
      <c r="AQ28" s="36">
        <v>0</v>
      </c>
    </row>
    <row r="29" s="36" customFormat="1" ht="18.75" hidden="1" customHeight="1" spans="1:43">
      <c r="A29" s="45"/>
      <c r="B29" s="45"/>
      <c r="C29" s="45"/>
      <c r="D29" s="45"/>
      <c r="E29" s="45"/>
      <c r="F29" s="45"/>
      <c r="G29" s="45"/>
      <c r="H29" s="45"/>
      <c r="I29" s="45"/>
      <c r="J29" s="45"/>
      <c r="K29" s="45"/>
      <c r="L29" s="1054"/>
      <c r="M29" s="45"/>
      <c r="N29" s="45"/>
      <c r="O29" s="45"/>
      <c r="S29" s="58" t="str">
        <f>"Номер документа об "&amp;IF(TITLE_DATE_PR_CHANGE="","утверждении","изменении")&amp;" тарифов"</f>
        <v>Номер документа об утверждении тарифов</v>
      </c>
      <c r="T29" s="58"/>
      <c r="U29" s="1088"/>
      <c r="V29" s="60" t="str">
        <f>IF(TITLE_NUMBER_PR_CHANGE="",IF(TITLE_NUMBER_PR="","",TITLE_NUMBER_PR),TITLE_NUMBER_PR_CHANGE)</f>
        <v/>
      </c>
      <c r="W29" s="60"/>
      <c r="X29" s="60"/>
      <c r="Y29" s="60"/>
      <c r="Z29" s="60"/>
      <c r="AA29" s="60"/>
      <c r="AB29" s="43"/>
      <c r="AC29" s="60" t="str">
        <f>IF(TITLE_NUMBER_PR_CHANGE="",IF(TITLE_NUMBER_PR="","",TITLE_NUMBER_PR),TITLE_NUMBER_PR_CHANGE)</f>
        <v/>
      </c>
      <c r="AD29" s="60"/>
      <c r="AE29" s="60"/>
      <c r="AF29" s="60"/>
      <c r="AG29" s="60"/>
      <c r="AH29" s="60"/>
      <c r="AI29" s="43"/>
      <c r="AJ29" s="43"/>
      <c r="AK29" s="122"/>
      <c r="AL29" s="151"/>
      <c r="AM29" s="151"/>
      <c r="AN29" s="151"/>
      <c r="AO29" s="151"/>
      <c r="AP29" s="151"/>
      <c r="AQ29" s="36">
        <v>0</v>
      </c>
    </row>
    <row r="30" s="36" customFormat="1" ht="18.75" hidden="1" customHeight="1" spans="1:43">
      <c r="A30" s="45"/>
      <c r="B30" s="45"/>
      <c r="C30" s="45"/>
      <c r="D30" s="45"/>
      <c r="E30" s="45"/>
      <c r="F30" s="45"/>
      <c r="G30" s="45"/>
      <c r="H30" s="45"/>
      <c r="I30" s="45"/>
      <c r="J30" s="45"/>
      <c r="K30" s="45"/>
      <c r="L30" s="1054"/>
      <c r="M30" s="45"/>
      <c r="N30" s="45"/>
      <c r="O30" s="45"/>
      <c r="S30" s="58" t="s">
        <v>43</v>
      </c>
      <c r="T30" s="58"/>
      <c r="U30" s="1088"/>
      <c r="V30" s="60" t="str">
        <f>IF(TITLE_IST_PUB_CHANGE="",IF(TITLE_IST_PUB="","",TITLE_IST_PUB),TITLE_IST_PUB_CHANGE)</f>
        <v/>
      </c>
      <c r="W30" s="60"/>
      <c r="X30" s="60"/>
      <c r="Y30" s="60"/>
      <c r="Z30" s="60"/>
      <c r="AA30" s="60"/>
      <c r="AB30" s="43"/>
      <c r="AC30" s="60" t="str">
        <f>IF(TITLE_IST_PUB_CHANGE="",IF(TITLE_IST_PUB="","",TITLE_IST_PUB),TITLE_IST_PUB_CHANGE)</f>
        <v/>
      </c>
      <c r="AD30" s="60"/>
      <c r="AE30" s="60"/>
      <c r="AF30" s="60"/>
      <c r="AG30" s="60"/>
      <c r="AH30" s="60"/>
      <c r="AI30" s="43"/>
      <c r="AJ30" s="43"/>
      <c r="AK30" s="122"/>
      <c r="AL30" s="151"/>
      <c r="AM30" s="151"/>
      <c r="AN30" s="151"/>
      <c r="AO30" s="151"/>
      <c r="AP30" s="151"/>
      <c r="AQ30" s="36">
        <v>0</v>
      </c>
    </row>
    <row r="31" hidden="1" customHeight="1" spans="17:43">
      <c r="Q31" s="51"/>
      <c r="R31" s="51"/>
      <c r="S31" s="52"/>
      <c r="T31" s="53"/>
      <c r="U31" s="53"/>
      <c r="V31" s="56"/>
      <c r="W31" s="56"/>
      <c r="X31" s="56"/>
      <c r="Y31" s="56"/>
      <c r="Z31" s="56"/>
      <c r="AA31" s="56"/>
      <c r="AB31" s="56"/>
      <c r="AC31" s="56"/>
      <c r="AD31" s="56"/>
      <c r="AE31" s="56"/>
      <c r="AF31" s="56"/>
      <c r="AG31" s="56"/>
      <c r="AH31" s="56"/>
      <c r="AI31" s="56"/>
      <c r="AQ31" s="43">
        <v>0</v>
      </c>
    </row>
    <row r="32" s="36" customFormat="1" ht="18.75" hidden="1" customHeight="1" spans="1:43">
      <c r="A32" s="45"/>
      <c r="B32" s="45"/>
      <c r="C32" s="45"/>
      <c r="D32" s="45"/>
      <c r="E32" s="45"/>
      <c r="F32" s="45"/>
      <c r="G32" s="45"/>
      <c r="H32" s="45"/>
      <c r="I32" s="45"/>
      <c r="J32" s="45"/>
      <c r="K32" s="45"/>
      <c r="L32" s="1054"/>
      <c r="M32" s="45"/>
      <c r="N32" s="45"/>
      <c r="O32" s="45"/>
      <c r="S32" s="58" t="str">
        <f>"Дата подачи заявления об "&amp;IF(TITLE_DATE_PR_CHANGE="","утверждении","изменении")&amp;" тарифов"</f>
        <v>Дата подачи заявления об утверждении тарифов</v>
      </c>
      <c r="T32" s="58"/>
      <c r="U32" s="1088"/>
      <c r="V32" s="793" t="str">
        <f>IF(TITLE_DATE_PR_CHANGE="",IF(TITLE_DATE_PR="","",TITLE_DATE_PR),TITLE_DATE_PR_CHANGE)</f>
        <v/>
      </c>
      <c r="W32" s="793"/>
      <c r="X32" s="793"/>
      <c r="Y32" s="793"/>
      <c r="Z32" s="793"/>
      <c r="AA32" s="793"/>
      <c r="AB32" s="43"/>
      <c r="AC32" s="793" t="str">
        <f>IF(TITLE_DATE_PR_CHANGE="",IF(TITLE_DATE_PR="","",TITLE_DATE_PR),TITLE_DATE_PR_CHANGE)</f>
        <v/>
      </c>
      <c r="AD32" s="793"/>
      <c r="AE32" s="793"/>
      <c r="AF32" s="793"/>
      <c r="AG32" s="793"/>
      <c r="AH32" s="793"/>
      <c r="AI32" s="43"/>
      <c r="AJ32" s="43"/>
      <c r="AK32" s="122"/>
      <c r="AL32" s="151"/>
      <c r="AM32" s="151"/>
      <c r="AN32" s="151"/>
      <c r="AO32" s="151"/>
      <c r="AP32" s="151"/>
      <c r="AQ32" s="36">
        <v>0</v>
      </c>
    </row>
    <row r="33" s="36" customFormat="1" ht="18.75" hidden="1" customHeight="1" spans="1:43">
      <c r="A33" s="45"/>
      <c r="B33" s="45"/>
      <c r="C33" s="45"/>
      <c r="D33" s="45"/>
      <c r="E33" s="45"/>
      <c r="F33" s="45"/>
      <c r="G33" s="45"/>
      <c r="H33" s="45"/>
      <c r="I33" s="45"/>
      <c r="J33" s="45"/>
      <c r="K33" s="45"/>
      <c r="L33" s="1054"/>
      <c r="M33" s="45"/>
      <c r="N33" s="45"/>
      <c r="O33" s="45"/>
      <c r="S33" s="58" t="str">
        <f>"Номер подачи заявления об "&amp;IF(TITLE_DATE_PR_CHANGE="","утверждении","изменении")&amp;" тарифов"</f>
        <v>Номер подачи заявления об утверждении тарифов</v>
      </c>
      <c r="T33" s="58"/>
      <c r="U33" s="1088"/>
      <c r="V33" s="60" t="str">
        <f>IF(TITLE_NUMBER_PR_CHANGE="",IF(TITLE_NUMBER_PR="","",TITLE_NUMBER_PR),TITLE_NUMBER_PR_CHANGE)</f>
        <v/>
      </c>
      <c r="W33" s="60"/>
      <c r="X33" s="60"/>
      <c r="Y33" s="60"/>
      <c r="Z33" s="60"/>
      <c r="AA33" s="60"/>
      <c r="AB33" s="43"/>
      <c r="AC33" s="60" t="str">
        <f>IF(TITLE_NUMBER_PR_CHANGE="",IF(TITLE_NUMBER_PR="","",TITLE_NUMBER_PR),TITLE_NUMBER_PR_CHANGE)</f>
        <v/>
      </c>
      <c r="AD33" s="60"/>
      <c r="AE33" s="60"/>
      <c r="AF33" s="60"/>
      <c r="AG33" s="60"/>
      <c r="AH33" s="60"/>
      <c r="AI33" s="43"/>
      <c r="AJ33" s="43"/>
      <c r="AK33" s="122"/>
      <c r="AL33" s="151"/>
      <c r="AM33" s="151"/>
      <c r="AN33" s="151"/>
      <c r="AO33" s="151"/>
      <c r="AP33" s="151"/>
      <c r="AQ33" s="36">
        <v>0</v>
      </c>
    </row>
    <row r="34" s="36" customFormat="1" ht="1.05" customHeight="1" spans="1:43">
      <c r="A34" s="45"/>
      <c r="B34" s="45"/>
      <c r="C34" s="45"/>
      <c r="D34" s="45"/>
      <c r="E34" s="45"/>
      <c r="F34" s="45"/>
      <c r="G34" s="45"/>
      <c r="H34" s="45"/>
      <c r="I34" s="45"/>
      <c r="J34" s="45"/>
      <c r="K34" s="45"/>
      <c r="L34" s="1054"/>
      <c r="M34" s="45"/>
      <c r="N34" s="45"/>
      <c r="O34" s="45"/>
      <c r="S34" s="43"/>
      <c r="T34" s="43"/>
      <c r="U34" s="61"/>
      <c r="V34" s="43"/>
      <c r="W34" s="43"/>
      <c r="X34" s="43"/>
      <c r="Y34" s="43"/>
      <c r="Z34" s="43"/>
      <c r="AA34" s="43"/>
      <c r="AB34" s="44" t="s">
        <v>419</v>
      </c>
      <c r="AC34" s="43"/>
      <c r="AD34" s="43"/>
      <c r="AE34" s="43"/>
      <c r="AF34" s="43"/>
      <c r="AG34" s="43"/>
      <c r="AH34" s="43"/>
      <c r="AI34" s="44" t="s">
        <v>419</v>
      </c>
      <c r="AL34" s="151"/>
      <c r="AM34" s="151"/>
      <c r="AN34" s="151"/>
      <c r="AO34" s="151"/>
      <c r="AP34" s="151"/>
      <c r="AQ34" s="36">
        <v>1</v>
      </c>
    </row>
    <row r="35" ht="14.7" customHeight="1" spans="17:43">
      <c r="Q35" s="51"/>
      <c r="R35" s="51"/>
      <c r="S35" s="52"/>
      <c r="T35" s="53"/>
      <c r="U35" s="62"/>
      <c r="V35" s="63"/>
      <c r="W35" s="63"/>
      <c r="X35" s="63"/>
      <c r="Y35" s="63"/>
      <c r="Z35" s="63"/>
      <c r="AA35" s="63"/>
      <c r="AB35" s="63"/>
      <c r="AC35" s="63"/>
      <c r="AD35" s="63"/>
      <c r="AE35" s="63"/>
      <c r="AF35" s="63"/>
      <c r="AG35" s="63"/>
      <c r="AH35" s="63"/>
      <c r="AI35" s="63"/>
      <c r="AQ35" s="43">
        <v>14</v>
      </c>
    </row>
    <row r="36" ht="14.7" customHeight="1" spans="17:43">
      <c r="Q36" s="51"/>
      <c r="R36" s="51"/>
      <c r="S36" s="64" t="s">
        <v>296</v>
      </c>
      <c r="T36" s="64"/>
      <c r="U36" s="64"/>
      <c r="V36" s="64"/>
      <c r="W36" s="64"/>
      <c r="X36" s="64"/>
      <c r="Y36" s="64"/>
      <c r="Z36" s="64"/>
      <c r="AA36" s="64"/>
      <c r="AB36" s="64"/>
      <c r="AC36" s="64"/>
      <c r="AD36" s="64"/>
      <c r="AE36" s="64"/>
      <c r="AF36" s="64"/>
      <c r="AG36" s="64"/>
      <c r="AH36" s="64"/>
      <c r="AI36" s="64"/>
      <c r="AJ36" s="64"/>
      <c r="AK36" s="64" t="s">
        <v>297</v>
      </c>
      <c r="AQ36" s="43">
        <v>14</v>
      </c>
    </row>
    <row r="37" ht="14.7" customHeight="1" spans="17:43">
      <c r="Q37" s="51"/>
      <c r="R37" s="51"/>
      <c r="S37" s="65" t="s">
        <v>89</v>
      </c>
      <c r="T37" s="66" t="s">
        <v>420</v>
      </c>
      <c r="U37" s="67"/>
      <c r="V37" s="68" t="s">
        <v>421</v>
      </c>
      <c r="W37" s="69"/>
      <c r="X37" s="69"/>
      <c r="Y37" s="69"/>
      <c r="Z37" s="69"/>
      <c r="AA37" s="123"/>
      <c r="AB37" s="124" t="s">
        <v>422</v>
      </c>
      <c r="AC37" s="68" t="s">
        <v>421</v>
      </c>
      <c r="AD37" s="69"/>
      <c r="AE37" s="69"/>
      <c r="AF37" s="69"/>
      <c r="AG37" s="69"/>
      <c r="AH37" s="123"/>
      <c r="AI37" s="124" t="s">
        <v>423</v>
      </c>
      <c r="AJ37" s="125" t="s">
        <v>424</v>
      </c>
      <c r="AK37" s="64"/>
      <c r="AQ37" s="43">
        <v>14</v>
      </c>
    </row>
    <row r="38" ht="35.7" customHeight="1" spans="17:43">
      <c r="Q38" s="51"/>
      <c r="R38" s="51"/>
      <c r="S38" s="65"/>
      <c r="T38" s="66"/>
      <c r="U38" s="70"/>
      <c r="V38" s="71" t="s">
        <v>483</v>
      </c>
      <c r="W38" s="126" t="s">
        <v>427</v>
      </c>
      <c r="X38" s="127"/>
      <c r="Y38" s="126" t="s">
        <v>428</v>
      </c>
      <c r="Z38" s="128"/>
      <c r="AA38" s="127"/>
      <c r="AB38" s="129"/>
      <c r="AC38" s="71" t="s">
        <v>483</v>
      </c>
      <c r="AD38" s="126" t="s">
        <v>427</v>
      </c>
      <c r="AE38" s="127"/>
      <c r="AF38" s="126" t="s">
        <v>428</v>
      </c>
      <c r="AG38" s="128"/>
      <c r="AH38" s="127"/>
      <c r="AI38" s="129"/>
      <c r="AJ38" s="130"/>
      <c r="AK38" s="64"/>
      <c r="AQ38" s="43">
        <v>34</v>
      </c>
    </row>
    <row r="39" ht="35.7" customHeight="1" spans="1:43">
      <c r="A39" s="45"/>
      <c r="B39" s="45" t="s">
        <v>133</v>
      </c>
      <c r="C39" s="45" t="s">
        <v>134</v>
      </c>
      <c r="D39" s="45" t="s">
        <v>135</v>
      </c>
      <c r="E39" s="1054" t="s">
        <v>429</v>
      </c>
      <c r="F39" s="1054" t="s">
        <v>430</v>
      </c>
      <c r="G39" s="1054" t="s">
        <v>431</v>
      </c>
      <c r="H39" s="1054"/>
      <c r="I39" s="1054" t="s">
        <v>484</v>
      </c>
      <c r="J39" s="1054" t="s">
        <v>434</v>
      </c>
      <c r="K39" s="1054" t="s">
        <v>485</v>
      </c>
      <c r="L39" s="1054" t="s">
        <v>414</v>
      </c>
      <c r="Q39" s="51"/>
      <c r="R39" s="51"/>
      <c r="S39" s="65"/>
      <c r="T39" s="66"/>
      <c r="U39" s="72"/>
      <c r="V39" s="71" t="s">
        <v>486</v>
      </c>
      <c r="W39" s="131" t="s">
        <v>487</v>
      </c>
      <c r="X39" s="131" t="s">
        <v>488</v>
      </c>
      <c r="Y39" s="131" t="s">
        <v>438</v>
      </c>
      <c r="Z39" s="132" t="s">
        <v>439</v>
      </c>
      <c r="AA39" s="133"/>
      <c r="AB39" s="134"/>
      <c r="AC39" s="71" t="s">
        <v>486</v>
      </c>
      <c r="AD39" s="131" t="s">
        <v>487</v>
      </c>
      <c r="AE39" s="131" t="s">
        <v>488</v>
      </c>
      <c r="AF39" s="131" t="s">
        <v>438</v>
      </c>
      <c r="AG39" s="132" t="s">
        <v>439</v>
      </c>
      <c r="AH39" s="133"/>
      <c r="AI39" s="134"/>
      <c r="AJ39" s="135"/>
      <c r="AK39" s="64"/>
      <c r="AQ39" s="43">
        <v>34</v>
      </c>
    </row>
    <row r="40" s="37" customFormat="1" hidden="1" customHeight="1" spans="1:43">
      <c r="A40" s="45"/>
      <c r="B40" s="45"/>
      <c r="C40" s="45"/>
      <c r="D40" s="45"/>
      <c r="E40" s="45"/>
      <c r="F40" s="45"/>
      <c r="G40" s="45"/>
      <c r="H40" s="45"/>
      <c r="I40" s="45"/>
      <c r="J40" s="45"/>
      <c r="K40" s="45"/>
      <c r="L40" s="1054"/>
      <c r="M40" s="39"/>
      <c r="N40" s="39"/>
      <c r="O40" s="39"/>
      <c r="P40" s="74"/>
      <c r="Q40" s="75"/>
      <c r="R40" s="76">
        <v>1</v>
      </c>
      <c r="S40" s="77" t="s">
        <v>107</v>
      </c>
      <c r="T40" s="78" t="s">
        <v>108</v>
      </c>
      <c r="U40" s="79" t="str">
        <f ca="1">OFFSET(U40,0,-1)</f>
        <v>2</v>
      </c>
      <c r="V40" s="80">
        <f ca="1">OFFSET(V40,0,-1)+1</f>
        <v>3</v>
      </c>
      <c r="W40" s="80">
        <f ca="1">OFFSET(W40,0,-1)+1</f>
        <v>4</v>
      </c>
      <c r="X40" s="80">
        <f ca="1">OFFSET(X40,0,-1)+1</f>
        <v>5</v>
      </c>
      <c r="Y40" s="80">
        <f ca="1">OFFSET(Y40,0,-1)+1</f>
        <v>6</v>
      </c>
      <c r="Z40" s="80">
        <f ca="1">OFFSET(Z40,0,-1)+1</f>
        <v>7</v>
      </c>
      <c r="AA40" s="80"/>
      <c r="AB40" s="80">
        <f ca="1">OFFSET(AB40,0,-2)+1</f>
        <v>8</v>
      </c>
      <c r="AC40" s="80">
        <f ca="1">OFFSET(AC40,0,-1)+1</f>
        <v>9</v>
      </c>
      <c r="AD40" s="80">
        <f ca="1">OFFSET(AD40,0,-1)+1</f>
        <v>10</v>
      </c>
      <c r="AE40" s="80">
        <f ca="1">OFFSET(AE40,0,-1)+1</f>
        <v>11</v>
      </c>
      <c r="AF40" s="80">
        <f ca="1">OFFSET(AF40,0,-1)+1</f>
        <v>12</v>
      </c>
      <c r="AG40" s="80">
        <f ca="1">OFFSET(AG40,0,-1)+1</f>
        <v>13</v>
      </c>
      <c r="AH40" s="80"/>
      <c r="AI40" s="80">
        <f ca="1">OFFSET(AI40,0,-2)+1</f>
        <v>14</v>
      </c>
      <c r="AJ40" s="79">
        <f ca="1">OFFSET(AJ40,0,-1)</f>
        <v>14</v>
      </c>
      <c r="AK40" s="80">
        <f ca="1">OFFSET(AK40,0,-1)+1</f>
        <v>15</v>
      </c>
      <c r="AL40" s="44"/>
      <c r="AM40" s="44"/>
      <c r="AN40" s="44"/>
      <c r="AO40" s="44"/>
      <c r="AP40" s="44"/>
      <c r="AQ40" s="37">
        <v>0</v>
      </c>
    </row>
    <row r="41" ht="24" customHeight="1" spans="1:43">
      <c r="A41" s="46" t="s">
        <v>232</v>
      </c>
      <c r="B41" s="46"/>
      <c r="C41" s="46"/>
      <c r="D41" s="46"/>
      <c r="E41" s="1052">
        <v>1</v>
      </c>
      <c r="F41" s="46"/>
      <c r="G41" s="46"/>
      <c r="H41" s="46"/>
      <c r="I41" s="46"/>
      <c r="J41" s="46"/>
      <c r="K41" s="46"/>
      <c r="L41" s="1054"/>
      <c r="M41" s="47"/>
      <c r="N41" s="47"/>
      <c r="O41" s="47"/>
      <c r="Q41" s="81"/>
      <c r="R41" s="82"/>
      <c r="S41" s="65">
        <f>INDEX(PT_DIFFERENTIATION_NUM_NTAR,MATCH(A41,PT_DIFFERENTIATION_NTAR_ID,0))</f>
        <v>0</v>
      </c>
      <c r="T41" s="83" t="s">
        <v>121</v>
      </c>
      <c r="U41" s="84"/>
      <c r="V41" s="1090"/>
      <c r="W41" s="1061"/>
      <c r="X41" s="1061"/>
      <c r="Y41" s="1061"/>
      <c r="Z41" s="1061"/>
      <c r="AA41" s="1061"/>
      <c r="AB41" s="1089"/>
      <c r="AC41" s="1090" t="str">
        <f>INDEX(PT_DIFFERENTIATION_NTAR,MATCH(A41,PT_DIFFERENTIATION_NTAR_ID,0))</f>
        <v/>
      </c>
      <c r="AD41" s="1061"/>
      <c r="AE41" s="1061"/>
      <c r="AF41" s="1061"/>
      <c r="AG41" s="1061"/>
      <c r="AH41" s="1061"/>
      <c r="AI41" s="1061"/>
      <c r="AJ41" s="1089"/>
      <c r="AK41"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51"/>
      <c r="AN41" s="151" t="str">
        <f t="shared" ref="AN41:AN53" si="1">IF(T41="","",T41)</f>
        <v>Наименование тарифа</v>
      </c>
      <c r="AO41" s="151"/>
      <c r="AP41" s="151"/>
      <c r="AQ41" s="43">
        <v>23</v>
      </c>
    </row>
    <row r="42" ht="24" customHeight="1" spans="1:43">
      <c r="A42" s="46" t="s">
        <v>232</v>
      </c>
      <c r="B42" s="46" t="s">
        <v>233</v>
      </c>
      <c r="C42" s="46"/>
      <c r="D42" s="46"/>
      <c r="E42" s="1053"/>
      <c r="F42" s="1052">
        <v>1</v>
      </c>
      <c r="G42" s="46"/>
      <c r="H42" s="46"/>
      <c r="I42" s="46"/>
      <c r="J42" s="46"/>
      <c r="K42" s="46"/>
      <c r="L42" s="1054"/>
      <c r="M42" s="47"/>
      <c r="N42" s="47"/>
      <c r="O42" s="47"/>
      <c r="P42" s="86"/>
      <c r="Q42" s="87"/>
      <c r="R42" s="88"/>
      <c r="S42" s="65" t="str">
        <f>INDEX(PT_DIFFERENTIATION_NUM_TER,MATCH(B42,PT_DIFFERENTIATION_TER_ID,0))</f>
        <v>.</v>
      </c>
      <c r="T42" s="89" t="s">
        <v>393</v>
      </c>
      <c r="U42" s="84"/>
      <c r="V42" s="1090"/>
      <c r="W42" s="1061"/>
      <c r="X42" s="1061"/>
      <c r="Y42" s="1061"/>
      <c r="Z42" s="1061"/>
      <c r="AA42" s="1061"/>
      <c r="AB42" s="1089"/>
      <c r="AC42" s="1090" t="str">
        <f>INDEX(PT_DIFFERENTIATION_TER,MATCH(B42,PT_DIFFERENTIATION_TER_ID,0))</f>
        <v/>
      </c>
      <c r="AD42" s="1061"/>
      <c r="AE42" s="1061"/>
      <c r="AF42" s="1061"/>
      <c r="AG42" s="1061"/>
      <c r="AH42" s="1061"/>
      <c r="AI42" s="1061"/>
      <c r="AJ42" s="1089"/>
      <c r="AK42" s="136" t="s">
        <v>394</v>
      </c>
      <c r="AM42" s="151"/>
      <c r="AN42" s="151" t="str">
        <f t="shared" si="1"/>
        <v>Территория действия тарифа</v>
      </c>
      <c r="AO42" s="151"/>
      <c r="AP42" s="151"/>
      <c r="AQ42" s="43">
        <v>23</v>
      </c>
    </row>
    <row r="43" ht="24" customHeight="1" spans="1:43">
      <c r="A43" s="46" t="s">
        <v>232</v>
      </c>
      <c r="B43" s="46" t="s">
        <v>233</v>
      </c>
      <c r="C43" s="46" t="s">
        <v>234</v>
      </c>
      <c r="D43" s="46"/>
      <c r="E43" s="1053"/>
      <c r="F43" s="1053"/>
      <c r="G43" s="1052">
        <v>1</v>
      </c>
      <c r="H43" s="46"/>
      <c r="I43" s="46"/>
      <c r="J43" s="46"/>
      <c r="K43" s="46"/>
      <c r="L43" s="1054"/>
      <c r="M43" s="47"/>
      <c r="N43" s="47"/>
      <c r="O43" s="47"/>
      <c r="P43" s="90"/>
      <c r="Q43" s="87"/>
      <c r="R43" s="88"/>
      <c r="S43" s="65" t="str">
        <f>INDEX(PT_DIFFERENTIATION_NUM_CS,MATCH(C43,PT_DIFFERENTIATION_CS_ID,0))</f>
        <v>..</v>
      </c>
      <c r="T43" s="91" t="s">
        <v>475</v>
      </c>
      <c r="U43" s="84"/>
      <c r="V43" s="1090"/>
      <c r="W43" s="1061"/>
      <c r="X43" s="1061"/>
      <c r="Y43" s="1061"/>
      <c r="Z43" s="1061"/>
      <c r="AA43" s="1061"/>
      <c r="AB43" s="1089"/>
      <c r="AC43" s="1090" t="str">
        <f>INDEX(PT_DIFFERENTIATION_CS,MATCH(C43,PT_DIFFERENTIATION_CS_ID,0))</f>
        <v/>
      </c>
      <c r="AD43" s="1061"/>
      <c r="AE43" s="1061"/>
      <c r="AF43" s="1061"/>
      <c r="AG43" s="1061"/>
      <c r="AH43" s="1061"/>
      <c r="AI43" s="1061"/>
      <c r="AJ43" s="1089"/>
      <c r="AK43" s="136" t="s">
        <v>476</v>
      </c>
      <c r="AM43" s="151"/>
      <c r="AN43" s="151" t="str">
        <f t="shared" si="1"/>
        <v>Наименование централизованной системы холодного водоснабжения</v>
      </c>
      <c r="AO43" s="151"/>
      <c r="AP43" s="151"/>
      <c r="AQ43" s="43">
        <v>23</v>
      </c>
    </row>
    <row r="44" ht="24" customHeight="1" spans="1:43">
      <c r="A44" s="46" t="s">
        <v>232</v>
      </c>
      <c r="B44" s="46" t="s">
        <v>233</v>
      </c>
      <c r="C44" s="46" t="s">
        <v>234</v>
      </c>
      <c r="D44" s="46" t="s">
        <v>491</v>
      </c>
      <c r="E44" s="1053"/>
      <c r="F44" s="1053"/>
      <c r="G44" s="1053"/>
      <c r="H44" s="1053"/>
      <c r="I44" s="229" t="str">
        <f>S43&amp;".1"</f>
        <v>...1</v>
      </c>
      <c r="J44" s="46"/>
      <c r="K44" s="46"/>
      <c r="L44" s="1054"/>
      <c r="P44" s="93">
        <v>1</v>
      </c>
      <c r="Q44" s="93"/>
      <c r="R44" s="94"/>
      <c r="S44" s="65" t="str">
        <f>$I44</f>
        <v>...1</v>
      </c>
      <c r="T44" s="95" t="s">
        <v>477</v>
      </c>
      <c r="U44" s="84"/>
      <c r="V44" s="1126"/>
      <c r="W44" s="1127"/>
      <c r="X44" s="1127"/>
      <c r="Y44" s="1127"/>
      <c r="Z44" s="1127"/>
      <c r="AA44" s="1127"/>
      <c r="AB44" s="1131"/>
      <c r="AC44" s="831"/>
      <c r="AD44" s="1134"/>
      <c r="AE44" s="1134"/>
      <c r="AF44" s="1134"/>
      <c r="AG44" s="1134"/>
      <c r="AH44" s="1134"/>
      <c r="AI44" s="1134"/>
      <c r="AJ44" s="1135"/>
      <c r="AK44" s="136" t="s">
        <v>478</v>
      </c>
      <c r="AM44" s="151"/>
      <c r="AN44" s="151" t="str">
        <f t="shared" si="1"/>
        <v>Наименование признака дифференциации</v>
      </c>
      <c r="AO44" s="151"/>
      <c r="AP44" s="151"/>
      <c r="AQ44" s="43">
        <v>23</v>
      </c>
    </row>
    <row r="45" ht="24" customHeight="1" spans="1:43">
      <c r="A45" s="46" t="s">
        <v>232</v>
      </c>
      <c r="B45" s="46" t="s">
        <v>233</v>
      </c>
      <c r="C45" s="46" t="s">
        <v>234</v>
      </c>
      <c r="D45" s="46" t="s">
        <v>491</v>
      </c>
      <c r="E45" s="1053"/>
      <c r="F45" s="1053"/>
      <c r="G45" s="1053"/>
      <c r="H45" s="1053"/>
      <c r="I45" s="1058"/>
      <c r="J45" s="229" t="str">
        <f>I44&amp;".1"</f>
        <v>...1.1</v>
      </c>
      <c r="K45" s="46"/>
      <c r="L45" s="1054" t="s">
        <v>402</v>
      </c>
      <c r="P45" s="93"/>
      <c r="Q45" s="93">
        <v>1</v>
      </c>
      <c r="R45" s="97"/>
      <c r="S45" s="65" t="str">
        <f>$J45</f>
        <v>...1.1</v>
      </c>
      <c r="T45" s="98" t="s">
        <v>403</v>
      </c>
      <c r="U45" s="84"/>
      <c r="V45" s="99"/>
      <c r="W45" s="100"/>
      <c r="X45" s="100"/>
      <c r="Y45" s="100"/>
      <c r="Z45" s="100"/>
      <c r="AA45" s="100"/>
      <c r="AB45" s="137"/>
      <c r="AC45" s="99"/>
      <c r="AD45" s="100"/>
      <c r="AE45" s="100"/>
      <c r="AF45" s="100"/>
      <c r="AG45" s="100"/>
      <c r="AH45" s="100"/>
      <c r="AI45" s="100"/>
      <c r="AJ45" s="137"/>
      <c r="AK45" s="1136" t="s">
        <v>479</v>
      </c>
      <c r="AM45" s="151"/>
      <c r="AN45" s="151" t="str">
        <f t="shared" si="1"/>
        <v>Группа потребителей</v>
      </c>
      <c r="AO45" s="151"/>
      <c r="AP45" s="151"/>
      <c r="AQ45" s="43">
        <v>23</v>
      </c>
    </row>
    <row r="46" ht="24" customHeight="1" spans="1:43">
      <c r="A46" s="46" t="s">
        <v>232</v>
      </c>
      <c r="B46" s="46" t="s">
        <v>233</v>
      </c>
      <c r="C46" s="46" t="s">
        <v>234</v>
      </c>
      <c r="D46" s="46" t="s">
        <v>491</v>
      </c>
      <c r="E46" s="1053"/>
      <c r="F46" s="1053"/>
      <c r="G46" s="1053"/>
      <c r="H46" s="1053"/>
      <c r="I46" s="1058"/>
      <c r="J46" s="1058"/>
      <c r="K46" s="229" t="str">
        <f>J45&amp;".1"</f>
        <v>...1.1.1</v>
      </c>
      <c r="L46" s="1054"/>
      <c r="P46" s="93"/>
      <c r="Q46" s="93"/>
      <c r="R46" s="97">
        <v>1</v>
      </c>
      <c r="S46" s="65" t="str">
        <f>$K46</f>
        <v>...1.1.1</v>
      </c>
      <c r="T46" s="1128"/>
      <c r="U46" s="84"/>
      <c r="V46" s="102"/>
      <c r="W46" s="102"/>
      <c r="X46" s="138"/>
      <c r="Y46" s="139"/>
      <c r="Z46" s="140" t="s">
        <v>66</v>
      </c>
      <c r="AA46" s="139"/>
      <c r="AB46" s="140" t="s">
        <v>66</v>
      </c>
      <c r="AC46" s="102"/>
      <c r="AD46" s="102"/>
      <c r="AE46" s="138"/>
      <c r="AF46" s="139"/>
      <c r="AG46" s="140" t="s">
        <v>66</v>
      </c>
      <c r="AH46" s="1137"/>
      <c r="AI46" s="140" t="s">
        <v>66</v>
      </c>
      <c r="AJ46" s="1138"/>
      <c r="AK46"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 t="e">
        <f>STRCHECKDATE(V47:AJ47)</f>
        <v>#NAME?</v>
      </c>
      <c r="AM46" s="151"/>
      <c r="AN46" s="151" t="str">
        <f t="shared" si="1"/>
        <v/>
      </c>
      <c r="AO46" s="151"/>
      <c r="AP46" s="151"/>
      <c r="AQ46" s="43">
        <v>23</v>
      </c>
    </row>
    <row r="47" hidden="1" customHeight="1" spans="1:43">
      <c r="A47" s="46" t="s">
        <v>232</v>
      </c>
      <c r="B47" s="46" t="s">
        <v>233</v>
      </c>
      <c r="C47" s="46" t="s">
        <v>234</v>
      </c>
      <c r="D47" s="46" t="s">
        <v>491</v>
      </c>
      <c r="E47" s="1053"/>
      <c r="F47" s="1053"/>
      <c r="G47" s="1053"/>
      <c r="H47" s="1053"/>
      <c r="I47" s="1058"/>
      <c r="J47" s="1058"/>
      <c r="K47" s="229"/>
      <c r="L47" s="1054"/>
      <c r="P47" s="93"/>
      <c r="Q47" s="93"/>
      <c r="R47" s="97"/>
      <c r="S47" s="104"/>
      <c r="T47" s="84"/>
      <c r="U47" s="84"/>
      <c r="V47" s="103"/>
      <c r="W47" s="103"/>
      <c r="X47" s="142" t="str">
        <f>Y46&amp;"-"&amp;AA46</f>
        <v>-</v>
      </c>
      <c r="Y47" s="143"/>
      <c r="Z47" s="140"/>
      <c r="AA47" s="143"/>
      <c r="AB47" s="140"/>
      <c r="AC47" s="103"/>
      <c r="AD47" s="103"/>
      <c r="AE47" s="142" t="str">
        <f>AF46&amp;"-"&amp;AH46</f>
        <v>-</v>
      </c>
      <c r="AF47" s="143"/>
      <c r="AG47" s="140"/>
      <c r="AH47" s="1140"/>
      <c r="AI47" s="140"/>
      <c r="AJ47" s="768"/>
      <c r="AK47" s="1139"/>
      <c r="AM47" s="151"/>
      <c r="AN47" s="151" t="str">
        <f t="shared" si="1"/>
        <v/>
      </c>
      <c r="AO47" s="151"/>
      <c r="AP47" s="151"/>
      <c r="AQ47" s="43">
        <v>0</v>
      </c>
    </row>
    <row r="48" ht="21" customHeight="1" spans="1:43">
      <c r="A48" s="46" t="s">
        <v>232</v>
      </c>
      <c r="B48" s="46" t="s">
        <v>233</v>
      </c>
      <c r="C48" s="46" t="s">
        <v>234</v>
      </c>
      <c r="D48" s="46" t="s">
        <v>491</v>
      </c>
      <c r="E48" s="1053"/>
      <c r="F48" s="1053"/>
      <c r="G48" s="1053"/>
      <c r="H48" s="1053"/>
      <c r="I48" s="1058"/>
      <c r="J48" s="229"/>
      <c r="K48" s="46"/>
      <c r="L48" s="1054"/>
      <c r="P48" s="93"/>
      <c r="Q48" s="93"/>
      <c r="R48" s="94"/>
      <c r="S48" s="105"/>
      <c r="T48" s="108" t="s">
        <v>480</v>
      </c>
      <c r="U48" s="107"/>
      <c r="V48" s="107"/>
      <c r="W48" s="107"/>
      <c r="X48" s="107"/>
      <c r="Y48" s="107"/>
      <c r="Z48" s="107"/>
      <c r="AA48" s="107"/>
      <c r="AB48" s="107"/>
      <c r="AC48" s="107"/>
      <c r="AD48" s="107"/>
      <c r="AE48" s="107"/>
      <c r="AF48" s="107"/>
      <c r="AG48" s="107"/>
      <c r="AH48" s="107"/>
      <c r="AI48" s="107"/>
      <c r="AJ48" s="107"/>
      <c r="AK48" s="136" t="s">
        <v>481</v>
      </c>
      <c r="AM48" s="151"/>
      <c r="AN48" s="151" t="str">
        <f t="shared" si="1"/>
        <v>Добавить значение признака дифференциации</v>
      </c>
      <c r="AO48" s="151"/>
      <c r="AP48" s="151"/>
      <c r="AQ48" s="43">
        <v>20</v>
      </c>
    </row>
    <row r="49" ht="22.05" customHeight="1" spans="1:43">
      <c r="A49" s="46" t="s">
        <v>232</v>
      </c>
      <c r="B49" s="46" t="s">
        <v>233</v>
      </c>
      <c r="C49" s="46" t="s">
        <v>234</v>
      </c>
      <c r="D49" s="46" t="s">
        <v>491</v>
      </c>
      <c r="E49" s="1053"/>
      <c r="F49" s="1053"/>
      <c r="G49" s="1053"/>
      <c r="H49" s="1053"/>
      <c r="I49" s="229"/>
      <c r="J49" s="46"/>
      <c r="K49" s="46"/>
      <c r="L49" s="1054"/>
      <c r="P49" s="93"/>
      <c r="Q49" s="93"/>
      <c r="R49" s="94"/>
      <c r="S49" s="105"/>
      <c r="T49" s="110" t="s">
        <v>408</v>
      </c>
      <c r="U49" s="107"/>
      <c r="V49" s="107"/>
      <c r="W49" s="107"/>
      <c r="X49" s="107"/>
      <c r="Y49" s="107"/>
      <c r="Z49" s="107"/>
      <c r="AA49" s="107"/>
      <c r="AB49" s="147"/>
      <c r="AC49" s="107"/>
      <c r="AD49" s="107"/>
      <c r="AE49" s="107"/>
      <c r="AF49" s="107"/>
      <c r="AG49" s="107"/>
      <c r="AH49" s="107"/>
      <c r="AI49" s="147"/>
      <c r="AJ49" s="107"/>
      <c r="AK49" s="1141"/>
      <c r="AM49" s="151"/>
      <c r="AN49" s="151" t="str">
        <f t="shared" si="1"/>
        <v>Добавить группу потребителей</v>
      </c>
      <c r="AO49" s="151"/>
      <c r="AP49" s="151"/>
      <c r="AQ49" s="43">
        <v>21</v>
      </c>
    </row>
    <row r="50" ht="22.05" customHeight="1" spans="1:43">
      <c r="A50" s="46" t="s">
        <v>232</v>
      </c>
      <c r="B50" s="46" t="s">
        <v>233</v>
      </c>
      <c r="C50" s="46" t="s">
        <v>234</v>
      </c>
      <c r="D50" s="46" t="s">
        <v>491</v>
      </c>
      <c r="E50" s="1053"/>
      <c r="F50" s="1053"/>
      <c r="G50" s="1053"/>
      <c r="H50" s="1052"/>
      <c r="I50" s="46"/>
      <c r="J50" s="46"/>
      <c r="K50" s="46"/>
      <c r="L50" s="1054"/>
      <c r="M50" s="47"/>
      <c r="N50" s="47"/>
      <c r="O50" s="38"/>
      <c r="P50" s="81"/>
      <c r="Q50" s="109"/>
      <c r="R50" s="82"/>
      <c r="S50" s="105"/>
      <c r="T50" s="821" t="s">
        <v>482</v>
      </c>
      <c r="U50" s="107"/>
      <c r="V50" s="107"/>
      <c r="W50" s="107"/>
      <c r="X50" s="107"/>
      <c r="Y50" s="107"/>
      <c r="Z50" s="107"/>
      <c r="AA50" s="107"/>
      <c r="AB50" s="147"/>
      <c r="AC50" s="107"/>
      <c r="AD50" s="107"/>
      <c r="AE50" s="107"/>
      <c r="AF50" s="107"/>
      <c r="AG50" s="107"/>
      <c r="AH50" s="107"/>
      <c r="AI50" s="147"/>
      <c r="AJ50" s="107"/>
      <c r="AK50" s="148"/>
      <c r="AM50" s="151"/>
      <c r="AN50" s="151" t="str">
        <f t="shared" si="1"/>
        <v>Добавить наименование признака дифференциации</v>
      </c>
      <c r="AO50" s="151"/>
      <c r="AP50" s="151"/>
      <c r="AQ50" s="43">
        <v>21</v>
      </c>
    </row>
    <row r="51" s="44" customFormat="1" hidden="1" customHeight="1" spans="1:43">
      <c r="A51" s="590" t="s">
        <v>232</v>
      </c>
      <c r="B51" s="590" t="s">
        <v>233</v>
      </c>
      <c r="C51" s="590"/>
      <c r="D51" s="590"/>
      <c r="E51" s="1053"/>
      <c r="F51" s="1052"/>
      <c r="G51" s="590"/>
      <c r="H51" s="590"/>
      <c r="I51" s="590"/>
      <c r="J51" s="590"/>
      <c r="K51" s="590"/>
      <c r="L51" s="611"/>
      <c r="M51" s="1059"/>
      <c r="N51" s="1059"/>
      <c r="P51" s="152"/>
      <c r="Q51" s="1082"/>
      <c r="R51" s="152"/>
      <c r="S51" s="1084"/>
      <c r="T51" s="1085" t="s">
        <v>411</v>
      </c>
      <c r="U51" s="307"/>
      <c r="V51" s="307"/>
      <c r="W51" s="307"/>
      <c r="X51" s="307"/>
      <c r="Y51" s="307"/>
      <c r="Z51" s="307"/>
      <c r="AA51" s="307"/>
      <c r="AB51" s="307"/>
      <c r="AC51" s="307"/>
      <c r="AD51" s="307"/>
      <c r="AE51" s="307"/>
      <c r="AF51" s="307"/>
      <c r="AG51" s="307"/>
      <c r="AH51" s="307"/>
      <c r="AI51" s="307"/>
      <c r="AJ51" s="307"/>
      <c r="AK51" s="307"/>
      <c r="AM51" s="151"/>
      <c r="AN51" s="151" t="str">
        <f t="shared" si="1"/>
        <v>Добавить централизованную систему для дифференциации</v>
      </c>
      <c r="AO51" s="151"/>
      <c r="AP51" s="151"/>
      <c r="AQ51" s="44">
        <v>0</v>
      </c>
    </row>
    <row r="52" s="44" customFormat="1" hidden="1" customHeight="1" spans="1:43">
      <c r="A52" s="590" t="s">
        <v>232</v>
      </c>
      <c r="B52" s="590"/>
      <c r="C52" s="590"/>
      <c r="D52" s="590"/>
      <c r="E52" s="1052"/>
      <c r="F52" s="590"/>
      <c r="G52" s="590"/>
      <c r="H52" s="590"/>
      <c r="I52" s="590"/>
      <c r="J52" s="590"/>
      <c r="K52" s="590"/>
      <c r="L52" s="611"/>
      <c r="M52" s="1059"/>
      <c r="N52" s="1059"/>
      <c r="P52" s="152"/>
      <c r="Q52" s="1082"/>
      <c r="R52" s="152"/>
      <c r="S52" s="1084"/>
      <c r="T52" s="1085" t="s">
        <v>412</v>
      </c>
      <c r="U52" s="307"/>
      <c r="V52" s="307"/>
      <c r="W52" s="307"/>
      <c r="X52" s="307"/>
      <c r="Y52" s="307"/>
      <c r="Z52" s="307"/>
      <c r="AA52" s="307"/>
      <c r="AB52" s="307"/>
      <c r="AC52" s="307"/>
      <c r="AD52" s="307"/>
      <c r="AE52" s="307"/>
      <c r="AF52" s="307"/>
      <c r="AG52" s="307"/>
      <c r="AH52" s="307"/>
      <c r="AI52" s="307"/>
      <c r="AJ52" s="307"/>
      <c r="AK52" s="307"/>
      <c r="AM52" s="151"/>
      <c r="AN52" s="151" t="str">
        <f t="shared" si="1"/>
        <v>Добавить территорию для дифференциации</v>
      </c>
      <c r="AO52" s="151"/>
      <c r="AP52" s="151"/>
      <c r="AQ52" s="44">
        <v>0</v>
      </c>
    </row>
    <row r="53" s="44" customFormat="1" hidden="1" customHeight="1" spans="1:43">
      <c r="A53" s="590"/>
      <c r="B53" s="590"/>
      <c r="C53" s="590"/>
      <c r="D53" s="590"/>
      <c r="E53" s="590"/>
      <c r="F53" s="590"/>
      <c r="G53" s="590"/>
      <c r="H53" s="590"/>
      <c r="I53" s="590"/>
      <c r="J53" s="590"/>
      <c r="K53" s="590"/>
      <c r="L53" s="611"/>
      <c r="M53" s="1059"/>
      <c r="N53" s="1059"/>
      <c r="P53" s="152"/>
      <c r="Q53" s="1082"/>
      <c r="R53" s="152"/>
      <c r="S53" s="1084"/>
      <c r="T53" s="1085" t="s">
        <v>440</v>
      </c>
      <c r="U53" s="307"/>
      <c r="V53" s="307"/>
      <c r="W53" s="307"/>
      <c r="X53" s="307"/>
      <c r="Y53" s="307"/>
      <c r="Z53" s="307"/>
      <c r="AA53" s="307"/>
      <c r="AB53" s="307"/>
      <c r="AC53" s="307"/>
      <c r="AD53" s="307"/>
      <c r="AE53" s="307"/>
      <c r="AF53" s="307"/>
      <c r="AG53" s="307"/>
      <c r="AH53" s="307"/>
      <c r="AI53" s="307"/>
      <c r="AJ53" s="307"/>
      <c r="AK53" s="307"/>
      <c r="AM53" s="151"/>
      <c r="AN53" s="151" t="str">
        <f t="shared" si="1"/>
        <v>Добавить наименование тарифа</v>
      </c>
      <c r="AO53" s="151"/>
      <c r="AP53" s="151"/>
      <c r="AQ53" s="44">
        <v>0</v>
      </c>
    </row>
    <row r="54" ht="11.55" customHeight="1" spans="13:43">
      <c r="M54" s="38"/>
      <c r="N54" s="38"/>
      <c r="O54" s="38"/>
      <c r="P54" s="43"/>
      <c r="Q54" s="43"/>
      <c r="R54" s="43"/>
      <c r="S54" s="43"/>
      <c r="AL54" s="43"/>
      <c r="AM54" s="43"/>
      <c r="AN54" s="43"/>
      <c r="AO54" s="43"/>
      <c r="AP54" s="43"/>
      <c r="AQ54" s="43">
        <v>11</v>
      </c>
    </row>
    <row r="55" ht="14.7" customHeight="1" spans="15:43">
      <c r="O55" s="38"/>
      <c r="S55" s="786"/>
      <c r="T55" s="120"/>
      <c r="U55" s="120"/>
      <c r="V55" s="120"/>
      <c r="W55" s="120"/>
      <c r="X55" s="120"/>
      <c r="Y55" s="120"/>
      <c r="Z55" s="120"/>
      <c r="AA55" s="120"/>
      <c r="AB55" s="120"/>
      <c r="AC55" s="120"/>
      <c r="AD55" s="120"/>
      <c r="AE55" s="120"/>
      <c r="AF55" s="120"/>
      <c r="AG55" s="120"/>
      <c r="AH55" s="120"/>
      <c r="AI55" s="120"/>
      <c r="AJ55" s="120"/>
      <c r="AK55" s="120"/>
      <c r="AQ55" s="43">
        <v>14</v>
      </c>
    </row>
    <row r="56" ht="14.7" customHeight="1" spans="15:43">
      <c r="O56" s="38"/>
      <c r="AQ56" s="43">
        <v>14</v>
      </c>
    </row>
    <row r="57" ht="14.7" customHeight="1" spans="15:43">
      <c r="O57" s="38"/>
      <c r="S57" s="786"/>
      <c r="T57" s="120"/>
      <c r="U57" s="120"/>
      <c r="V57" s="120"/>
      <c r="W57" s="120"/>
      <c r="X57" s="120"/>
      <c r="Y57" s="120"/>
      <c r="Z57" s="120"/>
      <c r="AA57" s="120"/>
      <c r="AB57" s="120"/>
      <c r="AC57" s="120"/>
      <c r="AD57" s="120"/>
      <c r="AE57" s="120"/>
      <c r="AF57" s="120"/>
      <c r="AG57" s="120"/>
      <c r="AH57" s="120"/>
      <c r="AI57" s="120"/>
      <c r="AJ57" s="120"/>
      <c r="AK57" s="120"/>
      <c r="AQ57" s="43">
        <v>14</v>
      </c>
    </row>
    <row r="58" ht="22.5" hidden="1" customHeight="1" spans="1:43">
      <c r="A58" s="38" t="s">
        <v>83</v>
      </c>
      <c r="B58" s="38">
        <v>0</v>
      </c>
      <c r="C58" s="38">
        <v>0</v>
      </c>
      <c r="D58" s="38">
        <v>0</v>
      </c>
      <c r="E58" s="38">
        <v>0</v>
      </c>
      <c r="F58" s="38">
        <v>0</v>
      </c>
      <c r="G58" s="38">
        <v>0</v>
      </c>
      <c r="H58" s="38">
        <v>0</v>
      </c>
      <c r="I58" s="38">
        <v>0</v>
      </c>
      <c r="J58" s="38">
        <v>0</v>
      </c>
      <c r="K58" s="38">
        <v>0</v>
      </c>
      <c r="L58" s="48">
        <v>0</v>
      </c>
      <c r="M58" s="39">
        <v>0</v>
      </c>
      <c r="N58" s="39">
        <v>0</v>
      </c>
      <c r="O58" s="39">
        <v>0</v>
      </c>
      <c r="P58" s="40">
        <v>3</v>
      </c>
      <c r="Q58" s="41">
        <v>3</v>
      </c>
      <c r="R58" s="41">
        <v>3</v>
      </c>
      <c r="S58" s="42">
        <v>12</v>
      </c>
      <c r="T58" s="43">
        <v>35</v>
      </c>
      <c r="U58" s="43">
        <v>0</v>
      </c>
      <c r="V58" s="43">
        <v>0</v>
      </c>
      <c r="W58" s="43">
        <v>0</v>
      </c>
      <c r="X58" s="43">
        <v>0</v>
      </c>
      <c r="Y58" s="43">
        <v>0</v>
      </c>
      <c r="Z58" s="43">
        <v>0</v>
      </c>
      <c r="AA58" s="43">
        <v>0</v>
      </c>
      <c r="AB58" s="43">
        <v>0</v>
      </c>
      <c r="AC58" s="43">
        <v>24</v>
      </c>
      <c r="AD58" s="43">
        <v>24</v>
      </c>
      <c r="AE58" s="43">
        <v>24</v>
      </c>
      <c r="AF58" s="43">
        <v>11</v>
      </c>
      <c r="AG58" s="43">
        <v>3</v>
      </c>
      <c r="AH58" s="43">
        <v>11</v>
      </c>
      <c r="AI58" s="43">
        <v>0</v>
      </c>
      <c r="AJ58" s="43">
        <v>4</v>
      </c>
      <c r="AK58" s="43">
        <v>115</v>
      </c>
      <c r="AL58" s="44">
        <v>10</v>
      </c>
      <c r="AM58" s="44">
        <v>10</v>
      </c>
      <c r="AN58" s="44">
        <v>10</v>
      </c>
      <c r="AO58" s="44">
        <v>10</v>
      </c>
      <c r="AP58" s="44">
        <v>10</v>
      </c>
      <c r="AQ58" s="43">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4.1428571428571" style="38" hidden="1" customWidth="1"/>
    <col min="10" max="10" width="9.84761904761905" style="38" hidden="1" customWidth="1"/>
    <col min="11" max="11" width="14.7142857142857"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5" style="43" customWidth="1"/>
    <col min="21" max="21" width="0.142857142857143" style="43" customWidth="1"/>
    <col min="22" max="24" width="24.7142857142857" style="43" hidden="1" customWidth="1"/>
    <col min="25" max="25" width="11.7142857142857" style="43" hidden="1" customWidth="1"/>
    <col min="26" max="26" width="3.71428571428571" style="43" hidden="1" customWidth="1"/>
    <col min="27" max="27" width="11.7142857142857" style="43" hidden="1" customWidth="1"/>
    <col min="28" max="28" width="8.57142857142857" style="43" hidden="1" customWidth="1"/>
    <col min="29" max="29" width="24.7142857142857" style="43" customWidth="1"/>
    <col min="30" max="31" width="24" style="43" customWidth="1"/>
    <col min="32" max="32" width="11" style="43" customWidth="1"/>
    <col min="33" max="33" width="3.71428571428571" style="43" customWidth="1"/>
    <col min="34" max="34" width="11" style="43" customWidth="1"/>
    <col min="35" max="35" width="8.57142857142857" style="43" hidden="1" customWidth="1"/>
    <col min="36" max="36" width="4" style="43" customWidth="1"/>
    <col min="37" max="37" width="115" style="43" customWidth="1"/>
    <col min="38" max="42" width="10" style="44" customWidth="1"/>
    <col min="43" max="43" width="10.5714285714286" style="43" hidden="1"/>
  </cols>
  <sheetData>
    <row r="1" ht="22.5" hidden="1" customHeight="1" spans="43:43">
      <c r="AQ1" s="43" t="s">
        <v>14</v>
      </c>
    </row>
    <row r="2" ht="23.25" hidden="1" customHeight="1" spans="1:43">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89"/>
      <c r="AC2" s="1090" t="e">
        <f>INDEX(PT_DIFFERENTIATION_NTAR,MATCH(A2,PT_DIFFERENTIATION_NTAR_ID,0))</f>
        <v>#N/A</v>
      </c>
      <c r="AD2" s="1061"/>
      <c r="AE2" s="1061"/>
      <c r="AF2" s="1061"/>
      <c r="AG2" s="1061"/>
      <c r="AH2" s="1061"/>
      <c r="AI2" s="1061"/>
      <c r="AJ2" s="1089"/>
      <c r="AK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51"/>
      <c r="AN2" s="151" t="str">
        <f t="shared" ref="AN2:AN13" si="0">IF(T2="","",T2)</f>
        <v>Наименование тарифа</v>
      </c>
      <c r="AO2" s="151"/>
      <c r="AP2" s="151"/>
      <c r="AQ2" s="43">
        <v>0</v>
      </c>
    </row>
    <row r="3" ht="23.25" hidden="1" customHeight="1" spans="1:43">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89"/>
      <c r="AC3" s="1090" t="e">
        <f>INDEX(PT_DIFFERENTIATION_TER,MATCH(B3,PT_DIFFERENTIATION_TER_ID,0))</f>
        <v>#N/A</v>
      </c>
      <c r="AD3" s="1061"/>
      <c r="AE3" s="1061"/>
      <c r="AF3" s="1061"/>
      <c r="AG3" s="1061"/>
      <c r="AH3" s="1061"/>
      <c r="AI3" s="1061"/>
      <c r="AJ3" s="1089"/>
      <c r="AK3" s="136" t="s">
        <v>394</v>
      </c>
      <c r="AM3" s="151"/>
      <c r="AN3" s="151" t="str">
        <f t="shared" si="0"/>
        <v>Территория действия тарифа</v>
      </c>
      <c r="AO3" s="151"/>
      <c r="AP3" s="151"/>
      <c r="AQ3" s="43">
        <v>0</v>
      </c>
    </row>
    <row r="4" ht="23.25" hidden="1" customHeight="1" spans="1:43">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475</v>
      </c>
      <c r="U4" s="84"/>
      <c r="V4" s="1090"/>
      <c r="W4" s="1061"/>
      <c r="X4" s="1061"/>
      <c r="Y4" s="1061"/>
      <c r="Z4" s="1061"/>
      <c r="AA4" s="1061"/>
      <c r="AB4" s="1089"/>
      <c r="AC4" s="1090" t="e">
        <f>INDEX(PT_DIFFERENTIATION_CS,MATCH(C4,PT_DIFFERENTIATION_CS_ID,0))</f>
        <v>#N/A</v>
      </c>
      <c r="AD4" s="1061"/>
      <c r="AE4" s="1061"/>
      <c r="AF4" s="1061"/>
      <c r="AG4" s="1061"/>
      <c r="AH4" s="1061"/>
      <c r="AI4" s="1061"/>
      <c r="AJ4" s="1089"/>
      <c r="AK4" s="136" t="s">
        <v>476</v>
      </c>
      <c r="AM4" s="151"/>
      <c r="AN4" s="151" t="str">
        <f t="shared" si="0"/>
        <v>Наименование централизованной системы холодного водоснабжения</v>
      </c>
      <c r="AO4" s="151"/>
      <c r="AP4" s="151"/>
      <c r="AQ4" s="43">
        <v>0</v>
      </c>
    </row>
    <row r="5" ht="23.25" hidden="1" customHeight="1" spans="1:43">
      <c r="A5" s="46"/>
      <c r="B5" s="46"/>
      <c r="C5" s="46"/>
      <c r="D5" s="46"/>
      <c r="E5" s="1053"/>
      <c r="F5" s="1053"/>
      <c r="G5" s="1053"/>
      <c r="H5" s="1053"/>
      <c r="I5" s="229" t="e">
        <f>S4&amp;".1"</f>
        <v>#N/A</v>
      </c>
      <c r="J5" s="46"/>
      <c r="K5" s="46"/>
      <c r="L5" s="1054"/>
      <c r="P5" s="93">
        <v>1</v>
      </c>
      <c r="Q5" s="93"/>
      <c r="R5" s="94"/>
      <c r="S5" s="65" t="e">
        <f>$I5</f>
        <v>#N/A</v>
      </c>
      <c r="T5" s="95" t="s">
        <v>477</v>
      </c>
      <c r="U5" s="84"/>
      <c r="V5" s="1126"/>
      <c r="W5" s="1127"/>
      <c r="X5" s="1127"/>
      <c r="Y5" s="1127"/>
      <c r="Z5" s="1127"/>
      <c r="AA5" s="1127"/>
      <c r="AB5" s="1131"/>
      <c r="AC5" s="831"/>
      <c r="AD5" s="1134"/>
      <c r="AE5" s="1134"/>
      <c r="AF5" s="1134"/>
      <c r="AG5" s="1134"/>
      <c r="AH5" s="1134"/>
      <c r="AI5" s="1134"/>
      <c r="AJ5" s="1135"/>
      <c r="AK5" s="136" t="s">
        <v>478</v>
      </c>
      <c r="AM5" s="151"/>
      <c r="AN5" s="151" t="str">
        <f t="shared" si="0"/>
        <v>Наименование признака дифференциации</v>
      </c>
      <c r="AO5" s="151"/>
      <c r="AP5" s="151"/>
      <c r="AQ5" s="43">
        <v>0</v>
      </c>
    </row>
    <row r="6" ht="23.25" hidden="1" customHeight="1" spans="1:43">
      <c r="A6" s="46"/>
      <c r="B6" s="46"/>
      <c r="C6" s="46"/>
      <c r="D6" s="46"/>
      <c r="E6" s="1053"/>
      <c r="F6" s="1053"/>
      <c r="G6" s="1053"/>
      <c r="H6" s="1053"/>
      <c r="I6" s="1058"/>
      <c r="J6" s="229" t="e">
        <f>I5&amp;".1"</f>
        <v>#N/A</v>
      </c>
      <c r="K6" s="46"/>
      <c r="L6" s="1054" t="s">
        <v>402</v>
      </c>
      <c r="P6" s="93"/>
      <c r="Q6" s="93">
        <v>1</v>
      </c>
      <c r="R6" s="97"/>
      <c r="S6" s="65" t="e">
        <f>$J6</f>
        <v>#N/A</v>
      </c>
      <c r="T6" s="98" t="s">
        <v>403</v>
      </c>
      <c r="U6" s="84"/>
      <c r="V6" s="99"/>
      <c r="W6" s="100"/>
      <c r="X6" s="100"/>
      <c r="Y6" s="100"/>
      <c r="Z6" s="100"/>
      <c r="AA6" s="100"/>
      <c r="AB6" s="137"/>
      <c r="AC6" s="99"/>
      <c r="AD6" s="100"/>
      <c r="AE6" s="100"/>
      <c r="AF6" s="100"/>
      <c r="AG6" s="100"/>
      <c r="AH6" s="100"/>
      <c r="AI6" s="100"/>
      <c r="AJ6" s="137"/>
      <c r="AK6" s="1136" t="s">
        <v>479</v>
      </c>
      <c r="AM6" s="151"/>
      <c r="AN6" s="151" t="str">
        <f t="shared" si="0"/>
        <v>Группа потребителей</v>
      </c>
      <c r="AO6" s="151"/>
      <c r="AP6" s="151"/>
      <c r="AQ6" s="43">
        <v>0</v>
      </c>
    </row>
    <row r="7" ht="23.25" hidden="1" customHeight="1" spans="1:43">
      <c r="A7" s="46"/>
      <c r="B7" s="46"/>
      <c r="C7" s="46"/>
      <c r="D7" s="46"/>
      <c r="E7" s="1053"/>
      <c r="F7" s="1053"/>
      <c r="G7" s="1053"/>
      <c r="H7" s="1053"/>
      <c r="I7" s="1058"/>
      <c r="J7" s="1058"/>
      <c r="K7" s="229" t="e">
        <f>J6&amp;".1"</f>
        <v>#N/A</v>
      </c>
      <c r="L7" s="1054"/>
      <c r="P7" s="93"/>
      <c r="Q7" s="93"/>
      <c r="R7" s="97">
        <v>1</v>
      </c>
      <c r="S7" s="65" t="e">
        <f>$K7</f>
        <v>#N/A</v>
      </c>
      <c r="T7" s="1128"/>
      <c r="U7" s="84"/>
      <c r="V7" s="102"/>
      <c r="W7" s="102"/>
      <c r="X7" s="138"/>
      <c r="Y7" s="139"/>
      <c r="Z7" s="140" t="s">
        <v>66</v>
      </c>
      <c r="AA7" s="139"/>
      <c r="AB7" s="140" t="s">
        <v>66</v>
      </c>
      <c r="AC7" s="102"/>
      <c r="AD7" s="102"/>
      <c r="AE7" s="138"/>
      <c r="AF7" s="139"/>
      <c r="AG7" s="140" t="s">
        <v>66</v>
      </c>
      <c r="AH7" s="1137"/>
      <c r="AI7" s="140" t="s">
        <v>66</v>
      </c>
      <c r="AJ7" s="1138"/>
      <c r="AK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 t="e">
        <f>STRCHECKDATE(V8:AJ8)</f>
        <v>#NAME?</v>
      </c>
      <c r="AM7" s="151"/>
      <c r="AN7" s="151" t="str">
        <f t="shared" si="0"/>
        <v/>
      </c>
      <c r="AO7" s="151"/>
      <c r="AP7" s="151"/>
      <c r="AQ7" s="43">
        <v>0</v>
      </c>
    </row>
    <row r="8" hidden="1" customHeight="1" spans="1:43">
      <c r="A8" s="46"/>
      <c r="B8" s="46"/>
      <c r="C8" s="46"/>
      <c r="D8" s="46"/>
      <c r="E8" s="1053"/>
      <c r="F8" s="1053"/>
      <c r="G8" s="1053"/>
      <c r="H8" s="1053"/>
      <c r="I8" s="1058"/>
      <c r="J8" s="1058"/>
      <c r="K8" s="229"/>
      <c r="L8" s="1054"/>
      <c r="P8" s="93"/>
      <c r="Q8" s="93"/>
      <c r="R8" s="97"/>
      <c r="S8" s="104"/>
      <c r="T8" s="84"/>
      <c r="U8" s="84"/>
      <c r="V8" s="103"/>
      <c r="W8" s="103"/>
      <c r="X8" s="142" t="str">
        <f>Y7&amp;"-"&amp;AA7</f>
        <v>-</v>
      </c>
      <c r="Y8" s="143"/>
      <c r="Z8" s="140"/>
      <c r="AA8" s="143"/>
      <c r="AB8" s="140"/>
      <c r="AC8" s="103"/>
      <c r="AD8" s="103"/>
      <c r="AE8" s="142" t="str">
        <f>AF7&amp;"-"&amp;AH7</f>
        <v>-</v>
      </c>
      <c r="AF8" s="143"/>
      <c r="AG8" s="140"/>
      <c r="AH8" s="1140"/>
      <c r="AI8" s="140"/>
      <c r="AJ8" s="768"/>
      <c r="AK8" s="1139"/>
      <c r="AM8" s="151"/>
      <c r="AN8" s="151" t="str">
        <f t="shared" si="0"/>
        <v/>
      </c>
      <c r="AO8" s="151"/>
      <c r="AP8" s="151"/>
      <c r="AQ8" s="43">
        <v>0</v>
      </c>
    </row>
    <row r="9" ht="21" hidden="1" customHeight="1" spans="1:43">
      <c r="A9" s="46"/>
      <c r="B9" s="46"/>
      <c r="C9" s="46"/>
      <c r="D9" s="46"/>
      <c r="E9" s="1053"/>
      <c r="F9" s="1053"/>
      <c r="G9" s="1053"/>
      <c r="H9" s="1053"/>
      <c r="I9" s="1058"/>
      <c r="J9" s="229"/>
      <c r="K9" s="46"/>
      <c r="L9" s="1054"/>
      <c r="P9" s="93"/>
      <c r="Q9" s="93"/>
      <c r="R9" s="94"/>
      <c r="S9" s="105"/>
      <c r="T9" s="108" t="s">
        <v>480</v>
      </c>
      <c r="U9" s="107"/>
      <c r="V9" s="107"/>
      <c r="W9" s="107"/>
      <c r="X9" s="107"/>
      <c r="Y9" s="107"/>
      <c r="Z9" s="107"/>
      <c r="AA9" s="107"/>
      <c r="AB9" s="107"/>
      <c r="AC9" s="107"/>
      <c r="AD9" s="107"/>
      <c r="AE9" s="107"/>
      <c r="AF9" s="107"/>
      <c r="AG9" s="107"/>
      <c r="AH9" s="107"/>
      <c r="AI9" s="107"/>
      <c r="AJ9" s="107"/>
      <c r="AK9" s="136" t="s">
        <v>481</v>
      </c>
      <c r="AM9" s="151"/>
      <c r="AN9" s="151" t="str">
        <f t="shared" si="0"/>
        <v>Добавить значение признака дифференциации</v>
      </c>
      <c r="AO9" s="151"/>
      <c r="AP9" s="151"/>
      <c r="AQ9" s="43">
        <v>0</v>
      </c>
    </row>
    <row r="10" ht="21" hidden="1" customHeight="1" spans="1:43">
      <c r="A10" s="46"/>
      <c r="B10" s="46"/>
      <c r="C10" s="46"/>
      <c r="D10" s="46"/>
      <c r="E10" s="1053"/>
      <c r="F10" s="1053"/>
      <c r="G10" s="1053"/>
      <c r="H10" s="1053"/>
      <c r="I10" s="229"/>
      <c r="J10" s="46"/>
      <c r="K10" s="46"/>
      <c r="L10" s="1054"/>
      <c r="P10" s="93"/>
      <c r="Q10" s="93"/>
      <c r="R10" s="94"/>
      <c r="S10" s="105"/>
      <c r="T10" s="110" t="s">
        <v>408</v>
      </c>
      <c r="U10" s="107"/>
      <c r="V10" s="107"/>
      <c r="W10" s="107"/>
      <c r="X10" s="107"/>
      <c r="Y10" s="107"/>
      <c r="Z10" s="107"/>
      <c r="AA10" s="107"/>
      <c r="AB10" s="147"/>
      <c r="AC10" s="107"/>
      <c r="AD10" s="107"/>
      <c r="AE10" s="107"/>
      <c r="AF10" s="107"/>
      <c r="AG10" s="107"/>
      <c r="AH10" s="107"/>
      <c r="AI10" s="147"/>
      <c r="AJ10" s="107"/>
      <c r="AK10" s="1141"/>
      <c r="AM10" s="151"/>
      <c r="AN10" s="151" t="str">
        <f t="shared" si="0"/>
        <v>Добавить группу потребителей</v>
      </c>
      <c r="AO10" s="151"/>
      <c r="AP10" s="151"/>
      <c r="AQ10" s="43">
        <v>0</v>
      </c>
    </row>
    <row r="11" ht="21" hidden="1" customHeight="1" spans="1:43">
      <c r="A11" s="46"/>
      <c r="B11" s="46"/>
      <c r="C11" s="46"/>
      <c r="D11" s="46"/>
      <c r="E11" s="1053"/>
      <c r="F11" s="1053"/>
      <c r="G11" s="1053"/>
      <c r="H11" s="1052"/>
      <c r="I11" s="46"/>
      <c r="J11" s="46"/>
      <c r="K11" s="46"/>
      <c r="L11" s="1054"/>
      <c r="M11" s="47"/>
      <c r="N11" s="47"/>
      <c r="O11" s="38"/>
      <c r="P11" s="81"/>
      <c r="Q11" s="109"/>
      <c r="R11" s="82"/>
      <c r="S11" s="105"/>
      <c r="T11" s="821" t="s">
        <v>482</v>
      </c>
      <c r="U11" s="107"/>
      <c r="V11" s="107"/>
      <c r="W11" s="107"/>
      <c r="X11" s="107"/>
      <c r="Y11" s="107"/>
      <c r="Z11" s="107"/>
      <c r="AA11" s="107"/>
      <c r="AB11" s="147"/>
      <c r="AC11" s="107"/>
      <c r="AD11" s="107"/>
      <c r="AE11" s="107"/>
      <c r="AF11" s="107"/>
      <c r="AG11" s="107"/>
      <c r="AH11" s="107"/>
      <c r="AI11" s="147"/>
      <c r="AJ11" s="107"/>
      <c r="AK11" s="148"/>
      <c r="AM11" s="151"/>
      <c r="AN11" s="151" t="str">
        <f t="shared" si="0"/>
        <v>Добавить наименование признака дифференциации</v>
      </c>
      <c r="AO11" s="151"/>
      <c r="AP11" s="151"/>
      <c r="AQ11" s="43">
        <v>0</v>
      </c>
    </row>
    <row r="12" s="44" customFormat="1" hidden="1" customHeight="1" spans="1:43">
      <c r="A12" s="590"/>
      <c r="B12" s="590"/>
      <c r="C12" s="590"/>
      <c r="D12" s="590"/>
      <c r="E12" s="1053"/>
      <c r="F12" s="1052"/>
      <c r="G12" s="590"/>
      <c r="H12" s="590"/>
      <c r="I12" s="590"/>
      <c r="J12" s="590"/>
      <c r="K12" s="590"/>
      <c r="L12" s="611"/>
      <c r="M12" s="1059"/>
      <c r="N12" s="1059"/>
      <c r="P12" s="152"/>
      <c r="Q12" s="1082"/>
      <c r="R12" s="152"/>
      <c r="S12" s="1084"/>
      <c r="T12" s="1085" t="s">
        <v>411</v>
      </c>
      <c r="U12" s="307"/>
      <c r="V12" s="307"/>
      <c r="W12" s="307"/>
      <c r="X12" s="307"/>
      <c r="Y12" s="307"/>
      <c r="Z12" s="307"/>
      <c r="AA12" s="307"/>
      <c r="AB12" s="307"/>
      <c r="AC12" s="307"/>
      <c r="AD12" s="307"/>
      <c r="AE12" s="307"/>
      <c r="AF12" s="307"/>
      <c r="AG12" s="307"/>
      <c r="AH12" s="307"/>
      <c r="AI12" s="307"/>
      <c r="AJ12" s="307"/>
      <c r="AK12" s="307"/>
      <c r="AM12" s="151"/>
      <c r="AN12" s="151" t="str">
        <f t="shared" si="0"/>
        <v>Добавить централизованную систему для дифференциации</v>
      </c>
      <c r="AO12" s="151"/>
      <c r="AP12" s="151"/>
      <c r="AQ12" s="44">
        <v>0</v>
      </c>
    </row>
    <row r="13" s="44" customFormat="1" hidden="1" customHeight="1" spans="1:43">
      <c r="A13" s="590"/>
      <c r="B13" s="590"/>
      <c r="C13" s="590"/>
      <c r="D13" s="590"/>
      <c r="E13" s="1052"/>
      <c r="F13" s="590"/>
      <c r="G13" s="590"/>
      <c r="H13" s="590"/>
      <c r="I13" s="590"/>
      <c r="J13" s="590"/>
      <c r="K13" s="590"/>
      <c r="L13" s="611"/>
      <c r="M13" s="1059"/>
      <c r="N13" s="1059"/>
      <c r="P13" s="152"/>
      <c r="Q13" s="1082"/>
      <c r="R13" s="152"/>
      <c r="S13" s="1084"/>
      <c r="T13" s="1085" t="s">
        <v>412</v>
      </c>
      <c r="U13" s="307"/>
      <c r="V13" s="307"/>
      <c r="W13" s="307"/>
      <c r="X13" s="307"/>
      <c r="Y13" s="307"/>
      <c r="Z13" s="307"/>
      <c r="AA13" s="307"/>
      <c r="AB13" s="307"/>
      <c r="AC13" s="307"/>
      <c r="AD13" s="307"/>
      <c r="AE13" s="307"/>
      <c r="AF13" s="307"/>
      <c r="AG13" s="307"/>
      <c r="AH13" s="307"/>
      <c r="AI13" s="307"/>
      <c r="AJ13" s="307"/>
      <c r="AK13" s="307"/>
      <c r="AM13" s="151"/>
      <c r="AN13" s="151" t="str">
        <f t="shared" si="0"/>
        <v>Добавить территорию для дифференциации</v>
      </c>
      <c r="AO13" s="151"/>
      <c r="AP13" s="151"/>
      <c r="AQ13" s="44">
        <v>0</v>
      </c>
    </row>
    <row r="14" hidden="1" customHeight="1" spans="43:43">
      <c r="AQ14" s="43">
        <v>0</v>
      </c>
    </row>
    <row r="15" hidden="1" customHeight="1" spans="29:43">
      <c r="AC15" s="492"/>
      <c r="AD15" s="492"/>
      <c r="AE15" s="1132"/>
      <c r="AF15" s="1133"/>
      <c r="AG15" s="353" t="s">
        <v>66</v>
      </c>
      <c r="AH15" s="1133"/>
      <c r="AI15" s="353" t="s">
        <v>66</v>
      </c>
      <c r="AQ15" s="43">
        <v>0</v>
      </c>
    </row>
    <row r="16" hidden="1" customHeight="1" spans="29:43">
      <c r="AC16" s="492"/>
      <c r="AD16" s="492"/>
      <c r="AE16" s="142" t="str">
        <f>AF15&amp;"-"&amp;AH15</f>
        <v>-</v>
      </c>
      <c r="AF16" s="353"/>
      <c r="AG16" s="353"/>
      <c r="AH16" s="353"/>
      <c r="AI16" s="353"/>
      <c r="AQ16" s="43">
        <v>0</v>
      </c>
    </row>
    <row r="17" hidden="1" customHeight="1" spans="43:43">
      <c r="AQ17" s="43">
        <v>0</v>
      </c>
    </row>
    <row r="18" s="38" customFormat="1" ht="22.5" hidden="1" customHeight="1" spans="12:43">
      <c r="L18" s="48"/>
      <c r="M18" s="39"/>
      <c r="N18" s="39"/>
      <c r="O18" s="1060" t="s">
        <v>413</v>
      </c>
      <c r="P18" s="39"/>
      <c r="Q18" s="1051"/>
      <c r="R18" s="1051"/>
      <c r="S18" s="47"/>
      <c r="Y18" s="1060"/>
      <c r="AA18" s="1060"/>
      <c r="AF18" s="1060"/>
      <c r="AH18" s="1060"/>
      <c r="AL18" s="44"/>
      <c r="AM18" s="44"/>
      <c r="AN18" s="44"/>
      <c r="AO18" s="44"/>
      <c r="AP18" s="44"/>
      <c r="AQ18" s="38">
        <v>0</v>
      </c>
    </row>
    <row r="19" s="38" customFormat="1" hidden="1" customHeight="1" spans="12:43">
      <c r="L19" s="48"/>
      <c r="M19" s="39"/>
      <c r="N19" s="39"/>
      <c r="O19" s="39"/>
      <c r="P19" s="39"/>
      <c r="Q19" s="1051"/>
      <c r="R19" s="1051"/>
      <c r="S19" s="47"/>
      <c r="AL19" s="44"/>
      <c r="AM19" s="44"/>
      <c r="AN19" s="44"/>
      <c r="AO19" s="44"/>
      <c r="AP19" s="44"/>
      <c r="AQ19" s="38">
        <v>0</v>
      </c>
    </row>
    <row r="20" s="38" customFormat="1" ht="12" hidden="1" customHeight="1" spans="12:43">
      <c r="L20" s="48"/>
      <c r="M20" s="39"/>
      <c r="N20" s="39"/>
      <c r="O20" s="1054" t="s">
        <v>414</v>
      </c>
      <c r="P20" s="39"/>
      <c r="Q20" s="1129"/>
      <c r="R20" s="1129"/>
      <c r="S20" s="47"/>
      <c r="T20" s="38" t="s">
        <v>415</v>
      </c>
      <c r="Z20" s="45" t="s">
        <v>416</v>
      </c>
      <c r="AB20" s="45" t="s">
        <v>417</v>
      </c>
      <c r="AC20" s="38" t="s">
        <v>415</v>
      </c>
      <c r="AG20" s="45" t="s">
        <v>418</v>
      </c>
      <c r="AI20" s="45" t="s">
        <v>417</v>
      </c>
      <c r="AQ20" s="38">
        <v>0</v>
      </c>
    </row>
    <row r="21" hidden="1" customHeight="1" spans="15:43">
      <c r="O21" s="1054"/>
      <c r="AQ21" s="43">
        <v>0</v>
      </c>
    </row>
    <row r="22" hidden="1" customHeight="1" spans="15:43">
      <c r="O22" s="1054"/>
      <c r="AQ22" s="43">
        <v>0</v>
      </c>
    </row>
    <row r="23" ht="14.7" customHeight="1" spans="17:43">
      <c r="Q23" s="51"/>
      <c r="R23" s="51"/>
      <c r="S23" s="52"/>
      <c r="T23" s="53"/>
      <c r="U23" s="53"/>
      <c r="AQ23" s="43">
        <v>14</v>
      </c>
    </row>
    <row r="24" ht="14.7" customHeight="1" spans="17:43">
      <c r="Q24" s="51"/>
      <c r="R24" s="51"/>
      <c r="S24" s="7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755"/>
      <c r="U24" s="755"/>
      <c r="V24" s="755"/>
      <c r="W24" s="755"/>
      <c r="X24" s="755"/>
      <c r="Y24" s="755"/>
      <c r="Z24" s="755"/>
      <c r="AA24" s="755"/>
      <c r="AB24" s="755"/>
      <c r="AC24" s="755"/>
      <c r="AD24" s="755"/>
      <c r="AE24" s="755"/>
      <c r="AF24" s="755"/>
      <c r="AG24" s="755"/>
      <c r="AH24" s="755"/>
      <c r="AI24" s="121"/>
      <c r="AQ24" s="43">
        <v>14</v>
      </c>
    </row>
    <row r="25" ht="14.7" customHeight="1" spans="17:43">
      <c r="Q25" s="51"/>
      <c r="R25" s="51"/>
      <c r="S25" s="660" t="str">
        <f>IF(org=0,"Не определено",org)</f>
        <v>АО "Теплокоммунэнерго"</v>
      </c>
      <c r="T25" s="660"/>
      <c r="U25" s="660"/>
      <c r="V25" s="660"/>
      <c r="W25" s="660"/>
      <c r="X25" s="660"/>
      <c r="Y25" s="660"/>
      <c r="Z25" s="660"/>
      <c r="AA25" s="660"/>
      <c r="AB25" s="660"/>
      <c r="AC25" s="660"/>
      <c r="AD25" s="660"/>
      <c r="AE25" s="660"/>
      <c r="AF25" s="660"/>
      <c r="AG25" s="660"/>
      <c r="AH25" s="660"/>
      <c r="AI25" s="121"/>
      <c r="AQ25" s="43">
        <v>14</v>
      </c>
    </row>
    <row r="26" hidden="1" customHeight="1" spans="17:43">
      <c r="Q26" s="51"/>
      <c r="R26" s="51"/>
      <c r="S26" s="52"/>
      <c r="T26" s="53"/>
      <c r="U26" s="53"/>
      <c r="V26" s="56"/>
      <c r="W26" s="56"/>
      <c r="X26" s="56"/>
      <c r="Y26" s="56"/>
      <c r="Z26" s="56"/>
      <c r="AA26" s="56"/>
      <c r="AB26" s="56"/>
      <c r="AC26" s="56"/>
      <c r="AD26" s="56"/>
      <c r="AE26" s="56"/>
      <c r="AF26" s="56"/>
      <c r="AG26" s="56"/>
      <c r="AH26" s="56"/>
      <c r="AI26" s="56"/>
      <c r="AQ26" s="43">
        <v>0</v>
      </c>
    </row>
    <row r="27" s="36" customFormat="1" ht="25.5" hidden="1" customHeight="1" spans="1:43">
      <c r="A27" s="45"/>
      <c r="B27" s="45"/>
      <c r="C27" s="45"/>
      <c r="D27" s="45"/>
      <c r="E27" s="45"/>
      <c r="F27" s="45"/>
      <c r="G27" s="45"/>
      <c r="H27" s="45"/>
      <c r="I27" s="45"/>
      <c r="J27" s="45"/>
      <c r="K27" s="45"/>
      <c r="L27" s="1054"/>
      <c r="M27" s="45"/>
      <c r="N27" s="45"/>
      <c r="O27" s="45"/>
      <c r="S27"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58"/>
      <c r="U27" s="1088"/>
      <c r="V27" s="60" t="str">
        <f>IF(TITLE_NAME_OR_PR_CHANGE="",IF(TITLE_NAME_OR_PR="","",TITLE_NAME_OR_PR),TITLE_NAME_OR_PR_CHANGE)</f>
        <v/>
      </c>
      <c r="W27" s="60"/>
      <c r="X27" s="60"/>
      <c r="Y27" s="60"/>
      <c r="Z27" s="60"/>
      <c r="AA27" s="60"/>
      <c r="AB27" s="43"/>
      <c r="AC27" s="60" t="str">
        <f>IF(TITLE_NAME_OR_PR_CHANGE="",IF(TITLE_NAME_OR_PR="","",TITLE_NAME_OR_PR),TITLE_NAME_OR_PR_CHANGE)</f>
        <v/>
      </c>
      <c r="AD27" s="60"/>
      <c r="AE27" s="60"/>
      <c r="AF27" s="60"/>
      <c r="AG27" s="60"/>
      <c r="AH27" s="60"/>
      <c r="AI27" s="43"/>
      <c r="AJ27" s="43"/>
      <c r="AK27" s="122"/>
      <c r="AL27" s="151"/>
      <c r="AM27" s="151"/>
      <c r="AN27" s="151"/>
      <c r="AO27" s="151"/>
      <c r="AP27" s="151"/>
      <c r="AQ27" s="36">
        <v>0</v>
      </c>
    </row>
    <row r="28" s="36" customFormat="1" ht="18.75" hidden="1" customHeight="1" spans="1:43">
      <c r="A28" s="45"/>
      <c r="B28" s="45"/>
      <c r="C28" s="45"/>
      <c r="D28" s="45"/>
      <c r="E28" s="45"/>
      <c r="F28" s="45"/>
      <c r="G28" s="45"/>
      <c r="H28" s="45"/>
      <c r="I28" s="45"/>
      <c r="J28" s="45"/>
      <c r="K28" s="45"/>
      <c r="L28" s="1054"/>
      <c r="M28" s="45"/>
      <c r="N28" s="45"/>
      <c r="O28" s="45"/>
      <c r="S28" s="58" t="str">
        <f>"Дата документа об "&amp;IF(TITLE_DATE_PR_CHANGE="","утверждении","изменении")&amp;" тарифов"</f>
        <v>Дата документа об утверждении тарифов</v>
      </c>
      <c r="T28" s="58"/>
      <c r="U28" s="1088"/>
      <c r="V28" s="793" t="str">
        <f>IF(TITLE_DATE_PR_CHANGE="",IF(TITLE_DATE_PR="","",TITLE_DATE_PR),TITLE_DATE_PR_CHANGE)</f>
        <v/>
      </c>
      <c r="W28" s="793"/>
      <c r="X28" s="793"/>
      <c r="Y28" s="793"/>
      <c r="Z28" s="793"/>
      <c r="AA28" s="793"/>
      <c r="AB28" s="43"/>
      <c r="AC28" s="793" t="str">
        <f>IF(TITLE_DATE_PR_CHANGE="",IF(TITLE_DATE_PR="","",TITLE_DATE_PR),TITLE_DATE_PR_CHANGE)</f>
        <v/>
      </c>
      <c r="AD28" s="793"/>
      <c r="AE28" s="793"/>
      <c r="AF28" s="793"/>
      <c r="AG28" s="793"/>
      <c r="AH28" s="793"/>
      <c r="AI28" s="43"/>
      <c r="AJ28" s="43"/>
      <c r="AK28" s="122"/>
      <c r="AL28" s="151"/>
      <c r="AM28" s="151"/>
      <c r="AN28" s="151"/>
      <c r="AO28" s="151"/>
      <c r="AP28" s="151"/>
      <c r="AQ28" s="36">
        <v>0</v>
      </c>
    </row>
    <row r="29" s="36" customFormat="1" ht="18.75" hidden="1" customHeight="1" spans="1:43">
      <c r="A29" s="45"/>
      <c r="B29" s="45"/>
      <c r="C29" s="45"/>
      <c r="D29" s="45"/>
      <c r="E29" s="45"/>
      <c r="F29" s="45"/>
      <c r="G29" s="45"/>
      <c r="H29" s="45"/>
      <c r="I29" s="45"/>
      <c r="J29" s="45"/>
      <c r="K29" s="45"/>
      <c r="L29" s="1054"/>
      <c r="M29" s="45"/>
      <c r="N29" s="45"/>
      <c r="O29" s="45"/>
      <c r="S29" s="58" t="str">
        <f>"Номер документа об "&amp;IF(TITLE_DATE_PR_CHANGE="","утверждении","изменении")&amp;" тарифов"</f>
        <v>Номер документа об утверждении тарифов</v>
      </c>
      <c r="T29" s="58"/>
      <c r="U29" s="1088"/>
      <c r="V29" s="60" t="str">
        <f>IF(TITLE_NUMBER_PR_CHANGE="",IF(TITLE_NUMBER_PR="","",TITLE_NUMBER_PR),TITLE_NUMBER_PR_CHANGE)</f>
        <v/>
      </c>
      <c r="W29" s="60"/>
      <c r="X29" s="60"/>
      <c r="Y29" s="60"/>
      <c r="Z29" s="60"/>
      <c r="AA29" s="60"/>
      <c r="AB29" s="43"/>
      <c r="AC29" s="60" t="str">
        <f>IF(TITLE_NUMBER_PR_CHANGE="",IF(TITLE_NUMBER_PR="","",TITLE_NUMBER_PR),TITLE_NUMBER_PR_CHANGE)</f>
        <v/>
      </c>
      <c r="AD29" s="60"/>
      <c r="AE29" s="60"/>
      <c r="AF29" s="60"/>
      <c r="AG29" s="60"/>
      <c r="AH29" s="60"/>
      <c r="AI29" s="43"/>
      <c r="AJ29" s="43"/>
      <c r="AK29" s="122"/>
      <c r="AL29" s="151"/>
      <c r="AM29" s="151"/>
      <c r="AN29" s="151"/>
      <c r="AO29" s="151"/>
      <c r="AP29" s="151"/>
      <c r="AQ29" s="36">
        <v>0</v>
      </c>
    </row>
    <row r="30" s="36" customFormat="1" ht="18.75" hidden="1" customHeight="1" spans="1:43">
      <c r="A30" s="45"/>
      <c r="B30" s="45"/>
      <c r="C30" s="45"/>
      <c r="D30" s="45"/>
      <c r="E30" s="45"/>
      <c r="F30" s="45"/>
      <c r="G30" s="45"/>
      <c r="H30" s="45"/>
      <c r="I30" s="45"/>
      <c r="J30" s="45"/>
      <c r="K30" s="45"/>
      <c r="L30" s="1054"/>
      <c r="M30" s="45"/>
      <c r="N30" s="45"/>
      <c r="O30" s="45"/>
      <c r="S30" s="58" t="s">
        <v>43</v>
      </c>
      <c r="T30" s="58"/>
      <c r="U30" s="1088"/>
      <c r="V30" s="60" t="str">
        <f>IF(TITLE_IST_PUB_CHANGE="",IF(TITLE_IST_PUB="","",TITLE_IST_PUB),TITLE_IST_PUB_CHANGE)</f>
        <v/>
      </c>
      <c r="W30" s="60"/>
      <c r="X30" s="60"/>
      <c r="Y30" s="60"/>
      <c r="Z30" s="60"/>
      <c r="AA30" s="60"/>
      <c r="AB30" s="43"/>
      <c r="AC30" s="60" t="str">
        <f>IF(TITLE_IST_PUB_CHANGE="",IF(TITLE_IST_PUB="","",TITLE_IST_PUB),TITLE_IST_PUB_CHANGE)</f>
        <v/>
      </c>
      <c r="AD30" s="60"/>
      <c r="AE30" s="60"/>
      <c r="AF30" s="60"/>
      <c r="AG30" s="60"/>
      <c r="AH30" s="60"/>
      <c r="AI30" s="43"/>
      <c r="AJ30" s="43"/>
      <c r="AK30" s="122"/>
      <c r="AL30" s="151"/>
      <c r="AM30" s="151"/>
      <c r="AN30" s="151"/>
      <c r="AO30" s="151"/>
      <c r="AP30" s="151"/>
      <c r="AQ30" s="36">
        <v>0</v>
      </c>
    </row>
    <row r="31" hidden="1" customHeight="1" spans="17:43">
      <c r="Q31" s="51"/>
      <c r="R31" s="51"/>
      <c r="S31" s="52"/>
      <c r="T31" s="53"/>
      <c r="U31" s="53"/>
      <c r="V31" s="56"/>
      <c r="W31" s="56"/>
      <c r="X31" s="56"/>
      <c r="Y31" s="56"/>
      <c r="Z31" s="56"/>
      <c r="AA31" s="56"/>
      <c r="AB31" s="56"/>
      <c r="AC31" s="56"/>
      <c r="AD31" s="56"/>
      <c r="AE31" s="56"/>
      <c r="AF31" s="56"/>
      <c r="AG31" s="56"/>
      <c r="AH31" s="56"/>
      <c r="AI31" s="56"/>
      <c r="AQ31" s="43">
        <v>0</v>
      </c>
    </row>
    <row r="32" s="36" customFormat="1" ht="18.75" hidden="1" customHeight="1" spans="1:43">
      <c r="A32" s="45"/>
      <c r="B32" s="45"/>
      <c r="C32" s="45"/>
      <c r="D32" s="45"/>
      <c r="E32" s="45"/>
      <c r="F32" s="45"/>
      <c r="G32" s="45"/>
      <c r="H32" s="45"/>
      <c r="I32" s="45"/>
      <c r="J32" s="45"/>
      <c r="K32" s="45"/>
      <c r="L32" s="1054"/>
      <c r="M32" s="45"/>
      <c r="N32" s="45"/>
      <c r="O32" s="45"/>
      <c r="S32" s="58" t="str">
        <f>"Дата подачи заявления об "&amp;IF(TITLE_DATE_PR_CHANGE="","утверждении","изменении")&amp;" тарифов"</f>
        <v>Дата подачи заявления об утверждении тарифов</v>
      </c>
      <c r="T32" s="58"/>
      <c r="U32" s="1088"/>
      <c r="V32" s="793" t="str">
        <f>IF(TITLE_DATE_PR_CHANGE="",IF(TITLE_DATE_PR="","",TITLE_DATE_PR),TITLE_DATE_PR_CHANGE)</f>
        <v/>
      </c>
      <c r="W32" s="793"/>
      <c r="X32" s="793"/>
      <c r="Y32" s="793"/>
      <c r="Z32" s="793"/>
      <c r="AA32" s="793"/>
      <c r="AB32" s="43"/>
      <c r="AC32" s="793" t="str">
        <f>IF(TITLE_DATE_PR_CHANGE="",IF(TITLE_DATE_PR="","",TITLE_DATE_PR),TITLE_DATE_PR_CHANGE)</f>
        <v/>
      </c>
      <c r="AD32" s="793"/>
      <c r="AE32" s="793"/>
      <c r="AF32" s="793"/>
      <c r="AG32" s="793"/>
      <c r="AH32" s="793"/>
      <c r="AI32" s="43"/>
      <c r="AJ32" s="43"/>
      <c r="AK32" s="122"/>
      <c r="AL32" s="151"/>
      <c r="AM32" s="151"/>
      <c r="AN32" s="151"/>
      <c r="AO32" s="151"/>
      <c r="AP32" s="151"/>
      <c r="AQ32" s="36">
        <v>0</v>
      </c>
    </row>
    <row r="33" s="36" customFormat="1" ht="18.75" hidden="1" customHeight="1" spans="1:43">
      <c r="A33" s="45"/>
      <c r="B33" s="45"/>
      <c r="C33" s="45"/>
      <c r="D33" s="45"/>
      <c r="E33" s="45"/>
      <c r="F33" s="45"/>
      <c r="G33" s="45"/>
      <c r="H33" s="45"/>
      <c r="I33" s="45"/>
      <c r="J33" s="45"/>
      <c r="K33" s="45"/>
      <c r="L33" s="1054"/>
      <c r="M33" s="45"/>
      <c r="N33" s="45"/>
      <c r="O33" s="45"/>
      <c r="S33" s="58" t="str">
        <f>"Номер подачи заявления об "&amp;IF(TITLE_DATE_PR_CHANGE="","утверждении","изменении")&amp;" тарифов"</f>
        <v>Номер подачи заявления об утверждении тарифов</v>
      </c>
      <c r="T33" s="58"/>
      <c r="U33" s="1088"/>
      <c r="V33" s="60" t="str">
        <f>IF(TITLE_NUMBER_PR_CHANGE="",IF(TITLE_NUMBER_PR="","",TITLE_NUMBER_PR),TITLE_NUMBER_PR_CHANGE)</f>
        <v/>
      </c>
      <c r="W33" s="60"/>
      <c r="X33" s="60"/>
      <c r="Y33" s="60"/>
      <c r="Z33" s="60"/>
      <c r="AA33" s="60"/>
      <c r="AB33" s="43"/>
      <c r="AC33" s="60" t="str">
        <f>IF(TITLE_NUMBER_PR_CHANGE="",IF(TITLE_NUMBER_PR="","",TITLE_NUMBER_PR),TITLE_NUMBER_PR_CHANGE)</f>
        <v/>
      </c>
      <c r="AD33" s="60"/>
      <c r="AE33" s="60"/>
      <c r="AF33" s="60"/>
      <c r="AG33" s="60"/>
      <c r="AH33" s="60"/>
      <c r="AI33" s="43"/>
      <c r="AJ33" s="43"/>
      <c r="AK33" s="122"/>
      <c r="AL33" s="151"/>
      <c r="AM33" s="151"/>
      <c r="AN33" s="151"/>
      <c r="AO33" s="151"/>
      <c r="AP33" s="151"/>
      <c r="AQ33" s="36">
        <v>0</v>
      </c>
    </row>
    <row r="34" s="36" customFormat="1" ht="1.05" customHeight="1" spans="1:43">
      <c r="A34" s="45"/>
      <c r="B34" s="45"/>
      <c r="C34" s="45"/>
      <c r="D34" s="45"/>
      <c r="E34" s="45"/>
      <c r="F34" s="45"/>
      <c r="G34" s="45"/>
      <c r="H34" s="45"/>
      <c r="I34" s="45"/>
      <c r="J34" s="45"/>
      <c r="K34" s="45"/>
      <c r="L34" s="1054"/>
      <c r="M34" s="45"/>
      <c r="N34" s="45"/>
      <c r="O34" s="45"/>
      <c r="S34" s="43"/>
      <c r="T34" s="43"/>
      <c r="U34" s="61"/>
      <c r="V34" s="43"/>
      <c r="W34" s="43"/>
      <c r="X34" s="43"/>
      <c r="Y34" s="43"/>
      <c r="Z34" s="43"/>
      <c r="AA34" s="43"/>
      <c r="AB34" s="44" t="s">
        <v>419</v>
      </c>
      <c r="AC34" s="43"/>
      <c r="AD34" s="43"/>
      <c r="AE34" s="43"/>
      <c r="AF34" s="43"/>
      <c r="AG34" s="43"/>
      <c r="AH34" s="43"/>
      <c r="AI34" s="44" t="s">
        <v>419</v>
      </c>
      <c r="AL34" s="151"/>
      <c r="AM34" s="151"/>
      <c r="AN34" s="151"/>
      <c r="AO34" s="151"/>
      <c r="AP34" s="151"/>
      <c r="AQ34" s="36">
        <v>1</v>
      </c>
    </row>
    <row r="35" ht="14.7" customHeight="1" spans="17:43">
      <c r="Q35" s="51"/>
      <c r="R35" s="51"/>
      <c r="S35" s="52"/>
      <c r="T35" s="53"/>
      <c r="U35" s="62"/>
      <c r="V35" s="63"/>
      <c r="W35" s="63"/>
      <c r="X35" s="63"/>
      <c r="Y35" s="63"/>
      <c r="Z35" s="63"/>
      <c r="AA35" s="63"/>
      <c r="AB35" s="63"/>
      <c r="AC35" s="63"/>
      <c r="AD35" s="63"/>
      <c r="AE35" s="63"/>
      <c r="AF35" s="63"/>
      <c r="AG35" s="63"/>
      <c r="AH35" s="63"/>
      <c r="AI35" s="63"/>
      <c r="AQ35" s="43">
        <v>14</v>
      </c>
    </row>
    <row r="36" ht="14.7" customHeight="1" spans="17:43">
      <c r="Q36" s="51"/>
      <c r="R36" s="51"/>
      <c r="S36" s="64" t="s">
        <v>296</v>
      </c>
      <c r="T36" s="64"/>
      <c r="U36" s="64"/>
      <c r="V36" s="64"/>
      <c r="W36" s="64"/>
      <c r="X36" s="64"/>
      <c r="Y36" s="64"/>
      <c r="Z36" s="64"/>
      <c r="AA36" s="64"/>
      <c r="AB36" s="64"/>
      <c r="AC36" s="64"/>
      <c r="AD36" s="64"/>
      <c r="AE36" s="64"/>
      <c r="AF36" s="64"/>
      <c r="AG36" s="64"/>
      <c r="AH36" s="64"/>
      <c r="AI36" s="64"/>
      <c r="AJ36" s="64"/>
      <c r="AK36" s="64" t="s">
        <v>297</v>
      </c>
      <c r="AQ36" s="43">
        <v>14</v>
      </c>
    </row>
    <row r="37" ht="14.7" customHeight="1" spans="17:43">
      <c r="Q37" s="51"/>
      <c r="R37" s="51"/>
      <c r="S37" s="65" t="s">
        <v>89</v>
      </c>
      <c r="T37" s="66" t="s">
        <v>420</v>
      </c>
      <c r="U37" s="67"/>
      <c r="V37" s="68" t="s">
        <v>421</v>
      </c>
      <c r="W37" s="69"/>
      <c r="X37" s="69"/>
      <c r="Y37" s="69"/>
      <c r="Z37" s="69"/>
      <c r="AA37" s="123"/>
      <c r="AB37" s="124" t="s">
        <v>422</v>
      </c>
      <c r="AC37" s="68" t="s">
        <v>421</v>
      </c>
      <c r="AD37" s="69"/>
      <c r="AE37" s="69"/>
      <c r="AF37" s="69"/>
      <c r="AG37" s="69"/>
      <c r="AH37" s="123"/>
      <c r="AI37" s="124" t="s">
        <v>423</v>
      </c>
      <c r="AJ37" s="125" t="s">
        <v>424</v>
      </c>
      <c r="AK37" s="64"/>
      <c r="AQ37" s="43">
        <v>14</v>
      </c>
    </row>
    <row r="38" ht="35.7" customHeight="1" spans="17:43">
      <c r="Q38" s="51"/>
      <c r="R38" s="51"/>
      <c r="S38" s="65"/>
      <c r="T38" s="66"/>
      <c r="U38" s="70"/>
      <c r="V38" s="71" t="s">
        <v>483</v>
      </c>
      <c r="W38" s="126" t="s">
        <v>427</v>
      </c>
      <c r="X38" s="127"/>
      <c r="Y38" s="126" t="s">
        <v>428</v>
      </c>
      <c r="Z38" s="128"/>
      <c r="AA38" s="127"/>
      <c r="AB38" s="129"/>
      <c r="AC38" s="71" t="s">
        <v>483</v>
      </c>
      <c r="AD38" s="126" t="s">
        <v>427</v>
      </c>
      <c r="AE38" s="127"/>
      <c r="AF38" s="126" t="s">
        <v>428</v>
      </c>
      <c r="AG38" s="128"/>
      <c r="AH38" s="127"/>
      <c r="AI38" s="129"/>
      <c r="AJ38" s="130"/>
      <c r="AK38" s="64"/>
      <c r="AQ38" s="43">
        <v>34</v>
      </c>
    </row>
    <row r="39" ht="35.7" customHeight="1" spans="1:43">
      <c r="A39" s="45"/>
      <c r="B39" s="45" t="s">
        <v>133</v>
      </c>
      <c r="C39" s="45" t="s">
        <v>134</v>
      </c>
      <c r="D39" s="45" t="s">
        <v>135</v>
      </c>
      <c r="E39" s="1054" t="s">
        <v>429</v>
      </c>
      <c r="F39" s="1054" t="s">
        <v>430</v>
      </c>
      <c r="G39" s="1054" t="s">
        <v>431</v>
      </c>
      <c r="H39" s="1054"/>
      <c r="I39" s="1054" t="s">
        <v>484</v>
      </c>
      <c r="J39" s="1054" t="s">
        <v>434</v>
      </c>
      <c r="K39" s="1054" t="s">
        <v>485</v>
      </c>
      <c r="L39" s="1054" t="s">
        <v>414</v>
      </c>
      <c r="Q39" s="51"/>
      <c r="R39" s="51"/>
      <c r="S39" s="65"/>
      <c r="T39" s="66"/>
      <c r="U39" s="72"/>
      <c r="V39" s="71" t="s">
        <v>486</v>
      </c>
      <c r="W39" s="131" t="s">
        <v>487</v>
      </c>
      <c r="X39" s="131" t="s">
        <v>488</v>
      </c>
      <c r="Y39" s="131" t="s">
        <v>438</v>
      </c>
      <c r="Z39" s="132" t="s">
        <v>439</v>
      </c>
      <c r="AA39" s="133"/>
      <c r="AB39" s="134"/>
      <c r="AC39" s="71" t="s">
        <v>486</v>
      </c>
      <c r="AD39" s="131" t="s">
        <v>487</v>
      </c>
      <c r="AE39" s="131" t="s">
        <v>488</v>
      </c>
      <c r="AF39" s="131" t="s">
        <v>438</v>
      </c>
      <c r="AG39" s="132" t="s">
        <v>439</v>
      </c>
      <c r="AH39" s="133"/>
      <c r="AI39" s="134"/>
      <c r="AJ39" s="135"/>
      <c r="AK39" s="64"/>
      <c r="AQ39" s="43">
        <v>34</v>
      </c>
    </row>
    <row r="40" s="37" customFormat="1" hidden="1" customHeight="1" spans="1:43">
      <c r="A40" s="45"/>
      <c r="B40" s="45"/>
      <c r="C40" s="45"/>
      <c r="D40" s="45"/>
      <c r="E40" s="45"/>
      <c r="F40" s="45"/>
      <c r="G40" s="45"/>
      <c r="H40" s="45"/>
      <c r="I40" s="45"/>
      <c r="J40" s="45"/>
      <c r="K40" s="45"/>
      <c r="L40" s="1054"/>
      <c r="M40" s="39"/>
      <c r="N40" s="39"/>
      <c r="O40" s="39"/>
      <c r="P40" s="74"/>
      <c r="Q40" s="75"/>
      <c r="R40" s="76">
        <v>1</v>
      </c>
      <c r="S40" s="77" t="s">
        <v>107</v>
      </c>
      <c r="T40" s="78" t="s">
        <v>108</v>
      </c>
      <c r="U40" s="79" t="str">
        <f ca="1">OFFSET(U40,0,-1)</f>
        <v>2</v>
      </c>
      <c r="V40" s="80">
        <f ca="1">OFFSET(V40,0,-1)+1</f>
        <v>3</v>
      </c>
      <c r="W40" s="80">
        <f ca="1">OFFSET(W40,0,-1)+1</f>
        <v>4</v>
      </c>
      <c r="X40" s="80">
        <f ca="1">OFFSET(X40,0,-1)+1</f>
        <v>5</v>
      </c>
      <c r="Y40" s="80">
        <f ca="1">OFFSET(Y40,0,-1)+1</f>
        <v>6</v>
      </c>
      <c r="Z40" s="80">
        <f ca="1">OFFSET(Z40,0,-1)+1</f>
        <v>7</v>
      </c>
      <c r="AA40" s="80"/>
      <c r="AB40" s="80">
        <f ca="1">OFFSET(AB40,0,-2)+1</f>
        <v>8</v>
      </c>
      <c r="AC40" s="80">
        <f ca="1">OFFSET(AC40,0,-1)+1</f>
        <v>9</v>
      </c>
      <c r="AD40" s="80">
        <f ca="1">OFFSET(AD40,0,-1)+1</f>
        <v>10</v>
      </c>
      <c r="AE40" s="80">
        <f ca="1">OFFSET(AE40,0,-1)+1</f>
        <v>11</v>
      </c>
      <c r="AF40" s="80">
        <f ca="1">OFFSET(AF40,0,-1)+1</f>
        <v>12</v>
      </c>
      <c r="AG40" s="80">
        <f ca="1">OFFSET(AG40,0,-1)+1</f>
        <v>13</v>
      </c>
      <c r="AH40" s="80"/>
      <c r="AI40" s="80">
        <f ca="1">OFFSET(AI40,0,-2)+1</f>
        <v>14</v>
      </c>
      <c r="AJ40" s="79">
        <f ca="1">OFFSET(AJ40,0,-1)</f>
        <v>14</v>
      </c>
      <c r="AK40" s="80">
        <f ca="1">OFFSET(AK40,0,-1)+1</f>
        <v>15</v>
      </c>
      <c r="AL40" s="44"/>
      <c r="AM40" s="44"/>
      <c r="AN40" s="44"/>
      <c r="AO40" s="44"/>
      <c r="AP40" s="44"/>
      <c r="AQ40" s="37">
        <v>0</v>
      </c>
    </row>
    <row r="41" ht="24" customHeight="1" spans="1:43">
      <c r="A41" s="46" t="s">
        <v>237</v>
      </c>
      <c r="B41" s="46"/>
      <c r="C41" s="46"/>
      <c r="D41" s="46"/>
      <c r="E41" s="1052">
        <v>1</v>
      </c>
      <c r="F41" s="46"/>
      <c r="G41" s="46"/>
      <c r="H41" s="46"/>
      <c r="I41" s="46"/>
      <c r="J41" s="46"/>
      <c r="K41" s="46"/>
      <c r="L41" s="1054"/>
      <c r="M41" s="47"/>
      <c r="N41" s="47"/>
      <c r="O41" s="47"/>
      <c r="Q41" s="81"/>
      <c r="R41" s="82"/>
      <c r="S41" s="65">
        <f>INDEX(PT_DIFFERENTIATION_NUM_NTAR,MATCH(A41,PT_DIFFERENTIATION_NTAR_ID,0))</f>
        <v>0</v>
      </c>
      <c r="T41" s="83" t="s">
        <v>121</v>
      </c>
      <c r="U41" s="84"/>
      <c r="V41" s="1090"/>
      <c r="W41" s="1061"/>
      <c r="X41" s="1061"/>
      <c r="Y41" s="1061"/>
      <c r="Z41" s="1061"/>
      <c r="AA41" s="1061"/>
      <c r="AB41" s="1089"/>
      <c r="AC41" s="1090" t="str">
        <f>INDEX(PT_DIFFERENTIATION_NTAR,MATCH(A41,PT_DIFFERENTIATION_NTAR_ID,0))</f>
        <v/>
      </c>
      <c r="AD41" s="1061"/>
      <c r="AE41" s="1061"/>
      <c r="AF41" s="1061"/>
      <c r="AG41" s="1061"/>
      <c r="AH41" s="1061"/>
      <c r="AI41" s="1061"/>
      <c r="AJ41" s="1089"/>
      <c r="AK41"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51"/>
      <c r="AN41" s="151" t="str">
        <f t="shared" ref="AN41:AN53" si="1">IF(T41="","",T41)</f>
        <v>Наименование тарифа</v>
      </c>
      <c r="AO41" s="151"/>
      <c r="AP41" s="151"/>
      <c r="AQ41" s="43">
        <v>23</v>
      </c>
    </row>
    <row r="42" ht="24" customHeight="1" spans="1:43">
      <c r="A42" s="46" t="s">
        <v>237</v>
      </c>
      <c r="B42" s="46" t="s">
        <v>238</v>
      </c>
      <c r="C42" s="46"/>
      <c r="D42" s="46"/>
      <c r="E42" s="1053"/>
      <c r="F42" s="1052">
        <v>1</v>
      </c>
      <c r="G42" s="46"/>
      <c r="H42" s="46"/>
      <c r="I42" s="46"/>
      <c r="J42" s="46"/>
      <c r="K42" s="46"/>
      <c r="L42" s="1054"/>
      <c r="M42" s="47"/>
      <c r="N42" s="47"/>
      <c r="O42" s="47"/>
      <c r="P42" s="86"/>
      <c r="Q42" s="87"/>
      <c r="R42" s="88"/>
      <c r="S42" s="65" t="str">
        <f>INDEX(PT_DIFFERENTIATION_NUM_TER,MATCH(B42,PT_DIFFERENTIATION_TER_ID,0))</f>
        <v>.</v>
      </c>
      <c r="T42" s="89" t="s">
        <v>393</v>
      </c>
      <c r="U42" s="84"/>
      <c r="V42" s="1090"/>
      <c r="W42" s="1061"/>
      <c r="X42" s="1061"/>
      <c r="Y42" s="1061"/>
      <c r="Z42" s="1061"/>
      <c r="AA42" s="1061"/>
      <c r="AB42" s="1089"/>
      <c r="AC42" s="1090" t="str">
        <f>INDEX(PT_DIFFERENTIATION_TER,MATCH(B42,PT_DIFFERENTIATION_TER_ID,0))</f>
        <v/>
      </c>
      <c r="AD42" s="1061"/>
      <c r="AE42" s="1061"/>
      <c r="AF42" s="1061"/>
      <c r="AG42" s="1061"/>
      <c r="AH42" s="1061"/>
      <c r="AI42" s="1061"/>
      <c r="AJ42" s="1089"/>
      <c r="AK42" s="136" t="s">
        <v>394</v>
      </c>
      <c r="AM42" s="151"/>
      <c r="AN42" s="151" t="str">
        <f t="shared" si="1"/>
        <v>Территория действия тарифа</v>
      </c>
      <c r="AO42" s="151"/>
      <c r="AP42" s="151"/>
      <c r="AQ42" s="43">
        <v>23</v>
      </c>
    </row>
    <row r="43" ht="24" customHeight="1" spans="1:43">
      <c r="A43" s="46" t="s">
        <v>237</v>
      </c>
      <c r="B43" s="46" t="s">
        <v>238</v>
      </c>
      <c r="C43" s="46" t="s">
        <v>239</v>
      </c>
      <c r="D43" s="46"/>
      <c r="E43" s="1053"/>
      <c r="F43" s="1053"/>
      <c r="G43" s="1052">
        <v>1</v>
      </c>
      <c r="H43" s="46"/>
      <c r="I43" s="46"/>
      <c r="J43" s="46"/>
      <c r="K43" s="46"/>
      <c r="L43" s="1054"/>
      <c r="M43" s="47"/>
      <c r="N43" s="47"/>
      <c r="O43" s="47"/>
      <c r="P43" s="90"/>
      <c r="Q43" s="87"/>
      <c r="R43" s="88"/>
      <c r="S43" s="65" t="str">
        <f>INDEX(PT_DIFFERENTIATION_NUM_CS,MATCH(C43,PT_DIFFERENTIATION_CS_ID,0))</f>
        <v>..</v>
      </c>
      <c r="T43" s="91" t="s">
        <v>475</v>
      </c>
      <c r="U43" s="84"/>
      <c r="V43" s="1090"/>
      <c r="W43" s="1061"/>
      <c r="X43" s="1061"/>
      <c r="Y43" s="1061"/>
      <c r="Z43" s="1061"/>
      <c r="AA43" s="1061"/>
      <c r="AB43" s="1089"/>
      <c r="AC43" s="1090" t="str">
        <f>INDEX(PT_DIFFERENTIATION_CS,MATCH(C43,PT_DIFFERENTIATION_CS_ID,0))</f>
        <v/>
      </c>
      <c r="AD43" s="1061"/>
      <c r="AE43" s="1061"/>
      <c r="AF43" s="1061"/>
      <c r="AG43" s="1061"/>
      <c r="AH43" s="1061"/>
      <c r="AI43" s="1061"/>
      <c r="AJ43" s="1089"/>
      <c r="AK43" s="136" t="s">
        <v>476</v>
      </c>
      <c r="AM43" s="151"/>
      <c r="AN43" s="151" t="str">
        <f t="shared" si="1"/>
        <v>Наименование централизованной системы холодного водоснабжения</v>
      </c>
      <c r="AO43" s="151"/>
      <c r="AP43" s="151"/>
      <c r="AQ43" s="43">
        <v>23</v>
      </c>
    </row>
    <row r="44" ht="24" customHeight="1" spans="1:43">
      <c r="A44" s="46" t="s">
        <v>237</v>
      </c>
      <c r="B44" s="46" t="s">
        <v>238</v>
      </c>
      <c r="C44" s="46" t="s">
        <v>239</v>
      </c>
      <c r="D44" s="46" t="s">
        <v>492</v>
      </c>
      <c r="E44" s="1053"/>
      <c r="F44" s="1053"/>
      <c r="G44" s="1053"/>
      <c r="H44" s="1053"/>
      <c r="I44" s="229" t="str">
        <f>S43&amp;".1"</f>
        <v>...1</v>
      </c>
      <c r="J44" s="46"/>
      <c r="K44" s="46"/>
      <c r="L44" s="1054"/>
      <c r="P44" s="93">
        <v>1</v>
      </c>
      <c r="Q44" s="93"/>
      <c r="R44" s="94"/>
      <c r="S44" s="65" t="str">
        <f>$I44</f>
        <v>...1</v>
      </c>
      <c r="T44" s="95" t="s">
        <v>477</v>
      </c>
      <c r="U44" s="84"/>
      <c r="V44" s="1126"/>
      <c r="W44" s="1127"/>
      <c r="X44" s="1127"/>
      <c r="Y44" s="1127"/>
      <c r="Z44" s="1127"/>
      <c r="AA44" s="1127"/>
      <c r="AB44" s="1131"/>
      <c r="AC44" s="831"/>
      <c r="AD44" s="1134"/>
      <c r="AE44" s="1134"/>
      <c r="AF44" s="1134"/>
      <c r="AG44" s="1134"/>
      <c r="AH44" s="1134"/>
      <c r="AI44" s="1134"/>
      <c r="AJ44" s="1135"/>
      <c r="AK44" s="136" t="s">
        <v>478</v>
      </c>
      <c r="AM44" s="151"/>
      <c r="AN44" s="151" t="str">
        <f t="shared" si="1"/>
        <v>Наименование признака дифференциации</v>
      </c>
      <c r="AO44" s="151"/>
      <c r="AP44" s="151"/>
      <c r="AQ44" s="43">
        <v>23</v>
      </c>
    </row>
    <row r="45" ht="24" customHeight="1" spans="1:43">
      <c r="A45" s="46" t="s">
        <v>237</v>
      </c>
      <c r="B45" s="46" t="s">
        <v>238</v>
      </c>
      <c r="C45" s="46" t="s">
        <v>239</v>
      </c>
      <c r="D45" s="46" t="s">
        <v>492</v>
      </c>
      <c r="E45" s="1053"/>
      <c r="F45" s="1053"/>
      <c r="G45" s="1053"/>
      <c r="H45" s="1053"/>
      <c r="I45" s="1058"/>
      <c r="J45" s="229" t="str">
        <f>I44&amp;".1"</f>
        <v>...1.1</v>
      </c>
      <c r="K45" s="46"/>
      <c r="L45" s="1054" t="s">
        <v>402</v>
      </c>
      <c r="P45" s="93"/>
      <c r="Q45" s="93">
        <v>1</v>
      </c>
      <c r="R45" s="97"/>
      <c r="S45" s="65" t="str">
        <f>$J45</f>
        <v>...1.1</v>
      </c>
      <c r="T45" s="98" t="s">
        <v>403</v>
      </c>
      <c r="U45" s="84"/>
      <c r="V45" s="99"/>
      <c r="W45" s="100"/>
      <c r="X45" s="100"/>
      <c r="Y45" s="100"/>
      <c r="Z45" s="100"/>
      <c r="AA45" s="100"/>
      <c r="AB45" s="137"/>
      <c r="AC45" s="99"/>
      <c r="AD45" s="100"/>
      <c r="AE45" s="100"/>
      <c r="AF45" s="100"/>
      <c r="AG45" s="100"/>
      <c r="AH45" s="100"/>
      <c r="AI45" s="100"/>
      <c r="AJ45" s="137"/>
      <c r="AK45" s="1136" t="s">
        <v>479</v>
      </c>
      <c r="AM45" s="151"/>
      <c r="AN45" s="151" t="str">
        <f t="shared" si="1"/>
        <v>Группа потребителей</v>
      </c>
      <c r="AO45" s="151"/>
      <c r="AP45" s="151"/>
      <c r="AQ45" s="43">
        <v>23</v>
      </c>
    </row>
    <row r="46" ht="24" customHeight="1" spans="1:43">
      <c r="A46" s="46" t="s">
        <v>237</v>
      </c>
      <c r="B46" s="46" t="s">
        <v>238</v>
      </c>
      <c r="C46" s="46" t="s">
        <v>239</v>
      </c>
      <c r="D46" s="46" t="s">
        <v>492</v>
      </c>
      <c r="E46" s="1053"/>
      <c r="F46" s="1053"/>
      <c r="G46" s="1053"/>
      <c r="H46" s="1053"/>
      <c r="I46" s="1058"/>
      <c r="J46" s="1058"/>
      <c r="K46" s="229" t="str">
        <f>J45&amp;".1"</f>
        <v>...1.1.1</v>
      </c>
      <c r="L46" s="1054"/>
      <c r="P46" s="93"/>
      <c r="Q46" s="93"/>
      <c r="R46" s="97">
        <v>1</v>
      </c>
      <c r="S46" s="65" t="str">
        <f>$K46</f>
        <v>...1.1.1</v>
      </c>
      <c r="T46" s="1128"/>
      <c r="U46" s="84"/>
      <c r="V46" s="102"/>
      <c r="W46" s="102"/>
      <c r="X46" s="138"/>
      <c r="Y46" s="139"/>
      <c r="Z46" s="140" t="s">
        <v>66</v>
      </c>
      <c r="AA46" s="139"/>
      <c r="AB46" s="140" t="s">
        <v>66</v>
      </c>
      <c r="AC46" s="102"/>
      <c r="AD46" s="102"/>
      <c r="AE46" s="138"/>
      <c r="AF46" s="139"/>
      <c r="AG46" s="140" t="s">
        <v>66</v>
      </c>
      <c r="AH46" s="1137"/>
      <c r="AI46" s="140" t="s">
        <v>66</v>
      </c>
      <c r="AJ46" s="1138"/>
      <c r="AK46"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 t="e">
        <f>STRCHECKDATE(V47:AJ47)</f>
        <v>#NAME?</v>
      </c>
      <c r="AM46" s="151"/>
      <c r="AN46" s="151" t="str">
        <f t="shared" si="1"/>
        <v/>
      </c>
      <c r="AO46" s="151"/>
      <c r="AP46" s="151"/>
      <c r="AQ46" s="43">
        <v>23</v>
      </c>
    </row>
    <row r="47" hidden="1" customHeight="1" spans="1:43">
      <c r="A47" s="46" t="s">
        <v>237</v>
      </c>
      <c r="B47" s="46" t="s">
        <v>238</v>
      </c>
      <c r="C47" s="46" t="s">
        <v>239</v>
      </c>
      <c r="D47" s="46" t="s">
        <v>492</v>
      </c>
      <c r="E47" s="1053"/>
      <c r="F47" s="1053"/>
      <c r="G47" s="1053"/>
      <c r="H47" s="1053"/>
      <c r="I47" s="1058"/>
      <c r="J47" s="1058"/>
      <c r="K47" s="229"/>
      <c r="L47" s="1054"/>
      <c r="P47" s="93"/>
      <c r="Q47" s="93"/>
      <c r="R47" s="97"/>
      <c r="S47" s="104"/>
      <c r="T47" s="84"/>
      <c r="U47" s="84"/>
      <c r="V47" s="103"/>
      <c r="W47" s="103"/>
      <c r="X47" s="142" t="str">
        <f>Y46&amp;"-"&amp;AA46</f>
        <v>-</v>
      </c>
      <c r="Y47" s="143"/>
      <c r="Z47" s="140"/>
      <c r="AA47" s="143"/>
      <c r="AB47" s="140"/>
      <c r="AC47" s="103"/>
      <c r="AD47" s="103"/>
      <c r="AE47" s="142" t="str">
        <f>AF46&amp;"-"&amp;AH46</f>
        <v>-</v>
      </c>
      <c r="AF47" s="143"/>
      <c r="AG47" s="140"/>
      <c r="AH47" s="1140"/>
      <c r="AI47" s="140"/>
      <c r="AJ47" s="768"/>
      <c r="AK47" s="1139"/>
      <c r="AM47" s="151"/>
      <c r="AN47" s="151" t="str">
        <f t="shared" si="1"/>
        <v/>
      </c>
      <c r="AO47" s="151"/>
      <c r="AP47" s="151"/>
      <c r="AQ47" s="43">
        <v>0</v>
      </c>
    </row>
    <row r="48" ht="21" customHeight="1" spans="1:43">
      <c r="A48" s="46" t="s">
        <v>237</v>
      </c>
      <c r="B48" s="46" t="s">
        <v>238</v>
      </c>
      <c r="C48" s="46" t="s">
        <v>239</v>
      </c>
      <c r="D48" s="46" t="s">
        <v>492</v>
      </c>
      <c r="E48" s="1053"/>
      <c r="F48" s="1053"/>
      <c r="G48" s="1053"/>
      <c r="H48" s="1053"/>
      <c r="I48" s="1058"/>
      <c r="J48" s="229"/>
      <c r="K48" s="46"/>
      <c r="L48" s="1054"/>
      <c r="P48" s="93"/>
      <c r="Q48" s="93"/>
      <c r="R48" s="94"/>
      <c r="S48" s="105"/>
      <c r="T48" s="108" t="s">
        <v>480</v>
      </c>
      <c r="U48" s="107"/>
      <c r="V48" s="107"/>
      <c r="W48" s="107"/>
      <c r="X48" s="107"/>
      <c r="Y48" s="107"/>
      <c r="Z48" s="107"/>
      <c r="AA48" s="107"/>
      <c r="AB48" s="107"/>
      <c r="AC48" s="107"/>
      <c r="AD48" s="107"/>
      <c r="AE48" s="107"/>
      <c r="AF48" s="107"/>
      <c r="AG48" s="107"/>
      <c r="AH48" s="107"/>
      <c r="AI48" s="107"/>
      <c r="AJ48" s="107"/>
      <c r="AK48" s="136" t="s">
        <v>481</v>
      </c>
      <c r="AM48" s="151"/>
      <c r="AN48" s="151" t="str">
        <f t="shared" si="1"/>
        <v>Добавить значение признака дифференциации</v>
      </c>
      <c r="AO48" s="151"/>
      <c r="AP48" s="151"/>
      <c r="AQ48" s="43">
        <v>20</v>
      </c>
    </row>
    <row r="49" ht="22.05" customHeight="1" spans="1:43">
      <c r="A49" s="46" t="s">
        <v>237</v>
      </c>
      <c r="B49" s="46" t="s">
        <v>238</v>
      </c>
      <c r="C49" s="46" t="s">
        <v>239</v>
      </c>
      <c r="D49" s="46" t="s">
        <v>492</v>
      </c>
      <c r="E49" s="1053"/>
      <c r="F49" s="1053"/>
      <c r="G49" s="1053"/>
      <c r="H49" s="1053"/>
      <c r="I49" s="229"/>
      <c r="J49" s="46"/>
      <c r="K49" s="46"/>
      <c r="L49" s="1054"/>
      <c r="P49" s="93"/>
      <c r="Q49" s="93"/>
      <c r="R49" s="94"/>
      <c r="S49" s="105"/>
      <c r="T49" s="110" t="s">
        <v>408</v>
      </c>
      <c r="U49" s="107"/>
      <c r="V49" s="107"/>
      <c r="W49" s="107"/>
      <c r="X49" s="107"/>
      <c r="Y49" s="107"/>
      <c r="Z49" s="107"/>
      <c r="AA49" s="107"/>
      <c r="AB49" s="147"/>
      <c r="AC49" s="107"/>
      <c r="AD49" s="107"/>
      <c r="AE49" s="107"/>
      <c r="AF49" s="107"/>
      <c r="AG49" s="107"/>
      <c r="AH49" s="107"/>
      <c r="AI49" s="147"/>
      <c r="AJ49" s="107"/>
      <c r="AK49" s="1141"/>
      <c r="AM49" s="151"/>
      <c r="AN49" s="151" t="str">
        <f t="shared" si="1"/>
        <v>Добавить группу потребителей</v>
      </c>
      <c r="AO49" s="151"/>
      <c r="AP49" s="151"/>
      <c r="AQ49" s="43">
        <v>21</v>
      </c>
    </row>
    <row r="50" ht="22.05" customHeight="1" spans="1:43">
      <c r="A50" s="46" t="s">
        <v>237</v>
      </c>
      <c r="B50" s="46" t="s">
        <v>238</v>
      </c>
      <c r="C50" s="46" t="s">
        <v>239</v>
      </c>
      <c r="D50" s="46" t="s">
        <v>492</v>
      </c>
      <c r="E50" s="1053"/>
      <c r="F50" s="1053"/>
      <c r="G50" s="1053"/>
      <c r="H50" s="1052"/>
      <c r="I50" s="46"/>
      <c r="J50" s="46"/>
      <c r="K50" s="46"/>
      <c r="L50" s="1054"/>
      <c r="M50" s="47"/>
      <c r="N50" s="47"/>
      <c r="O50" s="38"/>
      <c r="P50" s="81"/>
      <c r="Q50" s="109"/>
      <c r="R50" s="82"/>
      <c r="S50" s="105"/>
      <c r="T50" s="821" t="s">
        <v>482</v>
      </c>
      <c r="U50" s="107"/>
      <c r="V50" s="107"/>
      <c r="W50" s="107"/>
      <c r="X50" s="107"/>
      <c r="Y50" s="107"/>
      <c r="Z50" s="107"/>
      <c r="AA50" s="107"/>
      <c r="AB50" s="147"/>
      <c r="AC50" s="107"/>
      <c r="AD50" s="107"/>
      <c r="AE50" s="107"/>
      <c r="AF50" s="107"/>
      <c r="AG50" s="107"/>
      <c r="AH50" s="107"/>
      <c r="AI50" s="147"/>
      <c r="AJ50" s="107"/>
      <c r="AK50" s="148"/>
      <c r="AM50" s="151"/>
      <c r="AN50" s="151" t="str">
        <f t="shared" si="1"/>
        <v>Добавить наименование признака дифференциации</v>
      </c>
      <c r="AO50" s="151"/>
      <c r="AP50" s="151"/>
      <c r="AQ50" s="43">
        <v>21</v>
      </c>
    </row>
    <row r="51" s="44" customFormat="1" hidden="1" customHeight="1" spans="1:43">
      <c r="A51" s="590" t="s">
        <v>237</v>
      </c>
      <c r="B51" s="590" t="s">
        <v>238</v>
      </c>
      <c r="C51" s="590"/>
      <c r="D51" s="590"/>
      <c r="E51" s="1053"/>
      <c r="F51" s="1052"/>
      <c r="G51" s="590"/>
      <c r="H51" s="590"/>
      <c r="I51" s="590"/>
      <c r="J51" s="590"/>
      <c r="K51" s="590"/>
      <c r="L51" s="611"/>
      <c r="M51" s="1059"/>
      <c r="N51" s="1059"/>
      <c r="P51" s="152"/>
      <c r="Q51" s="1082"/>
      <c r="R51" s="152"/>
      <c r="S51" s="1084"/>
      <c r="T51" s="1085" t="s">
        <v>411</v>
      </c>
      <c r="U51" s="307"/>
      <c r="V51" s="307"/>
      <c r="W51" s="307"/>
      <c r="X51" s="307"/>
      <c r="Y51" s="307"/>
      <c r="Z51" s="307"/>
      <c r="AA51" s="307"/>
      <c r="AB51" s="307"/>
      <c r="AC51" s="307"/>
      <c r="AD51" s="307"/>
      <c r="AE51" s="307"/>
      <c r="AF51" s="307"/>
      <c r="AG51" s="307"/>
      <c r="AH51" s="307"/>
      <c r="AI51" s="307"/>
      <c r="AJ51" s="307"/>
      <c r="AK51" s="307"/>
      <c r="AM51" s="151"/>
      <c r="AN51" s="151" t="str">
        <f t="shared" si="1"/>
        <v>Добавить централизованную систему для дифференциации</v>
      </c>
      <c r="AO51" s="151"/>
      <c r="AP51" s="151"/>
      <c r="AQ51" s="44">
        <v>0</v>
      </c>
    </row>
    <row r="52" s="44" customFormat="1" hidden="1" customHeight="1" spans="1:43">
      <c r="A52" s="590" t="s">
        <v>237</v>
      </c>
      <c r="B52" s="590"/>
      <c r="C52" s="590"/>
      <c r="D52" s="590"/>
      <c r="E52" s="1052"/>
      <c r="F52" s="590"/>
      <c r="G52" s="590"/>
      <c r="H52" s="590"/>
      <c r="I52" s="590"/>
      <c r="J52" s="590"/>
      <c r="K52" s="590"/>
      <c r="L52" s="611"/>
      <c r="M52" s="1059"/>
      <c r="N52" s="1059"/>
      <c r="P52" s="152"/>
      <c r="Q52" s="1082"/>
      <c r="R52" s="152"/>
      <c r="S52" s="1084"/>
      <c r="T52" s="1085" t="s">
        <v>412</v>
      </c>
      <c r="U52" s="307"/>
      <c r="V52" s="307"/>
      <c r="W52" s="307"/>
      <c r="X52" s="307"/>
      <c r="Y52" s="307"/>
      <c r="Z52" s="307"/>
      <c r="AA52" s="307"/>
      <c r="AB52" s="307"/>
      <c r="AC52" s="307"/>
      <c r="AD52" s="307"/>
      <c r="AE52" s="307"/>
      <c r="AF52" s="307"/>
      <c r="AG52" s="307"/>
      <c r="AH52" s="307"/>
      <c r="AI52" s="307"/>
      <c r="AJ52" s="307"/>
      <c r="AK52" s="307"/>
      <c r="AM52" s="151"/>
      <c r="AN52" s="151" t="str">
        <f t="shared" si="1"/>
        <v>Добавить территорию для дифференциации</v>
      </c>
      <c r="AO52" s="151"/>
      <c r="AP52" s="151"/>
      <c r="AQ52" s="44">
        <v>0</v>
      </c>
    </row>
    <row r="53" s="44" customFormat="1" hidden="1" customHeight="1" spans="1:43">
      <c r="A53" s="590"/>
      <c r="B53" s="590"/>
      <c r="C53" s="590"/>
      <c r="D53" s="590"/>
      <c r="E53" s="590"/>
      <c r="F53" s="590"/>
      <c r="G53" s="590"/>
      <c r="H53" s="590"/>
      <c r="I53" s="590"/>
      <c r="J53" s="590"/>
      <c r="K53" s="590"/>
      <c r="L53" s="611"/>
      <c r="M53" s="1059"/>
      <c r="N53" s="1059"/>
      <c r="P53" s="152"/>
      <c r="Q53" s="1082"/>
      <c r="R53" s="152"/>
      <c r="S53" s="1084"/>
      <c r="T53" s="1085" t="s">
        <v>440</v>
      </c>
      <c r="U53" s="307"/>
      <c r="V53" s="307"/>
      <c r="W53" s="307"/>
      <c r="X53" s="307"/>
      <c r="Y53" s="307"/>
      <c r="Z53" s="307"/>
      <c r="AA53" s="307"/>
      <c r="AB53" s="307"/>
      <c r="AC53" s="307"/>
      <c r="AD53" s="307"/>
      <c r="AE53" s="307"/>
      <c r="AF53" s="307"/>
      <c r="AG53" s="307"/>
      <c r="AH53" s="307"/>
      <c r="AI53" s="307"/>
      <c r="AJ53" s="307"/>
      <c r="AK53" s="307"/>
      <c r="AM53" s="151"/>
      <c r="AN53" s="151" t="str">
        <f t="shared" si="1"/>
        <v>Добавить наименование тарифа</v>
      </c>
      <c r="AO53" s="151"/>
      <c r="AP53" s="151"/>
      <c r="AQ53" s="44">
        <v>0</v>
      </c>
    </row>
    <row r="54" ht="11.55" customHeight="1" spans="13:43">
      <c r="M54" s="38"/>
      <c r="N54" s="38"/>
      <c r="O54" s="38"/>
      <c r="P54" s="43"/>
      <c r="Q54" s="43"/>
      <c r="R54" s="43"/>
      <c r="S54" s="43"/>
      <c r="AL54" s="43"/>
      <c r="AM54" s="43"/>
      <c r="AN54" s="43"/>
      <c r="AO54" s="43"/>
      <c r="AP54" s="43"/>
      <c r="AQ54" s="43">
        <v>11</v>
      </c>
    </row>
    <row r="55" ht="14.7" customHeight="1" spans="15:43">
      <c r="O55" s="38"/>
      <c r="S55" s="786"/>
      <c r="T55" s="120"/>
      <c r="U55" s="120"/>
      <c r="V55" s="120"/>
      <c r="W55" s="120"/>
      <c r="X55" s="120"/>
      <c r="Y55" s="120"/>
      <c r="Z55" s="120"/>
      <c r="AA55" s="120"/>
      <c r="AB55" s="120"/>
      <c r="AC55" s="120"/>
      <c r="AD55" s="120"/>
      <c r="AE55" s="120"/>
      <c r="AF55" s="120"/>
      <c r="AG55" s="120"/>
      <c r="AH55" s="120"/>
      <c r="AI55" s="120"/>
      <c r="AJ55" s="120"/>
      <c r="AK55" s="120"/>
      <c r="AQ55" s="43">
        <v>14</v>
      </c>
    </row>
    <row r="56" ht="14.7" customHeight="1" spans="15:43">
      <c r="O56" s="38"/>
      <c r="AQ56" s="43">
        <v>14</v>
      </c>
    </row>
    <row r="57" ht="14.7" customHeight="1" spans="15:43">
      <c r="O57" s="38"/>
      <c r="S57" s="786"/>
      <c r="T57" s="120"/>
      <c r="U57" s="120"/>
      <c r="V57" s="120"/>
      <c r="W57" s="120"/>
      <c r="X57" s="120"/>
      <c r="Y57" s="120"/>
      <c r="Z57" s="120"/>
      <c r="AA57" s="120"/>
      <c r="AB57" s="120"/>
      <c r="AC57" s="120"/>
      <c r="AD57" s="120"/>
      <c r="AE57" s="120"/>
      <c r="AF57" s="120"/>
      <c r="AG57" s="120"/>
      <c r="AH57" s="120"/>
      <c r="AI57" s="120"/>
      <c r="AJ57" s="120"/>
      <c r="AK57" s="120"/>
      <c r="AQ57" s="43">
        <v>14</v>
      </c>
    </row>
    <row r="58" ht="22.5" hidden="1" customHeight="1" spans="1:43">
      <c r="A58" s="38" t="s">
        <v>83</v>
      </c>
      <c r="B58" s="38">
        <v>0</v>
      </c>
      <c r="C58" s="38">
        <v>0</v>
      </c>
      <c r="D58" s="38">
        <v>0</v>
      </c>
      <c r="E58" s="38">
        <v>0</v>
      </c>
      <c r="F58" s="38">
        <v>0</v>
      </c>
      <c r="G58" s="38">
        <v>0</v>
      </c>
      <c r="H58" s="38">
        <v>0</v>
      </c>
      <c r="I58" s="38">
        <v>0</v>
      </c>
      <c r="J58" s="38">
        <v>0</v>
      </c>
      <c r="K58" s="38">
        <v>0</v>
      </c>
      <c r="L58" s="48">
        <v>0</v>
      </c>
      <c r="M58" s="39">
        <v>0</v>
      </c>
      <c r="N58" s="39">
        <v>0</v>
      </c>
      <c r="O58" s="39">
        <v>0</v>
      </c>
      <c r="P58" s="40">
        <v>3</v>
      </c>
      <c r="Q58" s="41">
        <v>3</v>
      </c>
      <c r="R58" s="41">
        <v>3</v>
      </c>
      <c r="S58" s="42">
        <v>12</v>
      </c>
      <c r="T58" s="43">
        <v>35</v>
      </c>
      <c r="U58" s="43">
        <v>0</v>
      </c>
      <c r="V58" s="43">
        <v>0</v>
      </c>
      <c r="W58" s="43">
        <v>0</v>
      </c>
      <c r="X58" s="43">
        <v>0</v>
      </c>
      <c r="Y58" s="43">
        <v>0</v>
      </c>
      <c r="Z58" s="43">
        <v>0</v>
      </c>
      <c r="AA58" s="43">
        <v>0</v>
      </c>
      <c r="AB58" s="43">
        <v>0</v>
      </c>
      <c r="AC58" s="43">
        <v>24</v>
      </c>
      <c r="AD58" s="43">
        <v>24</v>
      </c>
      <c r="AE58" s="43">
        <v>24</v>
      </c>
      <c r="AF58" s="43">
        <v>11</v>
      </c>
      <c r="AG58" s="43">
        <v>3</v>
      </c>
      <c r="AH58" s="43">
        <v>11</v>
      </c>
      <c r="AI58" s="43">
        <v>0</v>
      </c>
      <c r="AJ58" s="43">
        <v>4</v>
      </c>
      <c r="AK58" s="43">
        <v>115</v>
      </c>
      <c r="AL58" s="44">
        <v>10</v>
      </c>
      <c r="AM58" s="44">
        <v>10</v>
      </c>
      <c r="AN58" s="44">
        <v>10</v>
      </c>
      <c r="AO58" s="44">
        <v>10</v>
      </c>
      <c r="AP58" s="44">
        <v>10</v>
      </c>
      <c r="AQ58" s="43">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I69"/>
  <sheetViews>
    <sheetView showGridLines="0" zoomScale="90" zoomScaleNormal="90" workbookViewId="0">
      <pane xSplit="29" ySplit="45" topLeftCell="AD46" activePane="bottomRight" state="frozen"/>
      <selection/>
      <selection pane="topRight"/>
      <selection pane="bottomLeft"/>
      <selection pane="bottomRight" activeCell="A1" sqref="A1"/>
    </sheetView>
  </sheetViews>
  <sheetFormatPr defaultColWidth="10.5714285714286" defaultRowHeight="14.25" customHeight="1"/>
  <cols>
    <col min="1" max="1" width="11.5714285714286" style="38" hidden="1" customWidth="1"/>
    <col min="2" max="2" width="11" style="38" hidden="1" customWidth="1"/>
    <col min="3" max="3" width="10.5714285714286" style="38" hidden="1"/>
    <col min="4" max="4" width="12.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71428571428571" style="39" hidden="1" customWidth="1"/>
    <col min="17" max="17" width="3.71428571428571" style="1051" hidden="1" customWidth="1"/>
    <col min="18" max="18" width="3" style="41" customWidth="1"/>
    <col min="19" max="19" width="12" style="42" customWidth="1"/>
    <col min="20" max="20" width="31" style="43" customWidth="1"/>
    <col min="21" max="21" width="0.142857142857143" style="43" customWidth="1"/>
    <col min="22" max="25" width="21.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3.71428571428571" style="43" customWidth="1"/>
    <col min="31" max="32" width="3" style="43" customWidth="1"/>
    <col min="33" max="33" width="24" style="43" customWidth="1"/>
    <col min="34" max="34" width="3.71428571428571" style="43" customWidth="1"/>
    <col min="35" max="36" width="3" style="43" customWidth="1"/>
    <col min="37" max="37" width="24" style="43" customWidth="1"/>
    <col min="38" max="38" width="3.71428571428571" style="43" customWidth="1"/>
    <col min="39" max="40" width="3" style="43" customWidth="1"/>
    <col min="41" max="41" width="18" style="43" customWidth="1"/>
    <col min="42" max="42" width="3.71428571428571" style="43" customWidth="1"/>
    <col min="43" max="44" width="3" style="43" customWidth="1"/>
    <col min="45" max="45" width="18" style="43" customWidth="1"/>
    <col min="46" max="49" width="21" style="43" customWidth="1"/>
    <col min="50" max="50" width="11" style="43" customWidth="1"/>
    <col min="51" max="51" width="3.71428571428571" style="43" customWidth="1"/>
    <col min="52" max="52" width="11" style="43" customWidth="1"/>
    <col min="53" max="53" width="8.57142857142857" style="43" hidden="1" customWidth="1"/>
    <col min="54" max="54" width="4" style="43" customWidth="1"/>
    <col min="55" max="55" width="115" style="43" customWidth="1"/>
    <col min="56" max="60" width="10" style="44" customWidth="1"/>
    <col min="61" max="61" width="10.5714285714286" style="43" hidden="1"/>
  </cols>
  <sheetData>
    <row r="1" ht="22.5" hidden="1" customHeight="1" spans="61:61">
      <c r="BI1" s="43" t="s">
        <v>14</v>
      </c>
    </row>
    <row r="2" ht="21" hidden="1" customHeight="1" spans="1:61">
      <c r="A2" s="46"/>
      <c r="B2" s="46"/>
      <c r="C2" s="46"/>
      <c r="D2" s="46"/>
      <c r="E2" s="1052">
        <v>1</v>
      </c>
      <c r="F2" s="46"/>
      <c r="G2" s="46"/>
      <c r="H2" s="46"/>
      <c r="I2" s="46"/>
      <c r="J2" s="46"/>
      <c r="K2" s="46"/>
      <c r="L2" s="1054"/>
      <c r="M2" s="47"/>
      <c r="N2" s="47"/>
      <c r="O2" s="47"/>
      <c r="Q2" s="264"/>
      <c r="R2" s="82"/>
      <c r="S2" s="65" t="e">
        <f>INDEX(PT_DIFFERENTIATION_NUM_NTAR,MATCH(A2,PT_DIFFERENTIATION_NTAR_ID,0))</f>
        <v>#N/A</v>
      </c>
      <c r="T2" s="83" t="s">
        <v>121</v>
      </c>
      <c r="U2" s="84"/>
      <c r="V2" s="1061"/>
      <c r="W2" s="1061"/>
      <c r="X2" s="1061"/>
      <c r="Y2" s="1061"/>
      <c r="Z2" s="1061"/>
      <c r="AA2" s="1061"/>
      <c r="AB2" s="1061"/>
      <c r="AC2" s="1089"/>
      <c r="AD2" s="1090" t="e">
        <f>INDEX(PT_DIFFERENTIATION_NTAR,MATCH(A2,PT_DIFFERENTIATION_NTAR_ID,0))</f>
        <v>#N/A</v>
      </c>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89"/>
      <c r="BC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51"/>
      <c r="BF2" s="151" t="str">
        <f t="shared" ref="BF2:BF8" si="0">IF(T2="","",T2)</f>
        <v>Наименование тарифа</v>
      </c>
      <c r="BG2" s="151"/>
      <c r="BH2" s="151"/>
      <c r="BI2" s="43">
        <v>0</v>
      </c>
    </row>
    <row r="3" ht="21" hidden="1" customHeight="1" spans="1:61">
      <c r="A3" s="46"/>
      <c r="B3" s="46"/>
      <c r="C3" s="46"/>
      <c r="D3" s="46"/>
      <c r="E3" s="1053"/>
      <c r="F3" s="1052">
        <v>1</v>
      </c>
      <c r="G3" s="46"/>
      <c r="H3" s="46"/>
      <c r="I3" s="46"/>
      <c r="J3" s="46"/>
      <c r="K3" s="46"/>
      <c r="L3" s="1054"/>
      <c r="M3" s="47"/>
      <c r="N3" s="47"/>
      <c r="O3" s="47"/>
      <c r="P3" s="48"/>
      <c r="Q3" s="1062"/>
      <c r="R3" s="88"/>
      <c r="S3" s="65" t="e">
        <f>INDEX(PT_DIFFERENTIATION_NUM_TER,MATCH(B3,PT_DIFFERENTIATION_TER_ID,0))</f>
        <v>#N/A</v>
      </c>
      <c r="T3" s="89" t="s">
        <v>393</v>
      </c>
      <c r="U3" s="84"/>
      <c r="V3" s="1061"/>
      <c r="W3" s="1061"/>
      <c r="X3" s="1061"/>
      <c r="Y3" s="1061"/>
      <c r="Z3" s="1061"/>
      <c r="AA3" s="1061"/>
      <c r="AB3" s="1061"/>
      <c r="AC3" s="1089"/>
      <c r="AD3" s="1090" t="e">
        <f>INDEX(PT_DIFFERENTIATION_TER,MATCH(B3,PT_DIFFERENTIATION_TER_ID,0))</f>
        <v>#N/A</v>
      </c>
      <c r="AE3" s="1061"/>
      <c r="AF3" s="1061"/>
      <c r="AG3" s="1061"/>
      <c r="AH3" s="1061"/>
      <c r="AI3" s="1061"/>
      <c r="AJ3" s="1061"/>
      <c r="AK3" s="1061"/>
      <c r="AL3" s="1061"/>
      <c r="AM3" s="1061"/>
      <c r="AN3" s="1061"/>
      <c r="AO3" s="1061"/>
      <c r="AP3" s="1061"/>
      <c r="AQ3" s="1061"/>
      <c r="AR3" s="1061"/>
      <c r="AS3" s="1061"/>
      <c r="AT3" s="1061"/>
      <c r="AU3" s="1061"/>
      <c r="AV3" s="1061"/>
      <c r="AW3" s="1061"/>
      <c r="AX3" s="1061"/>
      <c r="AY3" s="1061"/>
      <c r="AZ3" s="1061"/>
      <c r="BA3" s="1061"/>
      <c r="BB3" s="1089"/>
      <c r="BC3" s="136" t="s">
        <v>394</v>
      </c>
      <c r="BE3" s="151"/>
      <c r="BF3" s="151" t="str">
        <f t="shared" si="0"/>
        <v>Территория действия тарифа</v>
      </c>
      <c r="BG3" s="151"/>
      <c r="BH3" s="151"/>
      <c r="BI3" s="43">
        <v>0</v>
      </c>
    </row>
    <row r="4" ht="42" hidden="1" customHeight="1" spans="1:61">
      <c r="A4" s="46"/>
      <c r="B4" s="46"/>
      <c r="C4" s="46"/>
      <c r="D4" s="46"/>
      <c r="E4" s="1053"/>
      <c r="F4" s="1053"/>
      <c r="G4" s="1052">
        <v>1</v>
      </c>
      <c r="H4" s="46"/>
      <c r="I4" s="46"/>
      <c r="J4" s="46"/>
      <c r="K4" s="46"/>
      <c r="L4" s="1054"/>
      <c r="M4" s="47"/>
      <c r="N4" s="47"/>
      <c r="O4" s="47"/>
      <c r="P4" s="1055"/>
      <c r="Q4" s="1062"/>
      <c r="R4" s="88"/>
      <c r="S4" s="65" t="e">
        <f>INDEX(PT_DIFFERENTIATION_NUM_CS,MATCH(C4,PT_DIFFERENTIATION_CS_ID,0))</f>
        <v>#N/A</v>
      </c>
      <c r="T4" s="91" t="s">
        <v>475</v>
      </c>
      <c r="U4" s="84"/>
      <c r="V4" s="1061"/>
      <c r="W4" s="1061"/>
      <c r="X4" s="1061"/>
      <c r="Y4" s="1061"/>
      <c r="Z4" s="1061"/>
      <c r="AA4" s="1061"/>
      <c r="AB4" s="1061"/>
      <c r="AC4" s="1089"/>
      <c r="AD4" s="1090" t="e">
        <f>INDEX(PT_DIFFERENTIATION_CS,MATCH(C4,PT_DIFFERENTIATION_CS_ID,0))</f>
        <v>#N/A</v>
      </c>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1089"/>
      <c r="BC4" s="136" t="s">
        <v>476</v>
      </c>
      <c r="BE4" s="151"/>
      <c r="BF4" s="151" t="str">
        <f t="shared" si="0"/>
        <v>Наименование централизованной системы холодного водоснабжения</v>
      </c>
      <c r="BG4" s="151"/>
      <c r="BH4" s="151"/>
      <c r="BI4" s="43">
        <v>0</v>
      </c>
    </row>
    <row r="5" s="44" customFormat="1" hidden="1" customHeight="1" spans="1:61">
      <c r="A5" s="590"/>
      <c r="B5" s="590"/>
      <c r="C5" s="590"/>
      <c r="D5" s="590"/>
      <c r="E5" s="1053"/>
      <c r="F5" s="1053"/>
      <c r="G5" s="1053"/>
      <c r="H5" s="1052">
        <v>1</v>
      </c>
      <c r="I5" s="590"/>
      <c r="J5" s="590"/>
      <c r="K5" s="590"/>
      <c r="L5" s="611"/>
      <c r="M5" s="283"/>
      <c r="N5" s="283"/>
      <c r="O5" s="283"/>
      <c r="P5" s="1056"/>
      <c r="Q5" s="1063"/>
      <c r="R5" s="97"/>
      <c r="S5" s="330"/>
      <c r="T5" s="1064"/>
      <c r="U5" s="1065"/>
      <c r="V5" s="1066"/>
      <c r="W5" s="1066"/>
      <c r="X5" s="1066"/>
      <c r="Y5" s="1066"/>
      <c r="Z5" s="1066"/>
      <c r="AA5" s="1066"/>
      <c r="AB5" s="1066"/>
      <c r="AC5" s="1091"/>
      <c r="AD5" s="1092"/>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6"/>
      <c r="BA5" s="1066"/>
      <c r="BB5" s="1091"/>
      <c r="BC5" s="995" t="s">
        <v>398</v>
      </c>
      <c r="BE5" s="151"/>
      <c r="BF5" s="151" t="str">
        <f t="shared" si="0"/>
        <v/>
      </c>
      <c r="BG5" s="151"/>
      <c r="BH5" s="151"/>
      <c r="BI5" s="44">
        <v>0</v>
      </c>
    </row>
    <row r="6" s="44" customFormat="1" hidden="1" customHeight="1" spans="1:61">
      <c r="A6" s="590"/>
      <c r="B6" s="590"/>
      <c r="C6" s="590"/>
      <c r="D6" s="590"/>
      <c r="E6" s="1053"/>
      <c r="F6" s="1053"/>
      <c r="G6" s="1053"/>
      <c r="H6" s="1053"/>
      <c r="I6" s="229" t="str">
        <f>S5&amp;".1"</f>
        <v>.1</v>
      </c>
      <c r="J6" s="590"/>
      <c r="K6" s="590"/>
      <c r="L6" s="611" t="s">
        <v>399</v>
      </c>
      <c r="M6" s="1057"/>
      <c r="N6" s="1057"/>
      <c r="O6" s="1057"/>
      <c r="P6" s="93">
        <v>1</v>
      </c>
      <c r="Q6" s="93"/>
      <c r="R6" s="94"/>
      <c r="S6" s="330"/>
      <c r="T6" s="1067"/>
      <c r="U6" s="1065"/>
      <c r="V6" s="1066"/>
      <c r="W6" s="1066"/>
      <c r="X6" s="1066"/>
      <c r="Y6" s="1066"/>
      <c r="Z6" s="1066"/>
      <c r="AA6" s="1066"/>
      <c r="AB6" s="1066"/>
      <c r="AC6" s="1091"/>
      <c r="AD6" s="1092"/>
      <c r="AE6" s="1066"/>
      <c r="AF6" s="1066"/>
      <c r="AG6" s="1066"/>
      <c r="AH6" s="1066"/>
      <c r="AI6" s="1066"/>
      <c r="AJ6" s="1066"/>
      <c r="AK6" s="1066"/>
      <c r="AL6" s="1066"/>
      <c r="AM6" s="1066"/>
      <c r="AN6" s="1066"/>
      <c r="AO6" s="1066"/>
      <c r="AP6" s="1066"/>
      <c r="AQ6" s="1066"/>
      <c r="AR6" s="1066"/>
      <c r="AS6" s="1066"/>
      <c r="AT6" s="1066"/>
      <c r="AU6" s="1066"/>
      <c r="AV6" s="1066"/>
      <c r="AW6" s="1066"/>
      <c r="AX6" s="1066"/>
      <c r="AY6" s="1066"/>
      <c r="AZ6" s="1066"/>
      <c r="BA6" s="1066"/>
      <c r="BB6" s="1091"/>
      <c r="BC6" s="995"/>
      <c r="BE6" s="151"/>
      <c r="BF6" s="151" t="str">
        <f t="shared" si="0"/>
        <v/>
      </c>
      <c r="BG6" s="151"/>
      <c r="BH6" s="151"/>
      <c r="BI6" s="44">
        <v>0</v>
      </c>
    </row>
    <row r="7" s="44" customFormat="1" hidden="1" customHeight="1" spans="1:61">
      <c r="A7" s="590"/>
      <c r="B7" s="590"/>
      <c r="C7" s="590"/>
      <c r="D7" s="590"/>
      <c r="E7" s="1053"/>
      <c r="F7" s="1053"/>
      <c r="G7" s="1053"/>
      <c r="H7" s="1053"/>
      <c r="I7" s="1058"/>
      <c r="J7" s="229" t="str">
        <f>S5&amp;".1"</f>
        <v>.1</v>
      </c>
      <c r="K7" s="590"/>
      <c r="L7" s="611"/>
      <c r="M7" s="1057"/>
      <c r="N7" s="1057"/>
      <c r="O7" s="1057"/>
      <c r="P7" s="93"/>
      <c r="Q7" s="93">
        <v>1</v>
      </c>
      <c r="R7" s="97"/>
      <c r="S7" s="330"/>
      <c r="T7" s="1068"/>
      <c r="U7" s="1065"/>
      <c r="V7" s="1066"/>
      <c r="W7" s="1066"/>
      <c r="X7" s="1066"/>
      <c r="Y7" s="1066"/>
      <c r="Z7" s="1066"/>
      <c r="AA7" s="1066"/>
      <c r="AB7" s="1066"/>
      <c r="AC7" s="1091"/>
      <c r="AD7" s="1092"/>
      <c r="AE7" s="1066"/>
      <c r="AF7" s="1066"/>
      <c r="AG7" s="1066"/>
      <c r="AH7" s="1066"/>
      <c r="AI7" s="1066"/>
      <c r="AJ7" s="1066"/>
      <c r="AK7" s="1066"/>
      <c r="AL7" s="1066"/>
      <c r="AM7" s="1066"/>
      <c r="AN7" s="1066"/>
      <c r="AO7" s="1066"/>
      <c r="AP7" s="1066"/>
      <c r="AQ7" s="1066"/>
      <c r="AR7" s="1066"/>
      <c r="AS7" s="1066"/>
      <c r="AT7" s="1066"/>
      <c r="AU7" s="1066"/>
      <c r="AV7" s="1066"/>
      <c r="AW7" s="1066"/>
      <c r="AX7" s="1066"/>
      <c r="AY7" s="1066"/>
      <c r="AZ7" s="1066"/>
      <c r="BA7" s="1066"/>
      <c r="BB7" s="1091"/>
      <c r="BC7" s="995"/>
      <c r="BE7" s="151"/>
      <c r="BF7" s="151" t="str">
        <f t="shared" si="0"/>
        <v/>
      </c>
      <c r="BG7" s="151"/>
      <c r="BH7" s="151"/>
      <c r="BI7" s="44">
        <v>0</v>
      </c>
    </row>
    <row r="8" ht="11.25" hidden="1" customHeight="1" spans="1:61">
      <c r="A8" s="46"/>
      <c r="B8" s="46"/>
      <c r="C8" s="46"/>
      <c r="D8" s="46"/>
      <c r="E8" s="1053"/>
      <c r="F8" s="1053"/>
      <c r="G8" s="1053"/>
      <c r="H8" s="1053"/>
      <c r="I8" s="1058"/>
      <c r="J8" s="1058"/>
      <c r="K8" s="229" t="e">
        <f>S4&amp;".1"</f>
        <v>#N/A</v>
      </c>
      <c r="L8" s="1054"/>
      <c r="P8" s="93"/>
      <c r="Q8" s="93"/>
      <c r="R8" s="1069">
        <v>1</v>
      </c>
      <c r="S8" s="1070" t="e">
        <f>$K8</f>
        <v>#N/A</v>
      </c>
      <c r="T8" s="1071"/>
      <c r="U8" s="84"/>
      <c r="V8" s="102"/>
      <c r="W8" s="138"/>
      <c r="X8" s="102"/>
      <c r="Y8" s="138"/>
      <c r="Z8" s="139"/>
      <c r="AA8" s="140" t="s">
        <v>66</v>
      </c>
      <c r="AB8" s="139"/>
      <c r="AC8" s="140" t="s">
        <v>66</v>
      </c>
      <c r="AD8" s="475" t="s">
        <v>66</v>
      </c>
      <c r="AE8" s="1093"/>
      <c r="AF8" s="664">
        <v>1</v>
      </c>
      <c r="AG8" s="1106"/>
      <c r="AH8" s="140" t="s">
        <v>66</v>
      </c>
      <c r="AI8" s="1093"/>
      <c r="AJ8" s="664">
        <v>1</v>
      </c>
      <c r="AK8" s="1107" t="s">
        <v>22</v>
      </c>
      <c r="AL8" s="140" t="s">
        <v>66</v>
      </c>
      <c r="AM8" s="903"/>
      <c r="AN8" s="664">
        <v>1</v>
      </c>
      <c r="AO8" s="1115"/>
      <c r="AP8" s="1116" t="s">
        <v>66</v>
      </c>
      <c r="AQ8" s="1117"/>
      <c r="AR8" s="664">
        <v>1</v>
      </c>
      <c r="AS8" s="449" t="s">
        <v>22</v>
      </c>
      <c r="AT8" s="102"/>
      <c r="AU8" s="138"/>
      <c r="AV8" s="102"/>
      <c r="AW8" s="138"/>
      <c r="AX8" s="139"/>
      <c r="AY8" s="140" t="s">
        <v>66</v>
      </c>
      <c r="AZ8" s="139"/>
      <c r="BA8" s="140" t="s">
        <v>66</v>
      </c>
      <c r="BB8" s="1120"/>
      <c r="BC8" s="141" t="s">
        <v>493</v>
      </c>
      <c r="BE8" s="151"/>
      <c r="BF8" s="151" t="str">
        <f t="shared" si="0"/>
        <v/>
      </c>
      <c r="BG8" s="151"/>
      <c r="BH8" s="151"/>
      <c r="BI8" s="43">
        <v>0</v>
      </c>
    </row>
    <row r="9" ht="11.25" hidden="1" customHeight="1" spans="1:61">
      <c r="A9" s="46"/>
      <c r="B9" s="46"/>
      <c r="C9" s="46"/>
      <c r="D9" s="46"/>
      <c r="E9" s="1053"/>
      <c r="F9" s="1053"/>
      <c r="G9" s="1053"/>
      <c r="H9" s="1053"/>
      <c r="I9" s="1058"/>
      <c r="J9" s="1058"/>
      <c r="K9" s="229"/>
      <c r="L9" s="1054"/>
      <c r="P9" s="93"/>
      <c r="Q9" s="93"/>
      <c r="R9" s="1069"/>
      <c r="S9" s="1072"/>
      <c r="T9" s="1073"/>
      <c r="U9" s="84"/>
      <c r="V9" s="1074"/>
      <c r="W9" s="1075"/>
      <c r="X9" s="1074"/>
      <c r="Y9" s="1075"/>
      <c r="Z9" s="1074"/>
      <c r="AA9" s="1074"/>
      <c r="AB9" s="1074"/>
      <c r="AC9" s="1074"/>
      <c r="AD9" s="477"/>
      <c r="AE9" s="1093"/>
      <c r="AF9" s="664"/>
      <c r="AG9" s="1106"/>
      <c r="AH9" s="140"/>
      <c r="AI9" s="1093"/>
      <c r="AJ9" s="664"/>
      <c r="AK9" s="1107"/>
      <c r="AL9" s="140"/>
      <c r="AM9" s="907"/>
      <c r="AN9" s="664"/>
      <c r="AO9" s="1115"/>
      <c r="AP9" s="1118"/>
      <c r="AQ9" s="331"/>
      <c r="AR9" s="332"/>
      <c r="AS9" s="332" t="s">
        <v>494</v>
      </c>
      <c r="AT9" s="1074"/>
      <c r="AU9" s="1075"/>
      <c r="AV9" s="1074"/>
      <c r="AW9" s="1075"/>
      <c r="AX9" s="1074"/>
      <c r="AY9" s="1074"/>
      <c r="AZ9" s="1074"/>
      <c r="BA9" s="1074"/>
      <c r="BB9" s="1121"/>
      <c r="BC9" s="144"/>
      <c r="BE9" s="151"/>
      <c r="BF9" s="151"/>
      <c r="BG9" s="151"/>
      <c r="BH9" s="151"/>
      <c r="BI9" s="43">
        <v>0</v>
      </c>
    </row>
    <row r="10" ht="11.25" hidden="1" customHeight="1" spans="1:61">
      <c r="A10" s="46"/>
      <c r="B10" s="46"/>
      <c r="C10" s="46"/>
      <c r="D10" s="46"/>
      <c r="E10" s="1053"/>
      <c r="F10" s="1053"/>
      <c r="G10" s="1053"/>
      <c r="H10" s="1053"/>
      <c r="I10" s="1058"/>
      <c r="J10" s="1058"/>
      <c r="K10" s="229"/>
      <c r="L10" s="1054"/>
      <c r="P10" s="93"/>
      <c r="Q10" s="93"/>
      <c r="R10" s="1069"/>
      <c r="S10" s="1072"/>
      <c r="T10" s="1073"/>
      <c r="U10" s="84"/>
      <c r="V10" s="1074"/>
      <c r="W10" s="1075"/>
      <c r="X10" s="1074"/>
      <c r="Y10" s="1075"/>
      <c r="Z10" s="1074"/>
      <c r="AA10" s="1074"/>
      <c r="AB10" s="1074"/>
      <c r="AC10" s="1074"/>
      <c r="AD10" s="477"/>
      <c r="AE10" s="1093"/>
      <c r="AF10" s="664"/>
      <c r="AG10" s="1106"/>
      <c r="AH10" s="140"/>
      <c r="AI10" s="1093"/>
      <c r="AJ10" s="664"/>
      <c r="AK10" s="1107"/>
      <c r="AL10" s="140"/>
      <c r="AM10" s="331"/>
      <c r="AN10" s="601"/>
      <c r="AO10" s="601" t="s">
        <v>495</v>
      </c>
      <c r="AP10" s="332"/>
      <c r="AQ10" s="332"/>
      <c r="AR10" s="332"/>
      <c r="AS10" s="1074"/>
      <c r="AT10" s="1074"/>
      <c r="AU10" s="1075"/>
      <c r="AV10" s="1074"/>
      <c r="AW10" s="1075"/>
      <c r="AX10" s="1074"/>
      <c r="AY10" s="1074"/>
      <c r="AZ10" s="1074"/>
      <c r="BA10" s="1074"/>
      <c r="BB10" s="1121"/>
      <c r="BC10" s="144"/>
      <c r="BE10" s="151"/>
      <c r="BF10" s="151"/>
      <c r="BG10" s="151"/>
      <c r="BH10" s="151"/>
      <c r="BI10" s="43">
        <v>0</v>
      </c>
    </row>
    <row r="11" ht="11.25" hidden="1" customHeight="1" spans="1:61">
      <c r="A11" s="46"/>
      <c r="B11" s="46"/>
      <c r="C11" s="46"/>
      <c r="D11" s="46"/>
      <c r="E11" s="1053"/>
      <c r="F11" s="1053"/>
      <c r="G11" s="1053"/>
      <c r="H11" s="1053"/>
      <c r="I11" s="1058"/>
      <c r="J11" s="1058"/>
      <c r="K11" s="229"/>
      <c r="L11" s="1054"/>
      <c r="P11" s="93"/>
      <c r="Q11" s="93"/>
      <c r="R11" s="1069"/>
      <c r="S11" s="1072"/>
      <c r="T11" s="1073"/>
      <c r="U11" s="84"/>
      <c r="V11" s="1074"/>
      <c r="W11" s="1075"/>
      <c r="X11" s="1074"/>
      <c r="Y11" s="1075"/>
      <c r="Z11" s="1074"/>
      <c r="AA11" s="1074"/>
      <c r="AB11" s="1074"/>
      <c r="AC11" s="1074"/>
      <c r="AD11" s="477"/>
      <c r="AE11" s="1093"/>
      <c r="AF11" s="664"/>
      <c r="AG11" s="1106"/>
      <c r="AH11" s="140"/>
      <c r="AI11" s="911"/>
      <c r="AJ11" s="227"/>
      <c r="AK11" s="1108" t="s">
        <v>496</v>
      </c>
      <c r="AL11" s="1074"/>
      <c r="AM11" s="1074"/>
      <c r="AN11" s="1074"/>
      <c r="AO11" s="1074"/>
      <c r="AP11" s="1074"/>
      <c r="AQ11" s="1074"/>
      <c r="AR11" s="1074"/>
      <c r="AS11" s="1074"/>
      <c r="AT11" s="1074"/>
      <c r="AU11" s="1075"/>
      <c r="AV11" s="1074"/>
      <c r="AW11" s="1075"/>
      <c r="AX11" s="1074"/>
      <c r="AY11" s="1074"/>
      <c r="AZ11" s="1074"/>
      <c r="BA11" s="1074"/>
      <c r="BB11" s="1121"/>
      <c r="BC11" s="144"/>
      <c r="BE11" s="151"/>
      <c r="BF11" s="151"/>
      <c r="BG11" s="151"/>
      <c r="BH11" s="151"/>
      <c r="BI11" s="43">
        <v>0</v>
      </c>
    </row>
    <row r="12" ht="11.25" hidden="1" customHeight="1" spans="1:61">
      <c r="A12" s="46"/>
      <c r="B12" s="46"/>
      <c r="C12" s="46"/>
      <c r="D12" s="46"/>
      <c r="E12" s="1053"/>
      <c r="F12" s="1053"/>
      <c r="G12" s="1053"/>
      <c r="H12" s="1053"/>
      <c r="I12" s="1058"/>
      <c r="J12" s="1058"/>
      <c r="K12" s="229"/>
      <c r="L12" s="1054"/>
      <c r="P12" s="93"/>
      <c r="Q12" s="93"/>
      <c r="R12" s="1069"/>
      <c r="S12" s="1076"/>
      <c r="T12" s="1077"/>
      <c r="U12" s="84"/>
      <c r="V12" s="1074"/>
      <c r="W12" s="1078" t="str">
        <f>Z8&amp;"-"&amp;AB8</f>
        <v>-</v>
      </c>
      <c r="X12" s="1074"/>
      <c r="Y12" s="1078" t="str">
        <f>AB8&amp;"-"&amp;AD8</f>
        <v>-да</v>
      </c>
      <c r="Z12" s="1074"/>
      <c r="AA12" s="1074"/>
      <c r="AB12" s="1074"/>
      <c r="AC12" s="1074"/>
      <c r="AD12" s="480"/>
      <c r="AE12" s="1094"/>
      <c r="AF12" s="1095"/>
      <c r="AG12" s="332" t="s">
        <v>497</v>
      </c>
      <c r="AH12" s="1074"/>
      <c r="AI12" s="1074"/>
      <c r="AJ12" s="1074"/>
      <c r="AK12" s="1074"/>
      <c r="AL12" s="1074"/>
      <c r="AM12" s="1074"/>
      <c r="AN12" s="1074"/>
      <c r="AO12" s="1074"/>
      <c r="AP12" s="1074"/>
      <c r="AQ12" s="1074"/>
      <c r="AR12" s="1074"/>
      <c r="AS12" s="1074"/>
      <c r="AT12" s="1074"/>
      <c r="AU12" s="1078" t="str">
        <f>AX8&amp;"-"&amp;AZ8</f>
        <v>-</v>
      </c>
      <c r="AV12" s="1074"/>
      <c r="AW12" s="1078" t="str">
        <f>AZ8&amp;"-"&amp;BB8</f>
        <v>-</v>
      </c>
      <c r="AX12" s="1074"/>
      <c r="AY12" s="1074"/>
      <c r="AZ12" s="1074"/>
      <c r="BA12" s="1074"/>
      <c r="BB12" s="1122" t="str">
        <f>BE8&amp;"-"&amp;BG8</f>
        <v>-</v>
      </c>
      <c r="BC12" s="144"/>
      <c r="BE12" s="151"/>
      <c r="BF12" s="151" t="str">
        <f t="shared" ref="BF12:BF18" si="1">IF(T12="","",T12)</f>
        <v/>
      </c>
      <c r="BG12" s="151"/>
      <c r="BH12" s="151"/>
      <c r="BI12" s="43">
        <v>0</v>
      </c>
    </row>
    <row r="13" ht="11.25" hidden="1" customHeight="1" spans="1:61">
      <c r="A13" s="46"/>
      <c r="B13" s="46"/>
      <c r="C13" s="46"/>
      <c r="D13" s="46"/>
      <c r="E13" s="1053"/>
      <c r="F13" s="1053"/>
      <c r="G13" s="1053"/>
      <c r="H13" s="1053"/>
      <c r="I13" s="1058"/>
      <c r="J13" s="229"/>
      <c r="K13" s="46"/>
      <c r="L13" s="1054"/>
      <c r="P13" s="93"/>
      <c r="Q13" s="93"/>
      <c r="R13" s="94"/>
      <c r="S13" s="105"/>
      <c r="T13" s="108" t="s">
        <v>460</v>
      </c>
      <c r="U13" s="107"/>
      <c r="V13" s="107"/>
      <c r="W13" s="107"/>
      <c r="X13" s="107"/>
      <c r="Y13" s="107"/>
      <c r="Z13" s="107"/>
      <c r="AA13" s="107"/>
      <c r="AB13" s="107"/>
      <c r="AC13" s="107"/>
      <c r="AD13" s="109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45"/>
      <c r="BC13" s="146"/>
      <c r="BE13" s="151"/>
      <c r="BF13" s="151" t="str">
        <f t="shared" si="1"/>
        <v>Добавить строку</v>
      </c>
      <c r="BG13" s="151"/>
      <c r="BH13" s="151"/>
      <c r="BI13" s="43">
        <v>0</v>
      </c>
    </row>
    <row r="14" s="44" customFormat="1" hidden="1" customHeight="1" spans="1:61">
      <c r="A14" s="590"/>
      <c r="B14" s="590"/>
      <c r="C14" s="590"/>
      <c r="D14" s="590"/>
      <c r="E14" s="1053"/>
      <c r="F14" s="1053"/>
      <c r="G14" s="1053"/>
      <c r="H14" s="1053"/>
      <c r="I14" s="229"/>
      <c r="J14" s="590"/>
      <c r="K14" s="590"/>
      <c r="L14" s="611"/>
      <c r="M14" s="1057"/>
      <c r="N14" s="1057"/>
      <c r="O14" s="1057"/>
      <c r="P14" s="93"/>
      <c r="Q14" s="93"/>
      <c r="R14" s="94"/>
      <c r="S14" s="1079"/>
      <c r="T14" s="1080"/>
      <c r="U14" s="1081"/>
      <c r="V14" s="1081"/>
      <c r="W14" s="1081"/>
      <c r="X14" s="1081"/>
      <c r="Y14" s="1081"/>
      <c r="Z14" s="1081"/>
      <c r="AA14" s="1081"/>
      <c r="AB14" s="1081"/>
      <c r="AC14" s="1081"/>
      <c r="AD14" s="1081"/>
      <c r="AE14" s="1081"/>
      <c r="AF14" s="1081"/>
      <c r="AG14" s="1081"/>
      <c r="AH14" s="1081"/>
      <c r="AI14" s="1081"/>
      <c r="AJ14" s="1081"/>
      <c r="AK14" s="1081"/>
      <c r="AL14" s="1081"/>
      <c r="AM14" s="1081"/>
      <c r="AN14" s="1081"/>
      <c r="AO14" s="1081"/>
      <c r="AP14" s="1081"/>
      <c r="AQ14" s="1081"/>
      <c r="AR14" s="1081"/>
      <c r="AS14" s="1081"/>
      <c r="AT14" s="1081"/>
      <c r="AU14" s="1081"/>
      <c r="AV14" s="1081"/>
      <c r="AW14" s="1081"/>
      <c r="AX14" s="1081"/>
      <c r="AY14" s="1081"/>
      <c r="AZ14" s="1081"/>
      <c r="BA14" s="1081"/>
      <c r="BB14" s="1081"/>
      <c r="BC14" s="1123"/>
      <c r="BE14" s="151"/>
      <c r="BF14" s="151" t="str">
        <f t="shared" si="1"/>
        <v/>
      </c>
      <c r="BG14" s="151"/>
      <c r="BH14" s="151"/>
      <c r="BI14" s="44">
        <v>0</v>
      </c>
    </row>
    <row r="15" s="44" customFormat="1" hidden="1" customHeight="1" spans="1:61">
      <c r="A15" s="590"/>
      <c r="B15" s="590"/>
      <c r="C15" s="590"/>
      <c r="D15" s="590"/>
      <c r="E15" s="1053"/>
      <c r="F15" s="1053"/>
      <c r="G15" s="1053"/>
      <c r="H15" s="1052"/>
      <c r="I15" s="590"/>
      <c r="J15" s="590"/>
      <c r="K15" s="590"/>
      <c r="L15" s="611"/>
      <c r="M15" s="283"/>
      <c r="N15" s="283"/>
      <c r="P15" s="152"/>
      <c r="Q15" s="1082"/>
      <c r="R15" s="1083"/>
      <c r="S15" s="1079"/>
      <c r="T15" s="1080"/>
      <c r="U15" s="1081"/>
      <c r="V15" s="1081"/>
      <c r="W15" s="1081"/>
      <c r="X15" s="1081"/>
      <c r="Y15" s="1081"/>
      <c r="Z15" s="1081"/>
      <c r="AA15" s="1081"/>
      <c r="AB15" s="1081"/>
      <c r="AC15" s="1081"/>
      <c r="AD15" s="1081"/>
      <c r="AE15" s="1081"/>
      <c r="AF15" s="1081"/>
      <c r="AG15" s="1081"/>
      <c r="AH15" s="1081"/>
      <c r="AI15" s="1081"/>
      <c r="AJ15" s="1081"/>
      <c r="AK15" s="1081"/>
      <c r="AL15" s="1081"/>
      <c r="AM15" s="1081"/>
      <c r="AN15" s="1081"/>
      <c r="AO15" s="1081"/>
      <c r="AP15" s="1081"/>
      <c r="AQ15" s="1081"/>
      <c r="AR15" s="1081"/>
      <c r="AS15" s="1081"/>
      <c r="AT15" s="1081"/>
      <c r="AU15" s="1081"/>
      <c r="AV15" s="1081"/>
      <c r="AW15" s="1081"/>
      <c r="AX15" s="1081"/>
      <c r="AY15" s="1081"/>
      <c r="AZ15" s="1081"/>
      <c r="BA15" s="1081"/>
      <c r="BB15" s="1081"/>
      <c r="BC15" s="1123"/>
      <c r="BE15" s="151"/>
      <c r="BF15" s="151" t="str">
        <f t="shared" si="1"/>
        <v/>
      </c>
      <c r="BG15" s="151"/>
      <c r="BH15" s="151"/>
      <c r="BI15" s="44">
        <v>0</v>
      </c>
    </row>
    <row r="16" s="44" customFormat="1" hidden="1" customHeight="1" spans="1:61">
      <c r="A16" s="590"/>
      <c r="B16" s="590"/>
      <c r="C16" s="590"/>
      <c r="D16" s="590"/>
      <c r="E16" s="1053"/>
      <c r="F16" s="1053"/>
      <c r="G16" s="1052"/>
      <c r="H16" s="590"/>
      <c r="I16" s="590"/>
      <c r="J16" s="590"/>
      <c r="K16" s="590"/>
      <c r="L16" s="611"/>
      <c r="M16" s="283"/>
      <c r="N16" s="283"/>
      <c r="P16" s="152"/>
      <c r="Q16" s="1082"/>
      <c r="R16" s="152"/>
      <c r="S16" s="1084"/>
      <c r="T16" s="1085"/>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E16" s="151"/>
      <c r="BF16" s="151" t="str">
        <f t="shared" si="1"/>
        <v/>
      </c>
      <c r="BG16" s="151"/>
      <c r="BH16" s="151"/>
      <c r="BI16" s="44">
        <v>0</v>
      </c>
    </row>
    <row r="17" s="44" customFormat="1" hidden="1" customHeight="1" spans="1:61">
      <c r="A17" s="590"/>
      <c r="B17" s="590"/>
      <c r="C17" s="590"/>
      <c r="D17" s="590"/>
      <c r="E17" s="1053"/>
      <c r="F17" s="1052"/>
      <c r="G17" s="590"/>
      <c r="H17" s="590"/>
      <c r="I17" s="590"/>
      <c r="J17" s="590"/>
      <c r="K17" s="590"/>
      <c r="L17" s="611"/>
      <c r="M17" s="1059"/>
      <c r="N17" s="1059"/>
      <c r="P17" s="152"/>
      <c r="Q17" s="1082"/>
      <c r="R17" s="152"/>
      <c r="S17" s="1084"/>
      <c r="T17" s="1085" t="s">
        <v>411</v>
      </c>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V17" s="307"/>
      <c r="AW17" s="307"/>
      <c r="AX17" s="307"/>
      <c r="AY17" s="307"/>
      <c r="AZ17" s="307"/>
      <c r="BA17" s="307"/>
      <c r="BB17" s="307"/>
      <c r="BC17" s="307"/>
      <c r="BE17" s="151"/>
      <c r="BF17" s="151" t="str">
        <f t="shared" si="1"/>
        <v>Добавить централизованную систему для дифференциации</v>
      </c>
      <c r="BG17" s="151"/>
      <c r="BH17" s="151"/>
      <c r="BI17" s="44">
        <v>0</v>
      </c>
    </row>
    <row r="18" s="44" customFormat="1" hidden="1" customHeight="1" spans="1:61">
      <c r="A18" s="590"/>
      <c r="B18" s="590"/>
      <c r="C18" s="590"/>
      <c r="D18" s="590"/>
      <c r="E18" s="1052"/>
      <c r="F18" s="590"/>
      <c r="G18" s="590"/>
      <c r="H18" s="590"/>
      <c r="I18" s="590"/>
      <c r="J18" s="590"/>
      <c r="K18" s="590"/>
      <c r="L18" s="611"/>
      <c r="M18" s="1059"/>
      <c r="N18" s="1059"/>
      <c r="P18" s="152"/>
      <c r="Q18" s="1082"/>
      <c r="R18" s="152"/>
      <c r="S18" s="1084"/>
      <c r="T18" s="1085" t="s">
        <v>412</v>
      </c>
      <c r="U18" s="307"/>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c r="AY18" s="307"/>
      <c r="AZ18" s="307"/>
      <c r="BA18" s="307"/>
      <c r="BB18" s="307"/>
      <c r="BC18" s="307"/>
      <c r="BE18" s="151"/>
      <c r="BF18" s="151" t="str">
        <f t="shared" si="1"/>
        <v>Добавить территорию для дифференциации</v>
      </c>
      <c r="BG18" s="151"/>
      <c r="BH18" s="151"/>
      <c r="BI18" s="44">
        <v>0</v>
      </c>
    </row>
    <row r="19" hidden="1" customHeight="1" spans="61:61">
      <c r="BI19" s="43">
        <v>0</v>
      </c>
    </row>
    <row r="20" hidden="1" customHeight="1" spans="30:61">
      <c r="AD20" s="307" t="s">
        <v>19</v>
      </c>
      <c r="AE20" s="1097"/>
      <c r="AF20" s="307">
        <v>1</v>
      </c>
      <c r="AG20" s="1109"/>
      <c r="AH20" s="307" t="s">
        <v>19</v>
      </c>
      <c r="AI20" s="1097"/>
      <c r="AJ20" s="307">
        <v>1</v>
      </c>
      <c r="AK20" s="1109"/>
      <c r="AL20" s="307" t="s">
        <v>19</v>
      </c>
      <c r="AM20" s="1110"/>
      <c r="AN20" s="307">
        <v>1</v>
      </c>
      <c r="AO20" s="630"/>
      <c r="AP20" s="307" t="s">
        <v>19</v>
      </c>
      <c r="AQ20" s="1110"/>
      <c r="AR20" s="307">
        <v>1</v>
      </c>
      <c r="AS20" s="630"/>
      <c r="AT20" s="103"/>
      <c r="AU20" s="1119"/>
      <c r="AV20" s="103"/>
      <c r="AW20" s="1119"/>
      <c r="AX20" s="1124"/>
      <c r="AY20" s="496" t="s">
        <v>66</v>
      </c>
      <c r="AZ20" s="1124"/>
      <c r="BA20" s="496" t="s">
        <v>66</v>
      </c>
      <c r="BI20" s="43">
        <v>0</v>
      </c>
    </row>
    <row r="21" hidden="1" customHeight="1" spans="56:61">
      <c r="BD21" s="37"/>
      <c r="BE21" s="37"/>
      <c r="BF21" s="37"/>
      <c r="BG21" s="37"/>
      <c r="BH21" s="37"/>
      <c r="BI21" s="43">
        <v>0</v>
      </c>
    </row>
    <row r="22" hidden="1" customHeight="1" spans="15:61">
      <c r="O22" s="1060" t="s">
        <v>413</v>
      </c>
      <c r="Z22" s="1098"/>
      <c r="AB22" s="1098"/>
      <c r="AX22" s="1098"/>
      <c r="AZ22" s="1098"/>
      <c r="BD22" s="37"/>
      <c r="BE22" s="37"/>
      <c r="BF22" s="37"/>
      <c r="BG22" s="37"/>
      <c r="BH22" s="37"/>
      <c r="BI22" s="43">
        <v>0</v>
      </c>
    </row>
    <row r="23" hidden="1" customHeight="1" spans="56:61">
      <c r="BD23" s="37"/>
      <c r="BE23" s="37"/>
      <c r="BF23" s="37"/>
      <c r="BG23" s="37"/>
      <c r="BH23" s="37"/>
      <c r="BI23" s="43">
        <v>0</v>
      </c>
    </row>
    <row r="24" s="1050" customFormat="1" hidden="1" customHeight="1" spans="13:61">
      <c r="M24" s="49"/>
      <c r="N24" s="49"/>
      <c r="O24" s="1050" t="s">
        <v>414</v>
      </c>
      <c r="P24" s="49"/>
      <c r="Q24" s="1086"/>
      <c r="R24" s="1086"/>
      <c r="AA24" s="1050" t="s">
        <v>416</v>
      </c>
      <c r="AC24" s="1050" t="s">
        <v>417</v>
      </c>
      <c r="AD24" s="1050" t="s">
        <v>461</v>
      </c>
      <c r="AH24" s="1050" t="s">
        <v>461</v>
      </c>
      <c r="AK24" s="1050" t="s">
        <v>498</v>
      </c>
      <c r="AL24" s="1050" t="s">
        <v>461</v>
      </c>
      <c r="AP24" s="1050" t="s">
        <v>461</v>
      </c>
      <c r="AY24" s="1050" t="s">
        <v>416</v>
      </c>
      <c r="BA24" s="1050" t="s">
        <v>417</v>
      </c>
      <c r="BD24" s="1125"/>
      <c r="BE24" s="1125"/>
      <c r="BF24" s="1125"/>
      <c r="BG24" s="1125"/>
      <c r="BH24" s="1125"/>
      <c r="BI24" s="1050">
        <v>0</v>
      </c>
    </row>
    <row r="25" hidden="1" customHeight="1" spans="15:61">
      <c r="O25" s="1054"/>
      <c r="BD25" s="37"/>
      <c r="BE25" s="37"/>
      <c r="BF25" s="37"/>
      <c r="BG25" s="37"/>
      <c r="BH25" s="37"/>
      <c r="BI25" s="43">
        <v>0</v>
      </c>
    </row>
    <row r="26" hidden="1" customHeight="1" spans="15:61">
      <c r="O26" s="1054"/>
      <c r="BD26" s="37"/>
      <c r="BE26" s="37"/>
      <c r="BF26" s="37"/>
      <c r="BG26" s="37"/>
      <c r="BH26" s="37"/>
      <c r="BI26" s="43">
        <v>0</v>
      </c>
    </row>
    <row r="27" ht="14.7" customHeight="1" spans="17:61">
      <c r="Q27" s="1087"/>
      <c r="R27" s="51"/>
      <c r="S27" s="52"/>
      <c r="T27" s="53"/>
      <c r="U27" s="53"/>
      <c r="BI27" s="43">
        <v>14</v>
      </c>
    </row>
    <row r="28" ht="14.7" customHeight="1" spans="17:61">
      <c r="Q28" s="1087"/>
      <c r="R28" s="51"/>
      <c r="S28" s="7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755"/>
      <c r="U28" s="755"/>
      <c r="V28" s="755"/>
      <c r="W28" s="755"/>
      <c r="X28" s="755"/>
      <c r="Y28" s="755"/>
      <c r="Z28" s="755"/>
      <c r="AA28" s="755"/>
      <c r="AB28" s="755"/>
      <c r="AC28" s="755"/>
      <c r="AD28" s="755"/>
      <c r="AE28" s="755"/>
      <c r="AF28" s="755"/>
      <c r="AG28" s="755"/>
      <c r="AH28" s="755"/>
      <c r="AI28" s="755"/>
      <c r="AJ28" s="755"/>
      <c r="AK28" s="755"/>
      <c r="AL28" s="755"/>
      <c r="AM28" s="755"/>
      <c r="AN28" s="755"/>
      <c r="AO28" s="755"/>
      <c r="AP28" s="755"/>
      <c r="AQ28" s="755"/>
      <c r="AR28" s="755"/>
      <c r="AS28" s="755"/>
      <c r="AT28" s="755"/>
      <c r="AU28" s="755"/>
      <c r="AV28" s="755"/>
      <c r="AW28" s="755"/>
      <c r="AX28" s="755"/>
      <c r="AY28" s="755"/>
      <c r="AZ28" s="755"/>
      <c r="BA28" s="121"/>
      <c r="BI28" s="43">
        <v>14</v>
      </c>
    </row>
    <row r="29" ht="14.7" customHeight="1" spans="17:61">
      <c r="Q29" s="1087"/>
      <c r="R29" s="51"/>
      <c r="S29" s="660" t="str">
        <f>IF(org=0,"Не определено",org)</f>
        <v>АО "Теплокоммунэнерго"</v>
      </c>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121"/>
      <c r="BI29" s="43">
        <v>14</v>
      </c>
    </row>
    <row r="30" hidden="1" customHeight="1" spans="17:61">
      <c r="Q30" s="1087"/>
      <c r="R30" s="51"/>
      <c r="S30" s="52"/>
      <c r="T30" s="53"/>
      <c r="U30" s="53"/>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I30" s="43">
        <v>0</v>
      </c>
    </row>
    <row r="31" s="36" customFormat="1" ht="25.5" hidden="1" customHeight="1" spans="1:61">
      <c r="A31" s="45"/>
      <c r="B31" s="45"/>
      <c r="C31" s="45"/>
      <c r="D31" s="45"/>
      <c r="E31" s="45"/>
      <c r="F31" s="45"/>
      <c r="G31" s="45"/>
      <c r="H31" s="45"/>
      <c r="I31" s="45"/>
      <c r="J31" s="45"/>
      <c r="K31" s="45"/>
      <c r="L31" s="1054"/>
      <c r="M31" s="45"/>
      <c r="N31" s="45"/>
      <c r="O31" s="45"/>
      <c r="P31" s="45"/>
      <c r="Q31" s="45"/>
      <c r="S31" s="58" t="s">
        <v>42</v>
      </c>
      <c r="T31" s="58"/>
      <c r="U31" s="1088"/>
      <c r="V31" s="60" t="str">
        <f>IF(TITLE_NAME_OR_PR_CHANGE="",IF(TITLE_NAME_OR_PR="","",TITLE_NAME_OR_PR),TITLE_NAME_OR_PR_CHANGE)</f>
        <v/>
      </c>
      <c r="W31" s="60"/>
      <c r="X31" s="60"/>
      <c r="Y31" s="60"/>
      <c r="Z31" s="60"/>
      <c r="AA31" s="60"/>
      <c r="AB31" s="60"/>
      <c r="AC31" s="43"/>
      <c r="AD31" s="60" t="str">
        <f>IF(TITLE_NAME_OR_PR_CHANGE="",IF(TITLE_NAME_OR_PR="","",TITLE_NAME_OR_PR),TITLE_NAME_OR_PR_CHANGE)</f>
        <v/>
      </c>
      <c r="AE31" s="60"/>
      <c r="AF31" s="60"/>
      <c r="AG31" s="60"/>
      <c r="AH31" s="60"/>
      <c r="AI31" s="60"/>
      <c r="AJ31" s="60"/>
      <c r="AK31" s="60"/>
      <c r="AL31" s="60"/>
      <c r="AM31" s="60"/>
      <c r="AN31" s="60"/>
      <c r="AO31" s="60"/>
      <c r="AP31" s="60"/>
      <c r="AQ31" s="60"/>
      <c r="AR31" s="60"/>
      <c r="AS31" s="60"/>
      <c r="AT31" s="60"/>
      <c r="AU31" s="60"/>
      <c r="AV31" s="60"/>
      <c r="AW31" s="60"/>
      <c r="AX31" s="60"/>
      <c r="AY31" s="60"/>
      <c r="AZ31" s="60"/>
      <c r="BA31" s="43"/>
      <c r="BB31" s="43"/>
      <c r="BC31" s="122"/>
      <c r="BD31" s="151"/>
      <c r="BE31" s="151"/>
      <c r="BF31" s="151"/>
      <c r="BG31" s="151"/>
      <c r="BH31" s="151"/>
      <c r="BI31" s="36">
        <v>0</v>
      </c>
    </row>
    <row r="32" s="36" customFormat="1" ht="18.75" hidden="1" customHeight="1" spans="1:61">
      <c r="A32" s="45"/>
      <c r="B32" s="45"/>
      <c r="C32" s="45"/>
      <c r="D32" s="45"/>
      <c r="E32" s="45"/>
      <c r="F32" s="45"/>
      <c r="G32" s="45"/>
      <c r="H32" s="45"/>
      <c r="I32" s="45"/>
      <c r="J32" s="45"/>
      <c r="K32" s="45"/>
      <c r="L32" s="1054"/>
      <c r="M32" s="45"/>
      <c r="N32" s="45"/>
      <c r="O32" s="45"/>
      <c r="P32" s="45"/>
      <c r="Q32" s="45"/>
      <c r="S32" s="58" t="s">
        <v>499</v>
      </c>
      <c r="T32" s="58"/>
      <c r="U32" s="1088"/>
      <c r="V32" s="793" t="str">
        <f>IF(TITLE_DATE_PR_CHANGE="",IF(TITLE_DATE_PR="","",TITLE_DATE_PR),TITLE_DATE_PR_CHANGE)</f>
        <v/>
      </c>
      <c r="W32" s="793"/>
      <c r="X32" s="793"/>
      <c r="Y32" s="793"/>
      <c r="Z32" s="793"/>
      <c r="AA32" s="793"/>
      <c r="AB32" s="793"/>
      <c r="AC32" s="43"/>
      <c r="AD32" s="793" t="str">
        <f>IF(TITLE_DATE_PR_CHANGE="",IF(TITLE_DATE_PR="","",TITLE_DATE_PR),TITLE_DATE_PR_CHANGE)</f>
        <v/>
      </c>
      <c r="AE32" s="793"/>
      <c r="AF32" s="793"/>
      <c r="AG32" s="793"/>
      <c r="AH32" s="793"/>
      <c r="AI32" s="793"/>
      <c r="AJ32" s="793"/>
      <c r="AK32" s="793"/>
      <c r="AL32" s="793"/>
      <c r="AM32" s="793"/>
      <c r="AN32" s="793"/>
      <c r="AO32" s="793"/>
      <c r="AP32" s="793"/>
      <c r="AQ32" s="793"/>
      <c r="AR32" s="793"/>
      <c r="AS32" s="793"/>
      <c r="AT32" s="793"/>
      <c r="AU32" s="793"/>
      <c r="AV32" s="793"/>
      <c r="AW32" s="793"/>
      <c r="AX32" s="793"/>
      <c r="AY32" s="793"/>
      <c r="AZ32" s="793"/>
      <c r="BA32" s="43"/>
      <c r="BB32" s="43"/>
      <c r="BC32" s="122"/>
      <c r="BD32" s="151"/>
      <c r="BE32" s="151"/>
      <c r="BF32" s="151"/>
      <c r="BG32" s="151"/>
      <c r="BH32" s="151"/>
      <c r="BI32" s="36">
        <v>0</v>
      </c>
    </row>
    <row r="33" s="36" customFormat="1" ht="18.75" hidden="1" customHeight="1" spans="1:61">
      <c r="A33" s="45"/>
      <c r="B33" s="45"/>
      <c r="C33" s="45"/>
      <c r="D33" s="45"/>
      <c r="E33" s="45"/>
      <c r="F33" s="45"/>
      <c r="G33" s="45"/>
      <c r="H33" s="45"/>
      <c r="I33" s="45"/>
      <c r="J33" s="45"/>
      <c r="K33" s="45"/>
      <c r="L33" s="1054"/>
      <c r="M33" s="45"/>
      <c r="N33" s="45"/>
      <c r="O33" s="45"/>
      <c r="P33" s="45"/>
      <c r="Q33" s="45"/>
      <c r="S33" s="58" t="s">
        <v>500</v>
      </c>
      <c r="T33" s="58"/>
      <c r="U33" s="1088"/>
      <c r="V33" s="60" t="str">
        <f>IF(TITLE_NUMBER_PR_CHANGE="",IF(TITLE_NUMBER_PR="","",TITLE_NUMBER_PR),TITLE_NUMBER_PR_CHANGE)</f>
        <v/>
      </c>
      <c r="W33" s="60"/>
      <c r="X33" s="60"/>
      <c r="Y33" s="60"/>
      <c r="Z33" s="60"/>
      <c r="AA33" s="60"/>
      <c r="AB33" s="60"/>
      <c r="AC33" s="43"/>
      <c r="AD33" s="60" t="str">
        <f>IF(TITLE_NUMBER_PR_CHANGE="",IF(TITLE_NUMBER_PR="","",TITLE_NUMBER_PR),TITLE_NUMBER_PR_CHANGE)</f>
        <v/>
      </c>
      <c r="AE33" s="60"/>
      <c r="AF33" s="60"/>
      <c r="AG33" s="60"/>
      <c r="AH33" s="60"/>
      <c r="AI33" s="60"/>
      <c r="AJ33" s="60"/>
      <c r="AK33" s="60"/>
      <c r="AL33" s="60"/>
      <c r="AM33" s="60"/>
      <c r="AN33" s="60"/>
      <c r="AO33" s="60"/>
      <c r="AP33" s="60"/>
      <c r="AQ33" s="60"/>
      <c r="AR33" s="60"/>
      <c r="AS33" s="60"/>
      <c r="AT33" s="60"/>
      <c r="AU33" s="60"/>
      <c r="AV33" s="60"/>
      <c r="AW33" s="60"/>
      <c r="AX33" s="60"/>
      <c r="AY33" s="60"/>
      <c r="AZ33" s="60"/>
      <c r="BA33" s="43"/>
      <c r="BB33" s="43"/>
      <c r="BC33" s="122"/>
      <c r="BD33" s="151"/>
      <c r="BE33" s="151"/>
      <c r="BF33" s="151"/>
      <c r="BG33" s="151"/>
      <c r="BH33" s="151"/>
      <c r="BI33" s="36">
        <v>0</v>
      </c>
    </row>
    <row r="34" s="36" customFormat="1" ht="18.75" hidden="1" customHeight="1" spans="1:61">
      <c r="A34" s="45"/>
      <c r="B34" s="45"/>
      <c r="C34" s="45"/>
      <c r="D34" s="45"/>
      <c r="E34" s="45"/>
      <c r="F34" s="45"/>
      <c r="G34" s="45"/>
      <c r="H34" s="45"/>
      <c r="I34" s="45"/>
      <c r="J34" s="45"/>
      <c r="K34" s="45"/>
      <c r="L34" s="1054"/>
      <c r="M34" s="45"/>
      <c r="N34" s="45"/>
      <c r="O34" s="45"/>
      <c r="P34" s="45"/>
      <c r="Q34" s="45"/>
      <c r="S34" s="58" t="s">
        <v>43</v>
      </c>
      <c r="T34" s="58"/>
      <c r="U34" s="1088"/>
      <c r="V34" s="60" t="str">
        <f>IF(TITLE_IST_PUB_CHANGE="",IF(TITLE_IST_PUB="","",TITLE_IST_PUB),TITLE_IST_PUB_CHANGE)</f>
        <v/>
      </c>
      <c r="W34" s="60"/>
      <c r="X34" s="60"/>
      <c r="Y34" s="60"/>
      <c r="Z34" s="60"/>
      <c r="AA34" s="60"/>
      <c r="AB34" s="60"/>
      <c r="AC34" s="43"/>
      <c r="AD34" s="60" t="str">
        <f>IF(TITLE_IST_PUB_CHANGE="",IF(TITLE_IST_PUB="","",TITLE_IST_PUB),TITLE_IST_PUB_CHANGE)</f>
        <v/>
      </c>
      <c r="AE34" s="60"/>
      <c r="AF34" s="60"/>
      <c r="AG34" s="60"/>
      <c r="AH34" s="60"/>
      <c r="AI34" s="60"/>
      <c r="AJ34" s="60"/>
      <c r="AK34" s="60"/>
      <c r="AL34" s="60"/>
      <c r="AM34" s="60"/>
      <c r="AN34" s="60"/>
      <c r="AO34" s="60"/>
      <c r="AP34" s="60"/>
      <c r="AQ34" s="60"/>
      <c r="AR34" s="60"/>
      <c r="AS34" s="60"/>
      <c r="AT34" s="60"/>
      <c r="AU34" s="60"/>
      <c r="AV34" s="60"/>
      <c r="AW34" s="60"/>
      <c r="AX34" s="60"/>
      <c r="AY34" s="60"/>
      <c r="AZ34" s="60"/>
      <c r="BA34" s="43"/>
      <c r="BB34" s="43"/>
      <c r="BC34" s="122"/>
      <c r="BD34" s="151"/>
      <c r="BE34" s="151"/>
      <c r="BF34" s="151"/>
      <c r="BG34" s="151"/>
      <c r="BH34" s="151"/>
      <c r="BI34" s="36">
        <v>0</v>
      </c>
    </row>
    <row r="35" hidden="1" customHeight="1" spans="17:61">
      <c r="Q35" s="1087"/>
      <c r="R35" s="51"/>
      <c r="S35" s="52"/>
      <c r="T35" s="53"/>
      <c r="U35" s="53"/>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I35" s="43">
        <v>0</v>
      </c>
    </row>
    <row r="36" s="36" customFormat="1" ht="18.75" hidden="1" customHeight="1" spans="1:61">
      <c r="A36" s="45"/>
      <c r="B36" s="45"/>
      <c r="C36" s="45"/>
      <c r="D36" s="45"/>
      <c r="E36" s="45"/>
      <c r="F36" s="45"/>
      <c r="G36" s="45"/>
      <c r="H36" s="45"/>
      <c r="I36" s="45"/>
      <c r="J36" s="45"/>
      <c r="K36" s="45"/>
      <c r="L36" s="1054"/>
      <c r="M36" s="45"/>
      <c r="N36" s="45"/>
      <c r="O36" s="45"/>
      <c r="P36" s="45"/>
      <c r="Q36" s="45"/>
      <c r="S36" s="58" t="s">
        <v>499</v>
      </c>
      <c r="T36" s="58"/>
      <c r="U36" s="1088"/>
      <c r="V36" s="793" t="str">
        <f>IF(TITLE_DATE_PR_CHANGE="",IF(TITLE_DATE_PR="","",TITLE_DATE_PR),TITLE_DATE_PR_CHANGE)</f>
        <v/>
      </c>
      <c r="W36" s="793"/>
      <c r="X36" s="793"/>
      <c r="Y36" s="793"/>
      <c r="Z36" s="793"/>
      <c r="AA36" s="793"/>
      <c r="AB36" s="793"/>
      <c r="AC36" s="43"/>
      <c r="AD36" s="793" t="str">
        <f>IF(TITLE_DATE_PR_CHANGE="",IF(TITLE_DATE_PR="","",TITLE_DATE_PR),TITLE_DATE_PR_CHANGE)</f>
        <v/>
      </c>
      <c r="AE36" s="793"/>
      <c r="AF36" s="793"/>
      <c r="AG36" s="793"/>
      <c r="AH36" s="793"/>
      <c r="AI36" s="793"/>
      <c r="AJ36" s="793"/>
      <c r="AK36" s="793"/>
      <c r="AL36" s="793"/>
      <c r="AM36" s="793"/>
      <c r="AN36" s="793"/>
      <c r="AO36" s="793"/>
      <c r="AP36" s="793"/>
      <c r="AQ36" s="793"/>
      <c r="AR36" s="793"/>
      <c r="AS36" s="793"/>
      <c r="AT36" s="793"/>
      <c r="AU36" s="793"/>
      <c r="AV36" s="793"/>
      <c r="AW36" s="793"/>
      <c r="AX36" s="793"/>
      <c r="AY36" s="793"/>
      <c r="AZ36" s="793"/>
      <c r="BA36" s="43"/>
      <c r="BB36" s="43"/>
      <c r="BC36" s="122"/>
      <c r="BD36" s="151"/>
      <c r="BE36" s="151"/>
      <c r="BF36" s="151"/>
      <c r="BG36" s="151"/>
      <c r="BH36" s="151"/>
      <c r="BI36" s="36">
        <v>0</v>
      </c>
    </row>
    <row r="37" s="36" customFormat="1" ht="18.75" hidden="1" customHeight="1" spans="1:61">
      <c r="A37" s="45"/>
      <c r="B37" s="45"/>
      <c r="C37" s="45"/>
      <c r="D37" s="45"/>
      <c r="E37" s="45"/>
      <c r="F37" s="45"/>
      <c r="G37" s="45"/>
      <c r="H37" s="45"/>
      <c r="I37" s="45"/>
      <c r="J37" s="45"/>
      <c r="K37" s="45"/>
      <c r="L37" s="1054"/>
      <c r="M37" s="45"/>
      <c r="N37" s="45"/>
      <c r="O37" s="45"/>
      <c r="P37" s="45"/>
      <c r="Q37" s="45"/>
      <c r="S37" s="58" t="s">
        <v>500</v>
      </c>
      <c r="T37" s="58"/>
      <c r="U37" s="1088"/>
      <c r="V37" s="60" t="str">
        <f>IF(TITLE_NUMBER_PR_CHANGE="",IF(TITLE_NUMBER_PR="","",TITLE_NUMBER_PR),TITLE_NUMBER_PR_CHANGE)</f>
        <v/>
      </c>
      <c r="W37" s="60"/>
      <c r="X37" s="60"/>
      <c r="Y37" s="60"/>
      <c r="Z37" s="60"/>
      <c r="AA37" s="60"/>
      <c r="AB37" s="60"/>
      <c r="AC37" s="43"/>
      <c r="AD37" s="60" t="str">
        <f>IF(TITLE_NUMBER_PR_CHANGE="",IF(TITLE_NUMBER_PR="","",TITLE_NUMBER_PR),TITLE_NUMBER_PR_CHANGE)</f>
        <v/>
      </c>
      <c r="AE37" s="60"/>
      <c r="AF37" s="60"/>
      <c r="AG37" s="60"/>
      <c r="AH37" s="60"/>
      <c r="AI37" s="60"/>
      <c r="AJ37" s="60"/>
      <c r="AK37" s="60"/>
      <c r="AL37" s="60"/>
      <c r="AM37" s="60"/>
      <c r="AN37" s="60"/>
      <c r="AO37" s="60"/>
      <c r="AP37" s="60"/>
      <c r="AQ37" s="60"/>
      <c r="AR37" s="60"/>
      <c r="AS37" s="60"/>
      <c r="AT37" s="60"/>
      <c r="AU37" s="60"/>
      <c r="AV37" s="60"/>
      <c r="AW37" s="60"/>
      <c r="AX37" s="60"/>
      <c r="AY37" s="60"/>
      <c r="AZ37" s="60"/>
      <c r="BA37" s="43"/>
      <c r="BB37" s="43"/>
      <c r="BC37" s="122"/>
      <c r="BD37" s="151"/>
      <c r="BE37" s="151"/>
      <c r="BF37" s="151"/>
      <c r="BG37" s="151"/>
      <c r="BH37" s="151"/>
      <c r="BI37" s="36">
        <v>0</v>
      </c>
    </row>
    <row r="38" s="36" customFormat="1" hidden="1" customHeight="1" spans="1:61">
      <c r="A38" s="45"/>
      <c r="B38" s="45"/>
      <c r="C38" s="45"/>
      <c r="D38" s="45"/>
      <c r="E38" s="45"/>
      <c r="F38" s="45"/>
      <c r="G38" s="45"/>
      <c r="H38" s="45"/>
      <c r="I38" s="45"/>
      <c r="J38" s="45"/>
      <c r="K38" s="45"/>
      <c r="L38" s="1054"/>
      <c r="M38" s="45"/>
      <c r="N38" s="45"/>
      <c r="O38" s="45"/>
      <c r="P38" s="45"/>
      <c r="Q38" s="45"/>
      <c r="S38" s="43"/>
      <c r="T38" s="43"/>
      <c r="U38" s="61"/>
      <c r="V38" s="43"/>
      <c r="W38" s="43"/>
      <c r="X38" s="43"/>
      <c r="Y38" s="43"/>
      <c r="Z38" s="43"/>
      <c r="AA38" s="43"/>
      <c r="AB38" s="43"/>
      <c r="AC38" s="44" t="s">
        <v>419</v>
      </c>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4" t="s">
        <v>419</v>
      </c>
      <c r="BD38" s="151"/>
      <c r="BE38" s="151"/>
      <c r="BF38" s="151"/>
      <c r="BG38" s="151"/>
      <c r="BH38" s="151"/>
      <c r="BI38" s="36">
        <v>0</v>
      </c>
    </row>
    <row r="39" ht="14.7" customHeight="1" spans="17:61">
      <c r="Q39" s="1087"/>
      <c r="R39" s="51"/>
      <c r="S39" s="52"/>
      <c r="T39" s="53"/>
      <c r="U39" s="62"/>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I39" s="43">
        <v>14</v>
      </c>
    </row>
    <row r="40" ht="14.7" customHeight="1" spans="17:61">
      <c r="Q40" s="1087"/>
      <c r="R40" s="51"/>
      <c r="S40" s="64" t="s">
        <v>296</v>
      </c>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t="s">
        <v>297</v>
      </c>
      <c r="BI40" s="43">
        <v>14</v>
      </c>
    </row>
    <row r="41" ht="14.7" customHeight="1" spans="17:61">
      <c r="Q41" s="1087"/>
      <c r="R41" s="51"/>
      <c r="S41" s="65" t="s">
        <v>89</v>
      </c>
      <c r="T41" s="66" t="s">
        <v>501</v>
      </c>
      <c r="U41" s="67"/>
      <c r="V41" s="68" t="s">
        <v>421</v>
      </c>
      <c r="W41" s="69"/>
      <c r="X41" s="69"/>
      <c r="Y41" s="69"/>
      <c r="Z41" s="69"/>
      <c r="AA41" s="69"/>
      <c r="AB41" s="123"/>
      <c r="AC41" s="124" t="s">
        <v>422</v>
      </c>
      <c r="AD41" s="913" t="s">
        <v>502</v>
      </c>
      <c r="AE41" s="1099"/>
      <c r="AF41" s="1099"/>
      <c r="AG41" s="1111"/>
      <c r="AH41" s="913" t="s">
        <v>503</v>
      </c>
      <c r="AI41" s="1099"/>
      <c r="AJ41" s="1099"/>
      <c r="AK41" s="1111"/>
      <c r="AL41" s="913" t="s">
        <v>504</v>
      </c>
      <c r="AM41" s="1099"/>
      <c r="AN41" s="1099"/>
      <c r="AO41" s="1111"/>
      <c r="AP41" s="913" t="s">
        <v>505</v>
      </c>
      <c r="AQ41" s="1099"/>
      <c r="AR41" s="1099"/>
      <c r="AS41" s="1111"/>
      <c r="AT41" s="68" t="s">
        <v>421</v>
      </c>
      <c r="AU41" s="69"/>
      <c r="AV41" s="69"/>
      <c r="AW41" s="69"/>
      <c r="AX41" s="69"/>
      <c r="AY41" s="69"/>
      <c r="AZ41" s="123"/>
      <c r="BA41" s="124" t="s">
        <v>422</v>
      </c>
      <c r="BB41" s="125" t="s">
        <v>424</v>
      </c>
      <c r="BC41" s="64"/>
      <c r="BI41" s="43">
        <v>14</v>
      </c>
    </row>
    <row r="42" ht="35.7" customHeight="1" spans="17:61">
      <c r="Q42" s="1087"/>
      <c r="R42" s="51"/>
      <c r="S42" s="65"/>
      <c r="T42" s="66"/>
      <c r="U42" s="70"/>
      <c r="V42" s="903" t="s">
        <v>506</v>
      </c>
      <c r="W42" s="904"/>
      <c r="X42" s="903" t="s">
        <v>507</v>
      </c>
      <c r="Y42" s="904"/>
      <c r="Z42" s="903" t="s">
        <v>508</v>
      </c>
      <c r="AA42" s="1100"/>
      <c r="AB42" s="904"/>
      <c r="AC42" s="129"/>
      <c r="AD42" s="1101"/>
      <c r="AE42" s="1102"/>
      <c r="AF42" s="1102"/>
      <c r="AG42" s="1112"/>
      <c r="AH42" s="1101"/>
      <c r="AI42" s="1102"/>
      <c r="AJ42" s="1102"/>
      <c r="AK42" s="1112"/>
      <c r="AL42" s="1101"/>
      <c r="AM42" s="1102"/>
      <c r="AN42" s="1102"/>
      <c r="AO42" s="1112"/>
      <c r="AP42" s="1101"/>
      <c r="AQ42" s="1102"/>
      <c r="AR42" s="1102"/>
      <c r="AS42" s="1112"/>
      <c r="AT42" s="903" t="s">
        <v>506</v>
      </c>
      <c r="AU42" s="904"/>
      <c r="AV42" s="903" t="s">
        <v>507</v>
      </c>
      <c r="AW42" s="904"/>
      <c r="AX42" s="903" t="s">
        <v>508</v>
      </c>
      <c r="AY42" s="1100"/>
      <c r="AZ42" s="904"/>
      <c r="BA42" s="129"/>
      <c r="BB42" s="130"/>
      <c r="BC42" s="64"/>
      <c r="BI42" s="43">
        <v>34</v>
      </c>
    </row>
    <row r="43" ht="14.7" customHeight="1" spans="17:61">
      <c r="Q43" s="1087"/>
      <c r="R43" s="51"/>
      <c r="S43" s="65"/>
      <c r="T43" s="66"/>
      <c r="U43" s="70"/>
      <c r="V43" s="907"/>
      <c r="W43" s="908"/>
      <c r="X43" s="907"/>
      <c r="Y43" s="908"/>
      <c r="Z43" s="907"/>
      <c r="AA43" s="1103"/>
      <c r="AB43" s="908"/>
      <c r="AC43" s="129"/>
      <c r="AD43" s="1101"/>
      <c r="AE43" s="1102"/>
      <c r="AF43" s="1102"/>
      <c r="AG43" s="1112"/>
      <c r="AH43" s="1101"/>
      <c r="AI43" s="1102"/>
      <c r="AJ43" s="1102"/>
      <c r="AK43" s="1112"/>
      <c r="AL43" s="1101"/>
      <c r="AM43" s="1102"/>
      <c r="AN43" s="1102"/>
      <c r="AO43" s="1112"/>
      <c r="AP43" s="1101"/>
      <c r="AQ43" s="1102"/>
      <c r="AR43" s="1102"/>
      <c r="AS43" s="1112"/>
      <c r="AT43" s="907"/>
      <c r="AU43" s="908"/>
      <c r="AV43" s="907"/>
      <c r="AW43" s="908"/>
      <c r="AX43" s="907"/>
      <c r="AY43" s="1103"/>
      <c r="AZ43" s="908"/>
      <c r="BA43" s="129"/>
      <c r="BB43" s="130"/>
      <c r="BC43" s="64"/>
      <c r="BI43" s="43">
        <v>14</v>
      </c>
    </row>
    <row r="44" ht="14.7" customHeight="1" spans="1:61">
      <c r="A44" s="45"/>
      <c r="B44" s="45" t="s">
        <v>133</v>
      </c>
      <c r="C44" s="45" t="s">
        <v>134</v>
      </c>
      <c r="D44" s="45" t="s">
        <v>135</v>
      </c>
      <c r="E44" s="1054" t="s">
        <v>429</v>
      </c>
      <c r="F44" s="1054" t="s">
        <v>430</v>
      </c>
      <c r="G44" s="1054" t="s">
        <v>431</v>
      </c>
      <c r="H44" s="1054" t="s">
        <v>432</v>
      </c>
      <c r="I44" s="1054" t="s">
        <v>433</v>
      </c>
      <c r="J44" s="1054" t="s">
        <v>434</v>
      </c>
      <c r="K44" s="1054" t="s">
        <v>435</v>
      </c>
      <c r="L44" s="1054" t="s">
        <v>414</v>
      </c>
      <c r="Q44" s="1087"/>
      <c r="R44" s="51"/>
      <c r="S44" s="65"/>
      <c r="T44" s="66"/>
      <c r="U44" s="72"/>
      <c r="V44" s="66" t="s">
        <v>470</v>
      </c>
      <c r="W44" s="66" t="s">
        <v>471</v>
      </c>
      <c r="X44" s="66" t="s">
        <v>470</v>
      </c>
      <c r="Y44" s="66" t="s">
        <v>471</v>
      </c>
      <c r="Z44" s="131" t="s">
        <v>438</v>
      </c>
      <c r="AA44" s="132" t="s">
        <v>439</v>
      </c>
      <c r="AB44" s="133"/>
      <c r="AC44" s="134"/>
      <c r="AD44" s="1104"/>
      <c r="AE44" s="1105"/>
      <c r="AF44" s="1105"/>
      <c r="AG44" s="1113"/>
      <c r="AH44" s="1104"/>
      <c r="AI44" s="1105"/>
      <c r="AJ44" s="1105"/>
      <c r="AK44" s="1113"/>
      <c r="AL44" s="1104"/>
      <c r="AM44" s="1105"/>
      <c r="AN44" s="1105"/>
      <c r="AO44" s="1113"/>
      <c r="AP44" s="1104"/>
      <c r="AQ44" s="1105"/>
      <c r="AR44" s="1105"/>
      <c r="AS44" s="1113"/>
      <c r="AT44" s="66" t="s">
        <v>470</v>
      </c>
      <c r="AU44" s="66" t="s">
        <v>471</v>
      </c>
      <c r="AV44" s="66" t="s">
        <v>470</v>
      </c>
      <c r="AW44" s="66" t="s">
        <v>471</v>
      </c>
      <c r="AX44" s="131" t="s">
        <v>438</v>
      </c>
      <c r="AY44" s="132" t="s">
        <v>439</v>
      </c>
      <c r="AZ44" s="133"/>
      <c r="BA44" s="134"/>
      <c r="BB44" s="135"/>
      <c r="BC44" s="64"/>
      <c r="BI44" s="43">
        <v>14</v>
      </c>
    </row>
    <row r="45" s="37" customFormat="1" ht="11.25" hidden="1" customHeight="1" spans="1:61">
      <c r="A45" s="45"/>
      <c r="B45" s="45"/>
      <c r="C45" s="45"/>
      <c r="D45" s="45"/>
      <c r="E45" s="45"/>
      <c r="F45" s="45"/>
      <c r="G45" s="45"/>
      <c r="H45" s="45"/>
      <c r="I45" s="45"/>
      <c r="J45" s="45"/>
      <c r="K45" s="45"/>
      <c r="L45" s="1054"/>
      <c r="M45" s="39"/>
      <c r="N45" s="39"/>
      <c r="O45" s="39"/>
      <c r="P45" s="1057"/>
      <c r="Q45" s="76"/>
      <c r="R45" s="76">
        <v>1</v>
      </c>
      <c r="S45" s="77" t="s">
        <v>107</v>
      </c>
      <c r="T45" s="78" t="s">
        <v>108</v>
      </c>
      <c r="U45" s="79" t="str">
        <f ca="1">OFFSET(U45,0,-1)</f>
        <v>2</v>
      </c>
      <c r="V45" s="80">
        <f ca="1" t="shared" ref="V45:AA45" si="2">OFFSET(V45,0,-1)+1</f>
        <v>3</v>
      </c>
      <c r="W45" s="80">
        <f ca="1" t="shared" si="2"/>
        <v>4</v>
      </c>
      <c r="X45" s="80">
        <f ca="1" t="shared" si="2"/>
        <v>5</v>
      </c>
      <c r="Y45" s="80">
        <f ca="1" t="shared" si="2"/>
        <v>6</v>
      </c>
      <c r="Z45" s="80">
        <f ca="1" t="shared" si="2"/>
        <v>7</v>
      </c>
      <c r="AA45" s="80">
        <f ca="1" t="shared" si="2"/>
        <v>8</v>
      </c>
      <c r="AB45" s="80"/>
      <c r="AC45" s="80">
        <f ca="1">OFFSET(AC45,0,-2)+1</f>
        <v>9</v>
      </c>
      <c r="AD45" s="80">
        <f ca="1">OFFSET(AD45,0,-1)+1</f>
        <v>10</v>
      </c>
      <c r="AE45" s="80"/>
      <c r="AF45" s="80"/>
      <c r="AG45" s="80"/>
      <c r="AH45" s="80"/>
      <c r="AI45" s="80"/>
      <c r="AJ45" s="80"/>
      <c r="AK45" s="80"/>
      <c r="AL45" s="80"/>
      <c r="AM45" s="80"/>
      <c r="AN45" s="80"/>
      <c r="AO45" s="80"/>
      <c r="AP45" s="80"/>
      <c r="AQ45" s="80"/>
      <c r="AR45" s="80"/>
      <c r="AS45" s="80"/>
      <c r="AT45" s="80"/>
      <c r="AU45" s="80"/>
      <c r="AV45" s="80"/>
      <c r="AW45" s="80">
        <f ca="1">OFFSET(AW45,0,-1)+1</f>
        <v>1</v>
      </c>
      <c r="AX45" s="80">
        <f ca="1">OFFSET(AX45,0,-1)+1</f>
        <v>2</v>
      </c>
      <c r="AY45" s="80">
        <f ca="1">OFFSET(AY45,0,-1)+1</f>
        <v>3</v>
      </c>
      <c r="AZ45" s="80"/>
      <c r="BA45" s="80">
        <f ca="1">OFFSET(BA45,0,-2)+1</f>
        <v>4</v>
      </c>
      <c r="BB45" s="79">
        <f ca="1">OFFSET(BB45,0,-1)</f>
        <v>4</v>
      </c>
      <c r="BC45" s="80">
        <f ca="1">OFFSET(BC45,0,-1)+1</f>
        <v>5</v>
      </c>
      <c r="BD45" s="44"/>
      <c r="BE45" s="44"/>
      <c r="BF45" s="44"/>
      <c r="BG45" s="44"/>
      <c r="BH45" s="44"/>
      <c r="BI45" s="37">
        <v>0</v>
      </c>
    </row>
    <row r="46" ht="22.05" customHeight="1" spans="1:61">
      <c r="A46" s="46" t="s">
        <v>242</v>
      </c>
      <c r="B46" s="46"/>
      <c r="C46" s="46"/>
      <c r="D46" s="46"/>
      <c r="E46" s="1052">
        <v>1</v>
      </c>
      <c r="F46" s="46"/>
      <c r="G46" s="46"/>
      <c r="H46" s="46"/>
      <c r="I46" s="46"/>
      <c r="J46" s="46"/>
      <c r="K46" s="46"/>
      <c r="L46" s="1054"/>
      <c r="M46" s="47"/>
      <c r="N46" s="47"/>
      <c r="O46" s="47"/>
      <c r="Q46" s="264"/>
      <c r="R46" s="82"/>
      <c r="S46" s="65">
        <f>INDEX(PT_DIFFERENTIATION_NUM_NTAR,MATCH(A46,PT_DIFFERENTIATION_NTAR_ID,0))</f>
        <v>0</v>
      </c>
      <c r="T46" s="83" t="s">
        <v>121</v>
      </c>
      <c r="U46" s="84"/>
      <c r="V46" s="1061"/>
      <c r="W46" s="1061"/>
      <c r="X46" s="1061"/>
      <c r="Y46" s="1061"/>
      <c r="Z46" s="1061"/>
      <c r="AA46" s="1061"/>
      <c r="AB46" s="1061"/>
      <c r="AC46" s="1089"/>
      <c r="AD46" s="1090" t="str">
        <f>INDEX(PT_DIFFERENTIATION_NTAR,MATCH(A46,PT_DIFFERENTIATION_NTAR_ID,0))</f>
        <v/>
      </c>
      <c r="AE46" s="1061"/>
      <c r="AF46" s="1061"/>
      <c r="AG46" s="1061"/>
      <c r="AH46" s="1061"/>
      <c r="AI46" s="1061"/>
      <c r="AJ46" s="1061"/>
      <c r="AK46" s="1061"/>
      <c r="AL46" s="1061"/>
      <c r="AM46" s="1061"/>
      <c r="AN46" s="1061"/>
      <c r="AO46" s="1061"/>
      <c r="AP46" s="1061"/>
      <c r="AQ46" s="1061"/>
      <c r="AR46" s="1061"/>
      <c r="AS46" s="1061"/>
      <c r="AT46" s="1061"/>
      <c r="AU46" s="1061"/>
      <c r="AV46" s="1061"/>
      <c r="AW46" s="1061"/>
      <c r="AX46" s="1061"/>
      <c r="AY46" s="1061"/>
      <c r="AZ46" s="1061"/>
      <c r="BA46" s="1061"/>
      <c r="BB46" s="1089"/>
      <c r="BC46"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51"/>
      <c r="BF46" s="151" t="str">
        <f t="shared" ref="BF46:BF52" si="3">IF(T46="","",T46)</f>
        <v>Наименование тарифа</v>
      </c>
      <c r="BG46" s="151"/>
      <c r="BH46" s="151"/>
      <c r="BI46" s="43">
        <v>21</v>
      </c>
    </row>
    <row r="47" ht="22.05" customHeight="1" spans="1:61">
      <c r="A47" s="46" t="s">
        <v>242</v>
      </c>
      <c r="B47" s="46" t="s">
        <v>243</v>
      </c>
      <c r="C47" s="46"/>
      <c r="D47" s="46"/>
      <c r="E47" s="1053"/>
      <c r="F47" s="1052">
        <v>1</v>
      </c>
      <c r="G47" s="46"/>
      <c r="H47" s="46"/>
      <c r="I47" s="46"/>
      <c r="J47" s="46"/>
      <c r="K47" s="46"/>
      <c r="L47" s="1054"/>
      <c r="M47" s="47"/>
      <c r="N47" s="47"/>
      <c r="O47" s="47"/>
      <c r="P47" s="48"/>
      <c r="Q47" s="1062"/>
      <c r="R47" s="88"/>
      <c r="S47" s="65" t="str">
        <f>INDEX(PT_DIFFERENTIATION_NUM_TER,MATCH(B47,PT_DIFFERENTIATION_TER_ID,0))</f>
        <v>.</v>
      </c>
      <c r="T47" s="89" t="s">
        <v>393</v>
      </c>
      <c r="U47" s="84"/>
      <c r="V47" s="1061"/>
      <c r="W47" s="1061"/>
      <c r="X47" s="1061"/>
      <c r="Y47" s="1061"/>
      <c r="Z47" s="1061"/>
      <c r="AA47" s="1061"/>
      <c r="AB47" s="1061"/>
      <c r="AC47" s="1089"/>
      <c r="AD47" s="1090" t="str">
        <f>INDEX(PT_DIFFERENTIATION_TER,MATCH(B47,PT_DIFFERENTIATION_TER_ID,0))</f>
        <v/>
      </c>
      <c r="AE47" s="1061"/>
      <c r="AF47" s="1061"/>
      <c r="AG47" s="1061"/>
      <c r="AH47" s="1061"/>
      <c r="AI47" s="1061"/>
      <c r="AJ47" s="1061"/>
      <c r="AK47" s="1061"/>
      <c r="AL47" s="1061"/>
      <c r="AM47" s="1061"/>
      <c r="AN47" s="1061"/>
      <c r="AO47" s="1061"/>
      <c r="AP47" s="1061"/>
      <c r="AQ47" s="1061"/>
      <c r="AR47" s="1061"/>
      <c r="AS47" s="1061"/>
      <c r="AT47" s="1061"/>
      <c r="AU47" s="1061"/>
      <c r="AV47" s="1061"/>
      <c r="AW47" s="1061"/>
      <c r="AX47" s="1061"/>
      <c r="AY47" s="1061"/>
      <c r="AZ47" s="1061"/>
      <c r="BA47" s="1061"/>
      <c r="BB47" s="1089"/>
      <c r="BC47" s="136" t="s">
        <v>394</v>
      </c>
      <c r="BE47" s="151"/>
      <c r="BF47" s="151" t="str">
        <f t="shared" si="3"/>
        <v>Территория действия тарифа</v>
      </c>
      <c r="BG47" s="151"/>
      <c r="BH47" s="151"/>
      <c r="BI47" s="43">
        <v>21</v>
      </c>
    </row>
    <row r="48" ht="43.05" customHeight="1" spans="1:61">
      <c r="A48" s="46" t="s">
        <v>242</v>
      </c>
      <c r="B48" s="46" t="s">
        <v>243</v>
      </c>
      <c r="C48" s="46" t="s">
        <v>244</v>
      </c>
      <c r="D48" s="46"/>
      <c r="E48" s="1053"/>
      <c r="F48" s="1053"/>
      <c r="G48" s="1052">
        <v>1</v>
      </c>
      <c r="H48" s="46"/>
      <c r="I48" s="46"/>
      <c r="J48" s="46"/>
      <c r="K48" s="46"/>
      <c r="L48" s="1054"/>
      <c r="M48" s="47"/>
      <c r="N48" s="47"/>
      <c r="O48" s="47"/>
      <c r="P48" s="1055"/>
      <c r="Q48" s="1062"/>
      <c r="R48" s="88"/>
      <c r="S48" s="65" t="str">
        <f>INDEX(PT_DIFFERENTIATION_NUM_CS,MATCH(C48,PT_DIFFERENTIATION_CS_ID,0))</f>
        <v>..</v>
      </c>
      <c r="T48" s="91" t="s">
        <v>475</v>
      </c>
      <c r="U48" s="84"/>
      <c r="V48" s="1061"/>
      <c r="W48" s="1061"/>
      <c r="X48" s="1061"/>
      <c r="Y48" s="1061"/>
      <c r="Z48" s="1061"/>
      <c r="AA48" s="1061"/>
      <c r="AB48" s="1061"/>
      <c r="AC48" s="1089"/>
      <c r="AD48" s="1090" t="str">
        <f>INDEX(PT_DIFFERENTIATION_CS,MATCH(C48,PT_DIFFERENTIATION_CS_ID,0))</f>
        <v/>
      </c>
      <c r="AE48" s="1061"/>
      <c r="AF48" s="1061"/>
      <c r="AG48" s="1061"/>
      <c r="AH48" s="1061"/>
      <c r="AI48" s="1061"/>
      <c r="AJ48" s="1061"/>
      <c r="AK48" s="1061"/>
      <c r="AL48" s="1061"/>
      <c r="AM48" s="1061"/>
      <c r="AN48" s="1061"/>
      <c r="AO48" s="1061"/>
      <c r="AP48" s="1061"/>
      <c r="AQ48" s="1061"/>
      <c r="AR48" s="1061"/>
      <c r="AS48" s="1061"/>
      <c r="AT48" s="1061"/>
      <c r="AU48" s="1061"/>
      <c r="AV48" s="1061"/>
      <c r="AW48" s="1061"/>
      <c r="AX48" s="1061"/>
      <c r="AY48" s="1061"/>
      <c r="AZ48" s="1061"/>
      <c r="BA48" s="1061"/>
      <c r="BB48" s="1089"/>
      <c r="BC48" s="136" t="s">
        <v>476</v>
      </c>
      <c r="BE48" s="151"/>
      <c r="BF48" s="151" t="str">
        <f t="shared" si="3"/>
        <v>Наименование централизованной системы холодного водоснабжения</v>
      </c>
      <c r="BG48" s="151"/>
      <c r="BH48" s="151"/>
      <c r="BI48" s="43">
        <v>41</v>
      </c>
    </row>
    <row r="49" s="44" customFormat="1" hidden="1" customHeight="1" spans="1:61">
      <c r="A49" s="590" t="s">
        <v>242</v>
      </c>
      <c r="B49" s="590" t="s">
        <v>243</v>
      </c>
      <c r="C49" s="590" t="s">
        <v>244</v>
      </c>
      <c r="D49" s="590" t="s">
        <v>509</v>
      </c>
      <c r="E49" s="1053"/>
      <c r="F49" s="1053"/>
      <c r="G49" s="1053"/>
      <c r="H49" s="1052">
        <v>1</v>
      </c>
      <c r="I49" s="590"/>
      <c r="J49" s="590"/>
      <c r="K49" s="590"/>
      <c r="L49" s="611"/>
      <c r="M49" s="283"/>
      <c r="N49" s="283"/>
      <c r="O49" s="283"/>
      <c r="P49" s="1056"/>
      <c r="Q49" s="1063"/>
      <c r="R49" s="97"/>
      <c r="S49" s="330"/>
      <c r="T49" s="1064"/>
      <c r="U49" s="1065"/>
      <c r="V49" s="1066"/>
      <c r="W49" s="1066"/>
      <c r="X49" s="1066"/>
      <c r="Y49" s="1066"/>
      <c r="Z49" s="1066"/>
      <c r="AA49" s="1066"/>
      <c r="AB49" s="1066"/>
      <c r="AC49" s="1091"/>
      <c r="AD49" s="1092"/>
      <c r="AE49" s="1066"/>
      <c r="AF49" s="1066"/>
      <c r="AG49" s="1066"/>
      <c r="AH49" s="1066"/>
      <c r="AI49" s="1066"/>
      <c r="AJ49" s="1066"/>
      <c r="AK49" s="1066"/>
      <c r="AL49" s="1066"/>
      <c r="AM49" s="1066"/>
      <c r="AN49" s="1066"/>
      <c r="AO49" s="1066"/>
      <c r="AP49" s="1066"/>
      <c r="AQ49" s="1066"/>
      <c r="AR49" s="1066"/>
      <c r="AS49" s="1066"/>
      <c r="AT49" s="1066"/>
      <c r="AU49" s="1066"/>
      <c r="AV49" s="1066"/>
      <c r="AW49" s="1066"/>
      <c r="AX49" s="1066"/>
      <c r="AY49" s="1066"/>
      <c r="AZ49" s="1066"/>
      <c r="BA49" s="1066"/>
      <c r="BB49" s="1091"/>
      <c r="BC49" s="995" t="s">
        <v>398</v>
      </c>
      <c r="BE49" s="151"/>
      <c r="BF49" s="151" t="str">
        <f t="shared" si="3"/>
        <v/>
      </c>
      <c r="BG49" s="151"/>
      <c r="BH49" s="151"/>
      <c r="BI49" s="44">
        <v>0</v>
      </c>
    </row>
    <row r="50" s="44" customFormat="1" hidden="1" customHeight="1" spans="1:61">
      <c r="A50" s="590" t="s">
        <v>242</v>
      </c>
      <c r="B50" s="590" t="s">
        <v>243</v>
      </c>
      <c r="C50" s="590" t="s">
        <v>244</v>
      </c>
      <c r="D50" s="590" t="s">
        <v>509</v>
      </c>
      <c r="E50" s="1053"/>
      <c r="F50" s="1053"/>
      <c r="G50" s="1053"/>
      <c r="H50" s="1053"/>
      <c r="I50" s="229" t="str">
        <f>S49&amp;".1"</f>
        <v>.1</v>
      </c>
      <c r="J50" s="590"/>
      <c r="K50" s="590"/>
      <c r="L50" s="611" t="s">
        <v>399</v>
      </c>
      <c r="M50" s="1057"/>
      <c r="N50" s="1057"/>
      <c r="O50" s="1057"/>
      <c r="P50" s="93">
        <v>1</v>
      </c>
      <c r="Q50" s="93"/>
      <c r="R50" s="94"/>
      <c r="S50" s="330"/>
      <c r="T50" s="1067"/>
      <c r="U50" s="1065"/>
      <c r="V50" s="1066"/>
      <c r="W50" s="1066"/>
      <c r="X50" s="1066"/>
      <c r="Y50" s="1066"/>
      <c r="Z50" s="1066"/>
      <c r="AA50" s="1066"/>
      <c r="AB50" s="1066"/>
      <c r="AC50" s="1091"/>
      <c r="AD50" s="1092"/>
      <c r="AE50" s="1066"/>
      <c r="AF50" s="1066"/>
      <c r="AG50" s="1066"/>
      <c r="AH50" s="1066"/>
      <c r="AI50" s="1066"/>
      <c r="AJ50" s="1066"/>
      <c r="AK50" s="1066"/>
      <c r="AL50" s="1066"/>
      <c r="AM50" s="1066"/>
      <c r="AN50" s="1066"/>
      <c r="AO50" s="1066"/>
      <c r="AP50" s="1066"/>
      <c r="AQ50" s="1066"/>
      <c r="AR50" s="1066"/>
      <c r="AS50" s="1066"/>
      <c r="AT50" s="1066"/>
      <c r="AU50" s="1066"/>
      <c r="AV50" s="1066"/>
      <c r="AW50" s="1066"/>
      <c r="AX50" s="1066"/>
      <c r="AY50" s="1066"/>
      <c r="AZ50" s="1066"/>
      <c r="BA50" s="1066"/>
      <c r="BB50" s="1091"/>
      <c r="BC50" s="995"/>
      <c r="BE50" s="151"/>
      <c r="BF50" s="151" t="str">
        <f t="shared" si="3"/>
        <v/>
      </c>
      <c r="BG50" s="151"/>
      <c r="BH50" s="151"/>
      <c r="BI50" s="44">
        <v>0</v>
      </c>
    </row>
    <row r="51" s="44" customFormat="1" hidden="1" customHeight="1" spans="1:61">
      <c r="A51" s="590" t="s">
        <v>242</v>
      </c>
      <c r="B51" s="590" t="s">
        <v>243</v>
      </c>
      <c r="C51" s="590" t="s">
        <v>244</v>
      </c>
      <c r="D51" s="590" t="s">
        <v>509</v>
      </c>
      <c r="E51" s="1053"/>
      <c r="F51" s="1053"/>
      <c r="G51" s="1053"/>
      <c r="H51" s="1053"/>
      <c r="I51" s="1058"/>
      <c r="J51" s="229" t="str">
        <f>S49&amp;".1"</f>
        <v>.1</v>
      </c>
      <c r="K51" s="590"/>
      <c r="L51" s="611"/>
      <c r="M51" s="1057"/>
      <c r="N51" s="1057"/>
      <c r="O51" s="1057"/>
      <c r="P51" s="93"/>
      <c r="Q51" s="93">
        <v>1</v>
      </c>
      <c r="R51" s="97"/>
      <c r="S51" s="330"/>
      <c r="T51" s="1068"/>
      <c r="U51" s="1065"/>
      <c r="V51" s="1066"/>
      <c r="W51" s="1066"/>
      <c r="X51" s="1066"/>
      <c r="Y51" s="1066"/>
      <c r="Z51" s="1066"/>
      <c r="AA51" s="1066"/>
      <c r="AB51" s="1066"/>
      <c r="AC51" s="1091"/>
      <c r="AD51" s="1092"/>
      <c r="AE51" s="1066"/>
      <c r="AF51" s="1066"/>
      <c r="AG51" s="1066"/>
      <c r="AH51" s="1066"/>
      <c r="AI51" s="1066"/>
      <c r="AJ51" s="1066"/>
      <c r="AK51" s="1066"/>
      <c r="AL51" s="1066"/>
      <c r="AM51" s="1066"/>
      <c r="AN51" s="1114"/>
      <c r="AO51" s="1114"/>
      <c r="AP51" s="1066"/>
      <c r="AQ51" s="1066"/>
      <c r="AR51" s="1066"/>
      <c r="AS51" s="1066"/>
      <c r="AT51" s="1066"/>
      <c r="AU51" s="1066"/>
      <c r="AV51" s="1066"/>
      <c r="AW51" s="1066"/>
      <c r="AX51" s="1066"/>
      <c r="AY51" s="1066"/>
      <c r="AZ51" s="1066"/>
      <c r="BA51" s="1066"/>
      <c r="BB51" s="1091"/>
      <c r="BC51" s="995"/>
      <c r="BE51" s="151"/>
      <c r="BF51" s="151" t="str">
        <f t="shared" si="3"/>
        <v/>
      </c>
      <c r="BG51" s="151"/>
      <c r="BH51" s="151"/>
      <c r="BI51" s="44">
        <v>0</v>
      </c>
    </row>
    <row r="52" ht="11.55" customHeight="1" spans="1:61">
      <c r="A52" s="46" t="s">
        <v>242</v>
      </c>
      <c r="B52" s="46" t="s">
        <v>243</v>
      </c>
      <c r="C52" s="46" t="s">
        <v>244</v>
      </c>
      <c r="D52" s="46" t="s">
        <v>509</v>
      </c>
      <c r="E52" s="1053"/>
      <c r="F52" s="1053"/>
      <c r="G52" s="1053"/>
      <c r="H52" s="1053"/>
      <c r="I52" s="1058"/>
      <c r="J52" s="1058"/>
      <c r="K52" s="229" t="str">
        <f>S48&amp;".1"</f>
        <v>...1</v>
      </c>
      <c r="L52" s="1054"/>
      <c r="P52" s="93"/>
      <c r="Q52" s="93"/>
      <c r="R52" s="97">
        <v>1</v>
      </c>
      <c r="S52" s="1070" t="str">
        <f>$K52</f>
        <v>...1</v>
      </c>
      <c r="T52" s="1071"/>
      <c r="U52" s="84"/>
      <c r="V52" s="102"/>
      <c r="W52" s="138"/>
      <c r="X52" s="102"/>
      <c r="Y52" s="138"/>
      <c r="Z52" s="139"/>
      <c r="AA52" s="140" t="s">
        <v>66</v>
      </c>
      <c r="AB52" s="139"/>
      <c r="AC52" s="140" t="s">
        <v>66</v>
      </c>
      <c r="AD52" s="475" t="s">
        <v>66</v>
      </c>
      <c r="AE52" s="1093"/>
      <c r="AF52" s="664">
        <v>1</v>
      </c>
      <c r="AG52" s="1106"/>
      <c r="AH52" s="140" t="s">
        <v>66</v>
      </c>
      <c r="AI52" s="1093"/>
      <c r="AJ52" s="664">
        <v>1</v>
      </c>
      <c r="AK52" s="1107" t="s">
        <v>22</v>
      </c>
      <c r="AL52" s="140" t="s">
        <v>66</v>
      </c>
      <c r="AM52" s="903"/>
      <c r="AN52" s="664">
        <v>1</v>
      </c>
      <c r="AO52" s="1115"/>
      <c r="AP52" s="1116" t="s">
        <v>66</v>
      </c>
      <c r="AQ52" s="1117"/>
      <c r="AR52" s="664">
        <v>1</v>
      </c>
      <c r="AS52" s="449" t="s">
        <v>22</v>
      </c>
      <c r="AT52" s="102"/>
      <c r="AU52" s="138"/>
      <c r="AV52" s="102"/>
      <c r="AW52" s="138"/>
      <c r="AX52" s="139"/>
      <c r="AY52" s="140" t="s">
        <v>66</v>
      </c>
      <c r="AZ52" s="139"/>
      <c r="BA52" s="140" t="s">
        <v>66</v>
      </c>
      <c r="BB52" s="1120"/>
      <c r="BC52" s="141" t="s">
        <v>493</v>
      </c>
      <c r="BE52" s="151"/>
      <c r="BF52" s="151" t="str">
        <f t="shared" si="3"/>
        <v/>
      </c>
      <c r="BG52" s="151"/>
      <c r="BH52" s="151"/>
      <c r="BI52" s="43">
        <v>11</v>
      </c>
    </row>
    <row r="53" ht="11.55" customHeight="1" spans="1:61">
      <c r="A53" s="46"/>
      <c r="B53" s="46"/>
      <c r="C53" s="46"/>
      <c r="D53" s="46"/>
      <c r="E53" s="1053"/>
      <c r="F53" s="1053"/>
      <c r="G53" s="1053"/>
      <c r="H53" s="1053"/>
      <c r="I53" s="1058"/>
      <c r="J53" s="1058"/>
      <c r="K53" s="229"/>
      <c r="L53" s="1054"/>
      <c r="P53" s="93"/>
      <c r="Q53" s="93"/>
      <c r="R53" s="97"/>
      <c r="S53" s="1072"/>
      <c r="T53" s="1073"/>
      <c r="U53" s="84"/>
      <c r="V53" s="1074"/>
      <c r="W53" s="1075"/>
      <c r="X53" s="1074"/>
      <c r="Y53" s="1075"/>
      <c r="Z53" s="1074"/>
      <c r="AA53" s="1074"/>
      <c r="AB53" s="1074"/>
      <c r="AC53" s="1074"/>
      <c r="AD53" s="477"/>
      <c r="AE53" s="1093"/>
      <c r="AF53" s="664"/>
      <c r="AG53" s="1106"/>
      <c r="AH53" s="140"/>
      <c r="AI53" s="1093"/>
      <c r="AJ53" s="664"/>
      <c r="AK53" s="1107"/>
      <c r="AL53" s="140"/>
      <c r="AM53" s="907"/>
      <c r="AN53" s="664"/>
      <c r="AO53" s="1115"/>
      <c r="AP53" s="1118"/>
      <c r="AQ53" s="331"/>
      <c r="AR53" s="332"/>
      <c r="AS53" s="332" t="s">
        <v>494</v>
      </c>
      <c r="AT53" s="1074"/>
      <c r="AU53" s="1075"/>
      <c r="AV53" s="1074"/>
      <c r="AW53" s="1075"/>
      <c r="AX53" s="1074"/>
      <c r="AY53" s="1074"/>
      <c r="AZ53" s="1074"/>
      <c r="BA53" s="1074"/>
      <c r="BB53" s="1121"/>
      <c r="BC53" s="144"/>
      <c r="BE53" s="151"/>
      <c r="BF53" s="151"/>
      <c r="BG53" s="151"/>
      <c r="BH53" s="151"/>
      <c r="BI53" s="43">
        <v>11</v>
      </c>
    </row>
    <row r="54" ht="11.55" customHeight="1" spans="1:61">
      <c r="A54" s="46" t="s">
        <v>242</v>
      </c>
      <c r="B54" s="46"/>
      <c r="C54" s="46"/>
      <c r="D54" s="46"/>
      <c r="E54" s="1053"/>
      <c r="F54" s="1053"/>
      <c r="G54" s="1053"/>
      <c r="H54" s="1053"/>
      <c r="I54" s="1058"/>
      <c r="J54" s="1058"/>
      <c r="K54" s="229"/>
      <c r="L54" s="1054"/>
      <c r="P54" s="93"/>
      <c r="Q54" s="93"/>
      <c r="R54" s="97"/>
      <c r="S54" s="1072"/>
      <c r="T54" s="1073"/>
      <c r="U54" s="84"/>
      <c r="V54" s="1074"/>
      <c r="W54" s="1075"/>
      <c r="X54" s="1074"/>
      <c r="Y54" s="1075"/>
      <c r="Z54" s="1074"/>
      <c r="AA54" s="1074"/>
      <c r="AB54" s="1074"/>
      <c r="AC54" s="1074"/>
      <c r="AD54" s="477"/>
      <c r="AE54" s="1093"/>
      <c r="AF54" s="664"/>
      <c r="AG54" s="1106"/>
      <c r="AH54" s="140"/>
      <c r="AI54" s="1093"/>
      <c r="AJ54" s="664"/>
      <c r="AK54" s="1107"/>
      <c r="AL54" s="140"/>
      <c r="AM54" s="331"/>
      <c r="AN54" s="601"/>
      <c r="AO54" s="601" t="s">
        <v>495</v>
      </c>
      <c r="AP54" s="332"/>
      <c r="AQ54" s="332"/>
      <c r="AR54" s="332"/>
      <c r="AS54" s="1074"/>
      <c r="AT54" s="1074"/>
      <c r="AU54" s="1075"/>
      <c r="AV54" s="1074"/>
      <c r="AW54" s="1075"/>
      <c r="AX54" s="1074"/>
      <c r="AY54" s="1074"/>
      <c r="AZ54" s="1074"/>
      <c r="BA54" s="1074"/>
      <c r="BB54" s="1121"/>
      <c r="BC54" s="144"/>
      <c r="BE54" s="151"/>
      <c r="BF54" s="151"/>
      <c r="BG54" s="151"/>
      <c r="BH54" s="151"/>
      <c r="BI54" s="43">
        <v>11</v>
      </c>
    </row>
    <row r="55" ht="11.55" customHeight="1" spans="1:61">
      <c r="A55" s="46" t="s">
        <v>242</v>
      </c>
      <c r="B55" s="46"/>
      <c r="C55" s="46"/>
      <c r="D55" s="46"/>
      <c r="E55" s="1053"/>
      <c r="F55" s="1053"/>
      <c r="G55" s="1053"/>
      <c r="H55" s="1053"/>
      <c r="I55" s="1058"/>
      <c r="J55" s="1058"/>
      <c r="K55" s="229"/>
      <c r="L55" s="1054"/>
      <c r="P55" s="93"/>
      <c r="Q55" s="93"/>
      <c r="R55" s="97"/>
      <c r="S55" s="1072"/>
      <c r="T55" s="1073"/>
      <c r="U55" s="84"/>
      <c r="V55" s="1074"/>
      <c r="W55" s="1075"/>
      <c r="X55" s="1074"/>
      <c r="Y55" s="1075"/>
      <c r="Z55" s="1074"/>
      <c r="AA55" s="1074"/>
      <c r="AB55" s="1074"/>
      <c r="AC55" s="1074"/>
      <c r="AD55" s="477"/>
      <c r="AE55" s="1093"/>
      <c r="AF55" s="664"/>
      <c r="AG55" s="1106"/>
      <c r="AH55" s="140"/>
      <c r="AI55" s="911"/>
      <c r="AJ55" s="227"/>
      <c r="AK55" s="1108" t="s">
        <v>496</v>
      </c>
      <c r="AL55" s="1074"/>
      <c r="AM55" s="1074"/>
      <c r="AN55" s="1074"/>
      <c r="AO55" s="1074"/>
      <c r="AP55" s="1074"/>
      <c r="AQ55" s="1074"/>
      <c r="AR55" s="1074"/>
      <c r="AS55" s="1074"/>
      <c r="AT55" s="1074"/>
      <c r="AU55" s="1075"/>
      <c r="AV55" s="1074"/>
      <c r="AW55" s="1075"/>
      <c r="AX55" s="1074"/>
      <c r="AY55" s="1074"/>
      <c r="AZ55" s="1074"/>
      <c r="BA55" s="1074"/>
      <c r="BB55" s="1121"/>
      <c r="BC55" s="144"/>
      <c r="BE55" s="151"/>
      <c r="BF55" s="151"/>
      <c r="BG55" s="151"/>
      <c r="BH55" s="151"/>
      <c r="BI55" s="43">
        <v>11</v>
      </c>
    </row>
    <row r="56" ht="11.55" customHeight="1" spans="1:61">
      <c r="A56" s="46" t="s">
        <v>242</v>
      </c>
      <c r="B56" s="46" t="s">
        <v>243</v>
      </c>
      <c r="C56" s="46" t="s">
        <v>244</v>
      </c>
      <c r="D56" s="46" t="s">
        <v>509</v>
      </c>
      <c r="E56" s="1053"/>
      <c r="F56" s="1053"/>
      <c r="G56" s="1053"/>
      <c r="H56" s="1053"/>
      <c r="I56" s="1058"/>
      <c r="J56" s="1058"/>
      <c r="K56" s="229"/>
      <c r="L56" s="1054"/>
      <c r="P56" s="93"/>
      <c r="Q56" s="93"/>
      <c r="R56" s="97"/>
      <c r="S56" s="1076"/>
      <c r="T56" s="1077"/>
      <c r="U56" s="84"/>
      <c r="V56" s="1074"/>
      <c r="W56" s="1078" t="str">
        <f>Z52&amp;"-"&amp;AB52</f>
        <v>-</v>
      </c>
      <c r="X56" s="1074"/>
      <c r="Y56" s="1078" t="str">
        <f>AB52&amp;"-"&amp;AD52</f>
        <v>-да</v>
      </c>
      <c r="Z56" s="1074"/>
      <c r="AA56" s="1074"/>
      <c r="AB56" s="1074"/>
      <c r="AC56" s="1074"/>
      <c r="AD56" s="480"/>
      <c r="AE56" s="1094"/>
      <c r="AF56" s="1095"/>
      <c r="AG56" s="332" t="s">
        <v>497</v>
      </c>
      <c r="AH56" s="1074"/>
      <c r="AI56" s="1074"/>
      <c r="AJ56" s="1074"/>
      <c r="AK56" s="1074"/>
      <c r="AL56" s="1074"/>
      <c r="AM56" s="1074"/>
      <c r="AN56" s="1074"/>
      <c r="AO56" s="1074"/>
      <c r="AP56" s="1074"/>
      <c r="AQ56" s="1074"/>
      <c r="AR56" s="1074"/>
      <c r="AS56" s="1074"/>
      <c r="AT56" s="1074"/>
      <c r="AU56" s="1078" t="str">
        <f>AX52&amp;"-"&amp;AZ52</f>
        <v>-</v>
      </c>
      <c r="AV56" s="1074"/>
      <c r="AW56" s="1078" t="str">
        <f>AZ52&amp;"-"&amp;BB52</f>
        <v>-</v>
      </c>
      <c r="AX56" s="1074"/>
      <c r="AY56" s="1074"/>
      <c r="AZ56" s="1074"/>
      <c r="BA56" s="1074"/>
      <c r="BB56" s="1122" t="str">
        <f>BE52&amp;"-"&amp;BG52</f>
        <v>-</v>
      </c>
      <c r="BC56" s="144"/>
      <c r="BE56" s="151"/>
      <c r="BF56" s="151" t="str">
        <f t="shared" ref="BF56:BF63" si="4">IF(T56="","",T56)</f>
        <v/>
      </c>
      <c r="BG56" s="151"/>
      <c r="BH56" s="151"/>
      <c r="BI56" s="43">
        <v>11</v>
      </c>
    </row>
    <row r="57" ht="11.55" customHeight="1" spans="1:61">
      <c r="A57" s="46" t="s">
        <v>242</v>
      </c>
      <c r="B57" s="46" t="s">
        <v>243</v>
      </c>
      <c r="C57" s="46" t="s">
        <v>244</v>
      </c>
      <c r="D57" s="46" t="s">
        <v>509</v>
      </c>
      <c r="E57" s="1053"/>
      <c r="F57" s="1053"/>
      <c r="G57" s="1053"/>
      <c r="H57" s="1053"/>
      <c r="I57" s="1058"/>
      <c r="J57" s="229"/>
      <c r="K57" s="46"/>
      <c r="L57" s="1054"/>
      <c r="P57" s="93"/>
      <c r="Q57" s="93"/>
      <c r="R57" s="94"/>
      <c r="S57" s="105"/>
      <c r="T57" s="108" t="s">
        <v>460</v>
      </c>
      <c r="U57" s="107"/>
      <c r="V57" s="107"/>
      <c r="W57" s="107"/>
      <c r="X57" s="107"/>
      <c r="Y57" s="107"/>
      <c r="Z57" s="107"/>
      <c r="AA57" s="107"/>
      <c r="AB57" s="107"/>
      <c r="AC57" s="145"/>
      <c r="AD57" s="1096"/>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45"/>
      <c r="BC57" s="146"/>
      <c r="BE57" s="151"/>
      <c r="BF57" s="151" t="str">
        <f t="shared" si="4"/>
        <v>Добавить строку</v>
      </c>
      <c r="BG57" s="151"/>
      <c r="BH57" s="151"/>
      <c r="BI57" s="43">
        <v>11</v>
      </c>
    </row>
    <row r="58" s="44" customFormat="1" hidden="1" customHeight="1" spans="1:61">
      <c r="A58" s="590" t="s">
        <v>242</v>
      </c>
      <c r="B58" s="590" t="s">
        <v>243</v>
      </c>
      <c r="C58" s="590" t="s">
        <v>244</v>
      </c>
      <c r="D58" s="590" t="s">
        <v>509</v>
      </c>
      <c r="E58" s="1053"/>
      <c r="F58" s="1053"/>
      <c r="G58" s="1053"/>
      <c r="H58" s="1053"/>
      <c r="I58" s="229"/>
      <c r="J58" s="590"/>
      <c r="K58" s="590"/>
      <c r="L58" s="611"/>
      <c r="M58" s="1057"/>
      <c r="N58" s="1057"/>
      <c r="O58" s="1057"/>
      <c r="P58" s="93"/>
      <c r="Q58" s="93"/>
      <c r="R58" s="94"/>
      <c r="S58" s="1079"/>
      <c r="T58" s="1080"/>
      <c r="U58" s="1081"/>
      <c r="V58" s="1081"/>
      <c r="W58" s="1081"/>
      <c r="X58" s="1081"/>
      <c r="Y58" s="1081"/>
      <c r="Z58" s="1081"/>
      <c r="AA58" s="1081"/>
      <c r="AB58" s="1081"/>
      <c r="AC58" s="1081"/>
      <c r="AD58" s="1081"/>
      <c r="AE58" s="1081"/>
      <c r="AF58" s="1081"/>
      <c r="AG58" s="1081"/>
      <c r="AH58" s="1081"/>
      <c r="AI58" s="1081"/>
      <c r="AJ58" s="1081"/>
      <c r="AK58" s="1081"/>
      <c r="AL58" s="1081"/>
      <c r="AM58" s="1081"/>
      <c r="AN58" s="1081"/>
      <c r="AO58" s="1081"/>
      <c r="AP58" s="1081"/>
      <c r="AQ58" s="1081"/>
      <c r="AR58" s="1081"/>
      <c r="AS58" s="1081"/>
      <c r="AT58" s="1081"/>
      <c r="AU58" s="1081"/>
      <c r="AV58" s="1081"/>
      <c r="AW58" s="1081"/>
      <c r="AX58" s="1081"/>
      <c r="AY58" s="1081"/>
      <c r="AZ58" s="1081"/>
      <c r="BA58" s="1081"/>
      <c r="BB58" s="1081"/>
      <c r="BC58" s="1123"/>
      <c r="BE58" s="151"/>
      <c r="BF58" s="151" t="str">
        <f t="shared" si="4"/>
        <v/>
      </c>
      <c r="BG58" s="151"/>
      <c r="BH58" s="151"/>
      <c r="BI58" s="44">
        <v>0</v>
      </c>
    </row>
    <row r="59" s="44" customFormat="1" hidden="1" customHeight="1" spans="1:61">
      <c r="A59" s="590" t="s">
        <v>242</v>
      </c>
      <c r="B59" s="590" t="s">
        <v>243</v>
      </c>
      <c r="C59" s="590" t="s">
        <v>244</v>
      </c>
      <c r="D59" s="590" t="s">
        <v>509</v>
      </c>
      <c r="E59" s="1053"/>
      <c r="F59" s="1053"/>
      <c r="G59" s="1053"/>
      <c r="H59" s="1052"/>
      <c r="I59" s="590"/>
      <c r="J59" s="590"/>
      <c r="K59" s="590"/>
      <c r="L59" s="611"/>
      <c r="M59" s="283"/>
      <c r="N59" s="283"/>
      <c r="P59" s="152"/>
      <c r="Q59" s="1082"/>
      <c r="R59" s="1083"/>
      <c r="S59" s="1079"/>
      <c r="T59" s="1080"/>
      <c r="U59" s="1081"/>
      <c r="V59" s="1081"/>
      <c r="W59" s="1081"/>
      <c r="X59" s="1081"/>
      <c r="Y59" s="1081"/>
      <c r="Z59" s="1081"/>
      <c r="AA59" s="1081"/>
      <c r="AB59" s="1081"/>
      <c r="AC59" s="1081"/>
      <c r="AD59" s="1081"/>
      <c r="AE59" s="1081"/>
      <c r="AF59" s="1081"/>
      <c r="AG59" s="1081"/>
      <c r="AH59" s="1081"/>
      <c r="AI59" s="1081"/>
      <c r="AJ59" s="1081"/>
      <c r="AK59" s="1081"/>
      <c r="AL59" s="1081"/>
      <c r="AM59" s="1081"/>
      <c r="AN59" s="1081"/>
      <c r="AO59" s="1081"/>
      <c r="AP59" s="1081"/>
      <c r="AQ59" s="1081"/>
      <c r="AR59" s="1081"/>
      <c r="AS59" s="1081"/>
      <c r="AT59" s="1081"/>
      <c r="AU59" s="1081"/>
      <c r="AV59" s="1081"/>
      <c r="AW59" s="1081"/>
      <c r="AX59" s="1081"/>
      <c r="AY59" s="1081"/>
      <c r="AZ59" s="1081"/>
      <c r="BA59" s="1081"/>
      <c r="BB59" s="1081"/>
      <c r="BC59" s="1123"/>
      <c r="BE59" s="151"/>
      <c r="BF59" s="151" t="str">
        <f t="shared" si="4"/>
        <v/>
      </c>
      <c r="BG59" s="151"/>
      <c r="BH59" s="151"/>
      <c r="BI59" s="44">
        <v>0</v>
      </c>
    </row>
    <row r="60" s="44" customFormat="1" hidden="1" customHeight="1" spans="1:61">
      <c r="A60" s="590" t="s">
        <v>242</v>
      </c>
      <c r="B60" s="590" t="s">
        <v>243</v>
      </c>
      <c r="C60" s="590" t="s">
        <v>244</v>
      </c>
      <c r="D60" s="590"/>
      <c r="E60" s="1053"/>
      <c r="F60" s="1053"/>
      <c r="G60" s="1052"/>
      <c r="H60" s="590"/>
      <c r="I60" s="590"/>
      <c r="J60" s="590"/>
      <c r="K60" s="590"/>
      <c r="L60" s="611"/>
      <c r="M60" s="283"/>
      <c r="N60" s="283"/>
      <c r="P60" s="152"/>
      <c r="Q60" s="1082"/>
      <c r="R60" s="152"/>
      <c r="S60" s="1084"/>
      <c r="T60" s="1085"/>
      <c r="U60" s="307"/>
      <c r="V60" s="307"/>
      <c r="W60" s="307"/>
      <c r="X60" s="307"/>
      <c r="Y60" s="307"/>
      <c r="Z60" s="307"/>
      <c r="AA60" s="307"/>
      <c r="AB60" s="307"/>
      <c r="AC60" s="307"/>
      <c r="AD60" s="307"/>
      <c r="AE60" s="307"/>
      <c r="AF60" s="307"/>
      <c r="AG60" s="307"/>
      <c r="AH60" s="307"/>
      <c r="AI60" s="307"/>
      <c r="AJ60" s="307"/>
      <c r="AK60" s="307"/>
      <c r="AL60" s="307"/>
      <c r="AM60" s="307"/>
      <c r="AN60" s="307"/>
      <c r="AO60" s="307"/>
      <c r="AP60" s="307"/>
      <c r="AQ60" s="307"/>
      <c r="AR60" s="307"/>
      <c r="AS60" s="307"/>
      <c r="AT60" s="307"/>
      <c r="AU60" s="307"/>
      <c r="AV60" s="307"/>
      <c r="AW60" s="307"/>
      <c r="AX60" s="307"/>
      <c r="AY60" s="307"/>
      <c r="AZ60" s="307"/>
      <c r="BA60" s="307"/>
      <c r="BB60" s="307"/>
      <c r="BC60" s="307"/>
      <c r="BE60" s="151"/>
      <c r="BF60" s="151" t="str">
        <f t="shared" si="4"/>
        <v/>
      </c>
      <c r="BG60" s="151"/>
      <c r="BH60" s="151"/>
      <c r="BI60" s="44">
        <v>0</v>
      </c>
    </row>
    <row r="61" s="44" customFormat="1" hidden="1" customHeight="1" spans="1:61">
      <c r="A61" s="590" t="s">
        <v>242</v>
      </c>
      <c r="B61" s="590" t="s">
        <v>243</v>
      </c>
      <c r="C61" s="590"/>
      <c r="D61" s="590"/>
      <c r="E61" s="1053"/>
      <c r="F61" s="1052"/>
      <c r="G61" s="590"/>
      <c r="H61" s="590"/>
      <c r="I61" s="590"/>
      <c r="J61" s="590"/>
      <c r="K61" s="590"/>
      <c r="L61" s="611"/>
      <c r="M61" s="1059"/>
      <c r="N61" s="1059"/>
      <c r="P61" s="152"/>
      <c r="Q61" s="1082"/>
      <c r="R61" s="152"/>
      <c r="S61" s="1084"/>
      <c r="T61" s="1085" t="s">
        <v>411</v>
      </c>
      <c r="U61" s="307"/>
      <c r="V61" s="307"/>
      <c r="W61" s="307"/>
      <c r="X61" s="307"/>
      <c r="Y61" s="307"/>
      <c r="Z61" s="307"/>
      <c r="AA61" s="307"/>
      <c r="AB61" s="307"/>
      <c r="AC61" s="307"/>
      <c r="AD61" s="307"/>
      <c r="AE61" s="307"/>
      <c r="AF61" s="307"/>
      <c r="AG61" s="307"/>
      <c r="AH61" s="307"/>
      <c r="AI61" s="307"/>
      <c r="AJ61" s="307"/>
      <c r="AK61" s="307"/>
      <c r="AL61" s="307"/>
      <c r="AM61" s="307"/>
      <c r="AN61" s="307"/>
      <c r="AO61" s="307"/>
      <c r="AP61" s="307"/>
      <c r="AQ61" s="307"/>
      <c r="AR61" s="307"/>
      <c r="AS61" s="307"/>
      <c r="AT61" s="307"/>
      <c r="AU61" s="307"/>
      <c r="AV61" s="307"/>
      <c r="AW61" s="307"/>
      <c r="AX61" s="307"/>
      <c r="AY61" s="307"/>
      <c r="AZ61" s="307"/>
      <c r="BA61" s="307"/>
      <c r="BB61" s="307"/>
      <c r="BC61" s="307"/>
      <c r="BE61" s="151"/>
      <c r="BF61" s="151" t="str">
        <f t="shared" si="4"/>
        <v>Добавить централизованную систему для дифференциации</v>
      </c>
      <c r="BG61" s="151"/>
      <c r="BH61" s="151"/>
      <c r="BI61" s="44">
        <v>0</v>
      </c>
    </row>
    <row r="62" s="44" customFormat="1" hidden="1" customHeight="1" spans="1:61">
      <c r="A62" s="590" t="s">
        <v>242</v>
      </c>
      <c r="B62" s="590"/>
      <c r="C62" s="590"/>
      <c r="D62" s="590"/>
      <c r="E62" s="1052"/>
      <c r="F62" s="590"/>
      <c r="G62" s="590"/>
      <c r="H62" s="590"/>
      <c r="I62" s="590"/>
      <c r="J62" s="590"/>
      <c r="K62" s="590"/>
      <c r="L62" s="611"/>
      <c r="M62" s="1059"/>
      <c r="N62" s="1059"/>
      <c r="P62" s="152"/>
      <c r="Q62" s="1082"/>
      <c r="R62" s="152"/>
      <c r="S62" s="1084"/>
      <c r="T62" s="1085" t="s">
        <v>412</v>
      </c>
      <c r="U62" s="307"/>
      <c r="V62" s="307"/>
      <c r="W62" s="307"/>
      <c r="X62" s="307"/>
      <c r="Y62" s="307"/>
      <c r="Z62" s="307"/>
      <c r="AA62" s="307"/>
      <c r="AB62" s="307"/>
      <c r="AC62" s="307"/>
      <c r="AD62" s="307"/>
      <c r="AE62" s="307"/>
      <c r="AF62" s="307"/>
      <c r="AG62" s="307"/>
      <c r="AH62" s="307"/>
      <c r="AI62" s="307"/>
      <c r="AJ62" s="307"/>
      <c r="AK62" s="307"/>
      <c r="AL62" s="307"/>
      <c r="AM62" s="307"/>
      <c r="AN62" s="307"/>
      <c r="AO62" s="307"/>
      <c r="AP62" s="307"/>
      <c r="AQ62" s="307"/>
      <c r="AR62" s="307"/>
      <c r="AS62" s="307"/>
      <c r="AT62" s="307"/>
      <c r="AU62" s="307"/>
      <c r="AV62" s="307"/>
      <c r="AW62" s="307"/>
      <c r="AX62" s="307"/>
      <c r="AY62" s="307"/>
      <c r="AZ62" s="307"/>
      <c r="BA62" s="307"/>
      <c r="BB62" s="307"/>
      <c r="BC62" s="307"/>
      <c r="BE62" s="151"/>
      <c r="BF62" s="151" t="str">
        <f t="shared" si="4"/>
        <v>Добавить территорию для дифференциации</v>
      </c>
      <c r="BG62" s="151"/>
      <c r="BH62" s="151"/>
      <c r="BI62" s="44">
        <v>0</v>
      </c>
    </row>
    <row r="63" s="44" customFormat="1" hidden="1" customHeight="1" spans="1:61">
      <c r="A63" s="590"/>
      <c r="B63" s="590"/>
      <c r="C63" s="590"/>
      <c r="D63" s="590"/>
      <c r="E63" s="590"/>
      <c r="F63" s="590"/>
      <c r="G63" s="590"/>
      <c r="H63" s="590"/>
      <c r="I63" s="590"/>
      <c r="J63" s="590"/>
      <c r="K63" s="590"/>
      <c r="L63" s="611"/>
      <c r="M63" s="1059"/>
      <c r="N63" s="1059"/>
      <c r="P63" s="152"/>
      <c r="Q63" s="1082"/>
      <c r="R63" s="152"/>
      <c r="S63" s="1084"/>
      <c r="T63" s="1085" t="s">
        <v>440</v>
      </c>
      <c r="U63" s="307"/>
      <c r="V63" s="307"/>
      <c r="W63" s="307"/>
      <c r="X63" s="307"/>
      <c r="Y63" s="307"/>
      <c r="Z63" s="307"/>
      <c r="AA63" s="307"/>
      <c r="AB63" s="307"/>
      <c r="AC63" s="307"/>
      <c r="AD63" s="307"/>
      <c r="AE63" s="307"/>
      <c r="AF63" s="307"/>
      <c r="AG63" s="307"/>
      <c r="AH63" s="307"/>
      <c r="AI63" s="307"/>
      <c r="AJ63" s="307"/>
      <c r="AK63" s="307"/>
      <c r="AL63" s="307"/>
      <c r="AM63" s="307"/>
      <c r="AN63" s="307"/>
      <c r="AO63" s="307"/>
      <c r="AP63" s="307"/>
      <c r="AQ63" s="307"/>
      <c r="AR63" s="307"/>
      <c r="AS63" s="307"/>
      <c r="AT63" s="307"/>
      <c r="AU63" s="307"/>
      <c r="AV63" s="307"/>
      <c r="AW63" s="307"/>
      <c r="AX63" s="307"/>
      <c r="AY63" s="307"/>
      <c r="AZ63" s="307"/>
      <c r="BA63" s="307"/>
      <c r="BB63" s="307"/>
      <c r="BC63" s="307"/>
      <c r="BE63" s="151"/>
      <c r="BF63" s="151" t="str">
        <f t="shared" si="4"/>
        <v>Добавить наименование тарифа</v>
      </c>
      <c r="BG63" s="151"/>
      <c r="BH63" s="151"/>
      <c r="BI63" s="44">
        <v>0</v>
      </c>
    </row>
    <row r="64" ht="11.55" customHeight="1" spans="13:61">
      <c r="M64" s="38"/>
      <c r="N64" s="38"/>
      <c r="O64" s="38"/>
      <c r="P64" s="38"/>
      <c r="Q64" s="38"/>
      <c r="R64" s="43"/>
      <c r="S64" s="43"/>
      <c r="BD64" s="43"/>
      <c r="BE64" s="43"/>
      <c r="BF64" s="43"/>
      <c r="BG64" s="43"/>
      <c r="BH64" s="43"/>
      <c r="BI64" s="43">
        <v>11</v>
      </c>
    </row>
    <row r="65" ht="19.95" customHeight="1" spans="15:61">
      <c r="O65" s="38"/>
      <c r="S65" s="786"/>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I65" s="43">
        <v>19</v>
      </c>
    </row>
    <row r="66" ht="14.7" customHeight="1" spans="15:61">
      <c r="O66" s="38"/>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I66" s="43">
        <v>14</v>
      </c>
    </row>
    <row r="67" ht="19.95" customHeight="1" spans="15:61">
      <c r="O67" s="38"/>
      <c r="S67" s="786"/>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I67" s="43">
        <v>19</v>
      </c>
    </row>
    <row r="68" ht="14.7" customHeight="1" spans="15:61">
      <c r="O68" s="38"/>
      <c r="BI68" s="43">
        <v>14</v>
      </c>
    </row>
    <row r="69" hidden="1" customHeight="1" spans="1:61">
      <c r="A69" s="38" t="s">
        <v>83</v>
      </c>
      <c r="B69" s="38">
        <v>0</v>
      </c>
      <c r="C69" s="38">
        <v>0</v>
      </c>
      <c r="D69" s="38">
        <v>0</v>
      </c>
      <c r="E69" s="38">
        <v>0</v>
      </c>
      <c r="F69" s="38">
        <v>0</v>
      </c>
      <c r="G69" s="38">
        <v>0</v>
      </c>
      <c r="H69" s="38">
        <v>0</v>
      </c>
      <c r="I69" s="38">
        <v>0</v>
      </c>
      <c r="J69" s="38">
        <v>0</v>
      </c>
      <c r="K69" s="38">
        <v>0</v>
      </c>
      <c r="L69" s="48">
        <v>0</v>
      </c>
      <c r="M69" s="39">
        <v>0</v>
      </c>
      <c r="N69" s="39">
        <v>0</v>
      </c>
      <c r="O69" s="39">
        <v>0</v>
      </c>
      <c r="P69" s="39">
        <v>0</v>
      </c>
      <c r="Q69" s="1051">
        <v>0</v>
      </c>
      <c r="R69" s="41">
        <v>3</v>
      </c>
      <c r="S69" s="42">
        <v>12</v>
      </c>
      <c r="T69" s="43">
        <v>31</v>
      </c>
      <c r="U69" s="43">
        <v>0</v>
      </c>
      <c r="V69" s="43">
        <v>0</v>
      </c>
      <c r="W69" s="43">
        <v>0</v>
      </c>
      <c r="X69" s="43">
        <v>0</v>
      </c>
      <c r="Y69" s="43">
        <v>0</v>
      </c>
      <c r="Z69" s="43">
        <v>0</v>
      </c>
      <c r="AA69" s="43">
        <v>0</v>
      </c>
      <c r="AB69" s="43">
        <v>0</v>
      </c>
      <c r="AC69" s="43">
        <v>0</v>
      </c>
      <c r="AD69" s="43">
        <v>3</v>
      </c>
      <c r="AE69" s="43">
        <v>3</v>
      </c>
      <c r="AF69" s="43">
        <v>3</v>
      </c>
      <c r="AG69" s="43">
        <v>24</v>
      </c>
      <c r="AH69" s="43">
        <v>3</v>
      </c>
      <c r="AI69" s="43">
        <v>3</v>
      </c>
      <c r="AJ69" s="43">
        <v>3</v>
      </c>
      <c r="AK69" s="43">
        <v>24</v>
      </c>
      <c r="AL69" s="43">
        <v>3</v>
      </c>
      <c r="AM69" s="43">
        <v>3</v>
      </c>
      <c r="AN69" s="43">
        <v>3</v>
      </c>
      <c r="AO69" s="43">
        <v>18</v>
      </c>
      <c r="AP69" s="43">
        <v>3</v>
      </c>
      <c r="AQ69" s="43">
        <v>3</v>
      </c>
      <c r="AR69" s="43">
        <v>3</v>
      </c>
      <c r="AS69" s="43">
        <v>18</v>
      </c>
      <c r="AT69" s="43">
        <v>21</v>
      </c>
      <c r="AU69" s="43">
        <v>21</v>
      </c>
      <c r="AV69" s="43">
        <v>21</v>
      </c>
      <c r="AW69" s="43">
        <v>21</v>
      </c>
      <c r="AX69" s="43">
        <v>11</v>
      </c>
      <c r="AY69" s="43">
        <v>3</v>
      </c>
      <c r="AZ69" s="43">
        <v>11</v>
      </c>
      <c r="BA69" s="43">
        <v>0</v>
      </c>
      <c r="BB69" s="43">
        <v>4</v>
      </c>
      <c r="BC69" s="43">
        <v>115</v>
      </c>
      <c r="BD69" s="44">
        <v>10</v>
      </c>
      <c r="BE69" s="44">
        <v>10</v>
      </c>
      <c r="BF69" s="44">
        <v>10</v>
      </c>
      <c r="BG69" s="44">
        <v>10</v>
      </c>
      <c r="BH69" s="44">
        <v>10</v>
      </c>
      <c r="BI69" s="43">
        <v>23</v>
      </c>
    </row>
  </sheetData>
  <sheetProtection formatColumns="0" formatRows="0" insertRows="0" deleteColumns="0" deleteRows="0" sort="0" autoFilter="0"/>
  <mergeCells count="122">
    <mergeCell ref="V2:AC2"/>
    <mergeCell ref="AD2:BB2"/>
    <mergeCell ref="V3:AC3"/>
    <mergeCell ref="AD3:BB3"/>
    <mergeCell ref="V4:AC4"/>
    <mergeCell ref="AD4:BB4"/>
    <mergeCell ref="V5:AC5"/>
    <mergeCell ref="AD5:BB5"/>
    <mergeCell ref="V6:AC6"/>
    <mergeCell ref="AD6:BB6"/>
    <mergeCell ref="V7:AC7"/>
    <mergeCell ref="AD7:BB7"/>
    <mergeCell ref="S28:AZ28"/>
    <mergeCell ref="S29:AZ29"/>
    <mergeCell ref="S31:T31"/>
    <mergeCell ref="V31:AB31"/>
    <mergeCell ref="AD31:AZ31"/>
    <mergeCell ref="S32:T32"/>
    <mergeCell ref="V32:AB32"/>
    <mergeCell ref="AD32:AZ32"/>
    <mergeCell ref="S33:T33"/>
    <mergeCell ref="V33:AB33"/>
    <mergeCell ref="AD33:AZ33"/>
    <mergeCell ref="S34:T34"/>
    <mergeCell ref="V34:AB34"/>
    <mergeCell ref="AD34:AZ34"/>
    <mergeCell ref="S36:T36"/>
    <mergeCell ref="V36:AB36"/>
    <mergeCell ref="AD36:AZ36"/>
    <mergeCell ref="S37:T37"/>
    <mergeCell ref="V37:AB37"/>
    <mergeCell ref="AD37:AZ37"/>
    <mergeCell ref="V39:AC39"/>
    <mergeCell ref="AD39:BA39"/>
    <mergeCell ref="S40:BB40"/>
    <mergeCell ref="V41:AB41"/>
    <mergeCell ref="AT41:AZ41"/>
    <mergeCell ref="AA44:AB44"/>
    <mergeCell ref="AY44:AZ44"/>
    <mergeCell ref="AA45:AB45"/>
    <mergeCell ref="AY45:AZ45"/>
    <mergeCell ref="V46:AC46"/>
    <mergeCell ref="AD46:BB46"/>
    <mergeCell ref="V47:AC47"/>
    <mergeCell ref="AD47:BB47"/>
    <mergeCell ref="V48:AC48"/>
    <mergeCell ref="AD48:BB48"/>
    <mergeCell ref="V49:AC49"/>
    <mergeCell ref="AD49:BB49"/>
    <mergeCell ref="V50:AC50"/>
    <mergeCell ref="AD50:BB50"/>
    <mergeCell ref="V51:AC51"/>
    <mergeCell ref="AD51:BB51"/>
    <mergeCell ref="T65:BC65"/>
    <mergeCell ref="T67:BC67"/>
    <mergeCell ref="E2:E18"/>
    <mergeCell ref="E46:E62"/>
    <mergeCell ref="F3:F17"/>
    <mergeCell ref="F47:F61"/>
    <mergeCell ref="G4:G16"/>
    <mergeCell ref="G48:G60"/>
    <mergeCell ref="H5:H15"/>
    <mergeCell ref="H49:H59"/>
    <mergeCell ref="I6:I14"/>
    <mergeCell ref="I50:I58"/>
    <mergeCell ref="J7:J13"/>
    <mergeCell ref="J51:J57"/>
    <mergeCell ref="K8:K12"/>
    <mergeCell ref="K52:K56"/>
    <mergeCell ref="P6:P14"/>
    <mergeCell ref="P50:P58"/>
    <mergeCell ref="Q7:Q13"/>
    <mergeCell ref="Q51:Q57"/>
    <mergeCell ref="R8:R12"/>
    <mergeCell ref="S8:S12"/>
    <mergeCell ref="S41:S44"/>
    <mergeCell ref="S52:S56"/>
    <mergeCell ref="T8:T12"/>
    <mergeCell ref="T41:T44"/>
    <mergeCell ref="T52:T56"/>
    <mergeCell ref="AC41:AC44"/>
    <mergeCell ref="AD8:AD12"/>
    <mergeCell ref="AD52:AD56"/>
    <mergeCell ref="AE8:AE11"/>
    <mergeCell ref="AE52:AE55"/>
    <mergeCell ref="AF8:AF11"/>
    <mergeCell ref="AF52:AF55"/>
    <mergeCell ref="AG8:AG11"/>
    <mergeCell ref="AG52:AG55"/>
    <mergeCell ref="AH8:AH11"/>
    <mergeCell ref="AH52:AH55"/>
    <mergeCell ref="AI8:AI10"/>
    <mergeCell ref="AI52:AI54"/>
    <mergeCell ref="AJ8:AJ10"/>
    <mergeCell ref="AJ52:AJ54"/>
    <mergeCell ref="AK8:AK10"/>
    <mergeCell ref="AK52:AK54"/>
    <mergeCell ref="AL8:AL10"/>
    <mergeCell ref="AL52:AL54"/>
    <mergeCell ref="AM8:AM9"/>
    <mergeCell ref="AM52:AM53"/>
    <mergeCell ref="AN8:AN9"/>
    <mergeCell ref="AN52:AN53"/>
    <mergeCell ref="AO8:AO9"/>
    <mergeCell ref="AO52:AO53"/>
    <mergeCell ref="AP8:AP9"/>
    <mergeCell ref="AP52:AP53"/>
    <mergeCell ref="BA41:BA44"/>
    <mergeCell ref="BB41:BB44"/>
    <mergeCell ref="BC8:BC13"/>
    <mergeCell ref="BC40:BC44"/>
    <mergeCell ref="BC52:BC57"/>
    <mergeCell ref="AD41:AG44"/>
    <mergeCell ref="AH41:AK44"/>
    <mergeCell ref="AL41:AO44"/>
    <mergeCell ref="AP41:AS44"/>
    <mergeCell ref="V42:W43"/>
    <mergeCell ref="X42:Y43"/>
    <mergeCell ref="AT42:AU43"/>
    <mergeCell ref="AV42:AW43"/>
    <mergeCell ref="Z42:AB43"/>
    <mergeCell ref="AX42:AZ43"/>
  </mergeCells>
  <dataValidations count="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X8 AZ8 AX20 AZ20 Z52 AB52 AX52 AZ52 Z65589 AB65589 AX65589 AZ65589 Z131125 AB131125 AX131125 AZ131125 Z196661 AB196661 AX196661 AZ196661 Z262197 AB262197 AX262197 AZ262197 Z327733 AB327733 AX327733 AZ327733 Z393269 AB393269 AX393269 AZ393269 Z458805 AB458805 AX458805 AZ458805 Z524341 AB524341 AX524341 AZ524341 Z589877 AB589877 AX589877 AZ589877 Z655413 AB655413 AX655413 AZ655413 Z720949 AB720949 AX720949 AZ720949 Z786485 AB786485 AX786485 AZ786485 Z852021 AB852021 AX852021 AZ852021 Z917557 AB917557 AX917557 AZ917557 Z983093 AB983093 AX983093 AZ983093"/>
    <dataValidation allowBlank="1" showInputMessage="1" showErrorMessage="1" prompt="Для выбора выполните двойной щелчок левой клавиши мыши по соответствующей ячейке." sqref="AA8 AC8:AD8 AP8 AY8 BA8 AD20 AG20:AH20 AK20:AL20 AP20 AY20 BA20 AA52 AC52:AD52 AP52 AY52 BA52 AA65589 AC65589 AY65589 BA65589 AA131125 AC131125 AY131125 BA131125 AA196661 AC196661 AY196661 BA196661 AA262197 AC262197 AY262197 BA262197 AA327733 AC327733 AY327733 BA327733 AA393269 AC393269 AY393269 BA393269 AA458805 AC458805 AY458805 BA458805 AA524341 AC524341 AY524341 BA524341 AA589877 AC589877 AY589877 BA589877 AA655413 AC655413 AY655413 BA655413 AA720949 AC720949 AY720949 BA720949 AA786485 AC786485 AY786485 BA786485 AA852021 AC852021 AY852021 BA852021 AA917557 AC917557 AY917557 BA917557 AA983093 AC983093 AY983093 BA983093 AH8:AH9 AH52:AH53 AK8:AL9 AK52:AL53"/>
    <dataValidation type="textLength" operator="lessThanOrEqual" allowBlank="1" showInputMessage="1" showErrorMessage="1" errorTitle="Ошибка" error="Допускается ввод не более 900 символов!" sqref="AS8 AS52 T8:T12 T52:T56 BC65583:BC65590 BC131119:BC131126 BC196655:BC196662 BC262191:BC262198 BC327727:BC327734 BC393263:BC393270 BC458799:BC458806 BC524335:BC524342 BC589871:BC589878 BC655407:BC655414 BC720943:BC720950 BC786479:BC786486 BC852015:BC852022 BC917551:BC917558 BC983087:BC983094">
      <formula1>900</formula1>
    </dataValidation>
    <dataValidation allowBlank="1" promptTitle="checkPeriodRange" sqref="W12 Y12 AU12 AW12 BB12 W56 Y56 AU56 AW56 BB56 W65590 Y65590 AW65590 W131126 Y131126 AW131126 W196662 Y196662 AW196662 W262198 Y262198 AW262198 W327734 Y327734 AW327734 W393270 Y393270 AW393270 W458806 Y458806 AW458806 W524342 Y524342 AW524342 W589878 Y589878 AW589878 W655414 Y655414 AW655414 W720950 Y720950 AW720950 W786486 Y786486 AW786486 W852022 Y852022 AW852022 W917558 Y917558 AW917558 W983094 Y983094 AW983094"/>
    <dataValidation type="list" allowBlank="1" showInputMessage="1" showErrorMessage="1" errorTitle="Ошибка" error="Выберите значение из списка" sqref="AD65587:AS65587 AD131123:AS131123 AD196659:AS196659 AD262195:AS262195 AD327731:AS327731 AD393267:AS393267 AD458803:AS458803 AD524339:AS524339 AD589875:AS589875 AD655411:AS655411 AD720947:AS720947 AD786483:AS786483 AD852019:AS852019 AD917555:AS917555 AD983091:AS983091">
      <formula1>kind_of_scheme_in</formula1>
    </dataValidation>
    <dataValidation type="list" allowBlank="1" showInputMessage="1" errorTitle="Ошибка" error="Выберите значение из списка" prompt="Выберите значение из списка" sqref="V65588:BB65588 V131124:BB131124 V196660:BB196660 V262196:BB262196 V327732:BB327732 V393268:BB393268 V458804:BB458804 V524340:BB524340 V589876:BB589876 V655412:BB655412 V720948:BB720948 V786484:BB786484 V852020:BB852020 V917556:BB917556 V983092:BB983092">
      <formula1>kind_of_cons</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decimal" operator="between" allowBlank="1" showErrorMessage="1" errorTitle="Ошибка" error="Допускается ввод только действительных чисел!" sqref="AG8:AG11 AG52:AG55 AO8:AO9 AO52:AO53">
      <formula1>-9.99999999999999E+23</formula1>
      <formula2>9.99999999999999E+23</formula2>
    </dataValidation>
    <dataValidation allowBlank="1" sqref="S65591:BC65597 S524343:BC524349 S983095:BC983101 S458807:BC458813 S917559:BC917565 S393271:BC393277 S852023:BC852029 S327735:BC327741 S786487:BC786493 S262199:BC262205 S720951:BC720957 S196663:BC196669 S655415:BC655421 S131127:BC131133 S589879:BC589885"/>
  </dataValidations>
  <pageMargins left="0.7" right="0.7" top="0.75" bottom="0.75" header="0.3" footer="0.3"/>
  <pageSetup paperSize="1"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4.1428571428571" style="38" hidden="1" customWidth="1"/>
    <col min="10" max="10" width="9.84761904761905" style="38" hidden="1" customWidth="1"/>
    <col min="11" max="11" width="14.7142857142857"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5" style="43" customWidth="1"/>
    <col min="21" max="21" width="0.142857142857143" style="43" customWidth="1"/>
    <col min="22" max="24" width="24.7142857142857" style="43" hidden="1" customWidth="1"/>
    <col min="25" max="25" width="11.7142857142857" style="43" hidden="1" customWidth="1"/>
    <col min="26" max="26" width="3.71428571428571" style="43" hidden="1" customWidth="1"/>
    <col min="27" max="27" width="11.7142857142857" style="43" hidden="1" customWidth="1"/>
    <col min="28" max="28" width="8.57142857142857" style="43" hidden="1" customWidth="1"/>
    <col min="29" max="29" width="24.7142857142857" style="43" customWidth="1"/>
    <col min="30" max="31" width="24" style="43" customWidth="1"/>
    <col min="32" max="32" width="11" style="43" customWidth="1"/>
    <col min="33" max="33" width="3.71428571428571" style="43" customWidth="1"/>
    <col min="34" max="34" width="11" style="43" customWidth="1"/>
    <col min="35" max="35" width="8.57142857142857" style="43" hidden="1" customWidth="1"/>
    <col min="36" max="36" width="4" style="43" customWidth="1"/>
    <col min="37" max="37" width="115" style="43" customWidth="1"/>
    <col min="38" max="42" width="10" style="44" customWidth="1"/>
    <col min="43" max="43" width="10.5714285714286" style="43" hidden="1"/>
  </cols>
  <sheetData>
    <row r="1" ht="22.5" hidden="1" customHeight="1" spans="43:43">
      <c r="AQ1" s="43" t="s">
        <v>14</v>
      </c>
    </row>
    <row r="2" ht="23.25" hidden="1" customHeight="1" spans="1:43">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89"/>
      <c r="AC2" s="1090" t="e">
        <f>INDEX(PT_DIFFERENTIATION_NTAR,MATCH(A2,PT_DIFFERENTIATION_NTAR_ID,0))</f>
        <v>#N/A</v>
      </c>
      <c r="AD2" s="1061"/>
      <c r="AE2" s="1061"/>
      <c r="AF2" s="1061"/>
      <c r="AG2" s="1061"/>
      <c r="AH2" s="1061"/>
      <c r="AI2" s="1061"/>
      <c r="AJ2" s="1089"/>
      <c r="AK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51"/>
      <c r="AN2" s="151" t="str">
        <f t="shared" ref="AN2:AN13" si="0">IF(T2="","",T2)</f>
        <v>Наименование тарифа</v>
      </c>
      <c r="AO2" s="151"/>
      <c r="AP2" s="151"/>
      <c r="AQ2" s="43">
        <v>0</v>
      </c>
    </row>
    <row r="3" ht="23.25" hidden="1" customHeight="1" spans="1:43">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89"/>
      <c r="AC3" s="1090" t="e">
        <f>INDEX(PT_DIFFERENTIATION_TER,MATCH(B3,PT_DIFFERENTIATION_TER_ID,0))</f>
        <v>#N/A</v>
      </c>
      <c r="AD3" s="1061"/>
      <c r="AE3" s="1061"/>
      <c r="AF3" s="1061"/>
      <c r="AG3" s="1061"/>
      <c r="AH3" s="1061"/>
      <c r="AI3" s="1061"/>
      <c r="AJ3" s="1089"/>
      <c r="AK3" s="136" t="s">
        <v>394</v>
      </c>
      <c r="AM3" s="151"/>
      <c r="AN3" s="151" t="str">
        <f t="shared" si="0"/>
        <v>Территория действия тарифа</v>
      </c>
      <c r="AO3" s="151"/>
      <c r="AP3" s="151"/>
      <c r="AQ3" s="43">
        <v>0</v>
      </c>
    </row>
    <row r="4" ht="23.25" hidden="1" customHeight="1" spans="1:43">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510</v>
      </c>
      <c r="U4" s="84"/>
      <c r="V4" s="1090"/>
      <c r="W4" s="1061"/>
      <c r="X4" s="1061"/>
      <c r="Y4" s="1061"/>
      <c r="Z4" s="1061"/>
      <c r="AA4" s="1061"/>
      <c r="AB4" s="1089"/>
      <c r="AC4" s="1090" t="e">
        <f>INDEX(PT_DIFFERENTIATION_CS,MATCH(C4,PT_DIFFERENTIATION_CS_ID,0))</f>
        <v>#N/A</v>
      </c>
      <c r="AD4" s="1061"/>
      <c r="AE4" s="1061"/>
      <c r="AF4" s="1061"/>
      <c r="AG4" s="1061"/>
      <c r="AH4" s="1061"/>
      <c r="AI4" s="1061"/>
      <c r="AJ4" s="1089"/>
      <c r="AK4" s="136" t="s">
        <v>511</v>
      </c>
      <c r="AM4" s="151"/>
      <c r="AN4" s="151" t="str">
        <f t="shared" si="0"/>
        <v>Наименование централизованной системы водоотведения</v>
      </c>
      <c r="AO4" s="151"/>
      <c r="AP4" s="151"/>
      <c r="AQ4" s="43">
        <v>0</v>
      </c>
    </row>
    <row r="5" ht="23.25" hidden="1" customHeight="1" spans="1:43">
      <c r="A5" s="46"/>
      <c r="B5" s="46"/>
      <c r="C5" s="46"/>
      <c r="D5" s="46"/>
      <c r="E5" s="1053"/>
      <c r="F5" s="1053"/>
      <c r="G5" s="1053"/>
      <c r="H5" s="1053"/>
      <c r="I5" s="229" t="e">
        <f>S4&amp;".1"</f>
        <v>#N/A</v>
      </c>
      <c r="J5" s="46"/>
      <c r="K5" s="46"/>
      <c r="L5" s="1054"/>
      <c r="P5" s="93">
        <v>1</v>
      </c>
      <c r="Q5" s="93"/>
      <c r="R5" s="94"/>
      <c r="S5" s="65" t="e">
        <f>$I5</f>
        <v>#N/A</v>
      </c>
      <c r="T5" s="95" t="s">
        <v>477</v>
      </c>
      <c r="U5" s="84"/>
      <c r="V5" s="1126"/>
      <c r="W5" s="1127"/>
      <c r="X5" s="1127"/>
      <c r="Y5" s="1127"/>
      <c r="Z5" s="1127"/>
      <c r="AA5" s="1127"/>
      <c r="AB5" s="1131"/>
      <c r="AC5" s="831"/>
      <c r="AD5" s="1134"/>
      <c r="AE5" s="1134"/>
      <c r="AF5" s="1134"/>
      <c r="AG5" s="1134"/>
      <c r="AH5" s="1134"/>
      <c r="AI5" s="1134"/>
      <c r="AJ5" s="1135"/>
      <c r="AK5" s="136" t="s">
        <v>478</v>
      </c>
      <c r="AM5" s="151"/>
      <c r="AN5" s="151" t="str">
        <f t="shared" si="0"/>
        <v>Наименование признака дифференциации</v>
      </c>
      <c r="AO5" s="151"/>
      <c r="AP5" s="151"/>
      <c r="AQ5" s="43">
        <v>0</v>
      </c>
    </row>
    <row r="6" ht="23.25" hidden="1" customHeight="1" spans="1:43">
      <c r="A6" s="46"/>
      <c r="B6" s="46"/>
      <c r="C6" s="46"/>
      <c r="D6" s="46"/>
      <c r="E6" s="1053"/>
      <c r="F6" s="1053"/>
      <c r="G6" s="1053"/>
      <c r="H6" s="1053"/>
      <c r="I6" s="1058"/>
      <c r="J6" s="229" t="e">
        <f>I5&amp;".1"</f>
        <v>#N/A</v>
      </c>
      <c r="K6" s="46"/>
      <c r="L6" s="1054" t="s">
        <v>402</v>
      </c>
      <c r="P6" s="93"/>
      <c r="Q6" s="93">
        <v>1</v>
      </c>
      <c r="R6" s="97"/>
      <c r="S6" s="65" t="e">
        <f>$J6</f>
        <v>#N/A</v>
      </c>
      <c r="T6" s="98" t="s">
        <v>403</v>
      </c>
      <c r="U6" s="84"/>
      <c r="V6" s="99"/>
      <c r="W6" s="100"/>
      <c r="X6" s="100"/>
      <c r="Y6" s="100"/>
      <c r="Z6" s="100"/>
      <c r="AA6" s="100"/>
      <c r="AB6" s="137"/>
      <c r="AC6" s="99"/>
      <c r="AD6" s="100"/>
      <c r="AE6" s="100"/>
      <c r="AF6" s="100"/>
      <c r="AG6" s="100"/>
      <c r="AH6" s="100"/>
      <c r="AI6" s="100"/>
      <c r="AJ6" s="137"/>
      <c r="AK6" s="1136" t="s">
        <v>479</v>
      </c>
      <c r="AM6" s="151"/>
      <c r="AN6" s="151" t="str">
        <f t="shared" si="0"/>
        <v>Группа потребителей</v>
      </c>
      <c r="AO6" s="151"/>
      <c r="AP6" s="151"/>
      <c r="AQ6" s="43">
        <v>0</v>
      </c>
    </row>
    <row r="7" ht="23.25" hidden="1" customHeight="1" spans="1:43">
      <c r="A7" s="46"/>
      <c r="B7" s="46"/>
      <c r="C7" s="46"/>
      <c r="D7" s="46"/>
      <c r="E7" s="1053"/>
      <c r="F7" s="1053"/>
      <c r="G7" s="1053"/>
      <c r="H7" s="1053"/>
      <c r="I7" s="1058"/>
      <c r="J7" s="1058"/>
      <c r="K7" s="229" t="e">
        <f>J6&amp;".1"</f>
        <v>#N/A</v>
      </c>
      <c r="L7" s="1054"/>
      <c r="P7" s="93"/>
      <c r="Q7" s="93"/>
      <c r="R7" s="97">
        <v>1</v>
      </c>
      <c r="S7" s="65" t="e">
        <f>$K7</f>
        <v>#N/A</v>
      </c>
      <c r="T7" s="1128"/>
      <c r="U7" s="84"/>
      <c r="V7" s="102"/>
      <c r="W7" s="102"/>
      <c r="X7" s="138"/>
      <c r="Y7" s="139"/>
      <c r="Z7" s="140" t="s">
        <v>66</v>
      </c>
      <c r="AA7" s="139"/>
      <c r="AB7" s="140" t="s">
        <v>66</v>
      </c>
      <c r="AC7" s="102"/>
      <c r="AD7" s="102"/>
      <c r="AE7" s="138"/>
      <c r="AF7" s="139"/>
      <c r="AG7" s="140" t="s">
        <v>66</v>
      </c>
      <c r="AH7" s="1137"/>
      <c r="AI7" s="140" t="s">
        <v>66</v>
      </c>
      <c r="AJ7" s="1138"/>
      <c r="AK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 t="e">
        <f>STRCHECKDATE(V8:AJ8)</f>
        <v>#NAME?</v>
      </c>
      <c r="AM7" s="151"/>
      <c r="AN7" s="151" t="str">
        <f t="shared" si="0"/>
        <v/>
      </c>
      <c r="AO7" s="151"/>
      <c r="AP7" s="151"/>
      <c r="AQ7" s="43">
        <v>0</v>
      </c>
    </row>
    <row r="8" hidden="1" customHeight="1" spans="1:43">
      <c r="A8" s="46"/>
      <c r="B8" s="46"/>
      <c r="C8" s="46"/>
      <c r="D8" s="46"/>
      <c r="E8" s="1053"/>
      <c r="F8" s="1053"/>
      <c r="G8" s="1053"/>
      <c r="H8" s="1053"/>
      <c r="I8" s="1058"/>
      <c r="J8" s="1058"/>
      <c r="K8" s="229"/>
      <c r="L8" s="1054"/>
      <c r="P8" s="93"/>
      <c r="Q8" s="93"/>
      <c r="R8" s="97"/>
      <c r="S8" s="104"/>
      <c r="T8" s="84"/>
      <c r="U8" s="84"/>
      <c r="V8" s="103"/>
      <c r="W8" s="103"/>
      <c r="X8" s="142" t="str">
        <f>Y7&amp;"-"&amp;AA7</f>
        <v>-</v>
      </c>
      <c r="Y8" s="143"/>
      <c r="Z8" s="140"/>
      <c r="AA8" s="143"/>
      <c r="AB8" s="140"/>
      <c r="AC8" s="103"/>
      <c r="AD8" s="103"/>
      <c r="AE8" s="142" t="str">
        <f>AF7&amp;"-"&amp;AH7</f>
        <v>-</v>
      </c>
      <c r="AF8" s="143"/>
      <c r="AG8" s="140"/>
      <c r="AH8" s="1140"/>
      <c r="AI8" s="140"/>
      <c r="AJ8" s="768"/>
      <c r="AK8" s="1139"/>
      <c r="AM8" s="151"/>
      <c r="AN8" s="151" t="str">
        <f t="shared" si="0"/>
        <v/>
      </c>
      <c r="AO8" s="151"/>
      <c r="AP8" s="151"/>
      <c r="AQ8" s="43">
        <v>0</v>
      </c>
    </row>
    <row r="9" ht="21" hidden="1" customHeight="1" spans="1:43">
      <c r="A9" s="46"/>
      <c r="B9" s="46"/>
      <c r="C9" s="46"/>
      <c r="D9" s="46"/>
      <c r="E9" s="1053"/>
      <c r="F9" s="1053"/>
      <c r="G9" s="1053"/>
      <c r="H9" s="1053"/>
      <c r="I9" s="1058"/>
      <c r="J9" s="229"/>
      <c r="K9" s="46"/>
      <c r="L9" s="1054"/>
      <c r="P9" s="93"/>
      <c r="Q9" s="93"/>
      <c r="R9" s="94"/>
      <c r="S9" s="105"/>
      <c r="T9" s="108" t="s">
        <v>480</v>
      </c>
      <c r="U9" s="107"/>
      <c r="V9" s="107"/>
      <c r="W9" s="107"/>
      <c r="X9" s="107"/>
      <c r="Y9" s="107"/>
      <c r="Z9" s="107"/>
      <c r="AA9" s="107"/>
      <c r="AB9" s="107"/>
      <c r="AC9" s="107"/>
      <c r="AD9" s="107"/>
      <c r="AE9" s="107"/>
      <c r="AF9" s="107"/>
      <c r="AG9" s="107"/>
      <c r="AH9" s="107"/>
      <c r="AI9" s="107"/>
      <c r="AJ9" s="107"/>
      <c r="AK9" s="136" t="s">
        <v>481</v>
      </c>
      <c r="AM9" s="151"/>
      <c r="AN9" s="151" t="str">
        <f t="shared" si="0"/>
        <v>Добавить значение признака дифференциации</v>
      </c>
      <c r="AO9" s="151"/>
      <c r="AP9" s="151"/>
      <c r="AQ9" s="43">
        <v>0</v>
      </c>
    </row>
    <row r="10" ht="21" hidden="1" customHeight="1" spans="1:43">
      <c r="A10" s="46"/>
      <c r="B10" s="46"/>
      <c r="C10" s="46"/>
      <c r="D10" s="46"/>
      <c r="E10" s="1053"/>
      <c r="F10" s="1053"/>
      <c r="G10" s="1053"/>
      <c r="H10" s="1053"/>
      <c r="I10" s="229"/>
      <c r="J10" s="46"/>
      <c r="K10" s="46"/>
      <c r="L10" s="1054"/>
      <c r="P10" s="93"/>
      <c r="Q10" s="93"/>
      <c r="R10" s="94"/>
      <c r="S10" s="105"/>
      <c r="T10" s="110" t="s">
        <v>408</v>
      </c>
      <c r="U10" s="107"/>
      <c r="V10" s="107"/>
      <c r="W10" s="107"/>
      <c r="X10" s="107"/>
      <c r="Y10" s="107"/>
      <c r="Z10" s="107"/>
      <c r="AA10" s="107"/>
      <c r="AB10" s="147"/>
      <c r="AC10" s="107"/>
      <c r="AD10" s="107"/>
      <c r="AE10" s="107"/>
      <c r="AF10" s="107"/>
      <c r="AG10" s="107"/>
      <c r="AH10" s="107"/>
      <c r="AI10" s="147"/>
      <c r="AJ10" s="107"/>
      <c r="AK10" s="1141"/>
      <c r="AM10" s="151"/>
      <c r="AN10" s="151" t="str">
        <f t="shared" si="0"/>
        <v>Добавить группу потребителей</v>
      </c>
      <c r="AO10" s="151"/>
      <c r="AP10" s="151"/>
      <c r="AQ10" s="43">
        <v>0</v>
      </c>
    </row>
    <row r="11" ht="21" hidden="1" customHeight="1" spans="1:43">
      <c r="A11" s="46"/>
      <c r="B11" s="46"/>
      <c r="C11" s="46"/>
      <c r="D11" s="46"/>
      <c r="E11" s="1053"/>
      <c r="F11" s="1053"/>
      <c r="G11" s="1053"/>
      <c r="H11" s="1052"/>
      <c r="I11" s="46"/>
      <c r="J11" s="46"/>
      <c r="K11" s="46"/>
      <c r="L11" s="1054"/>
      <c r="M11" s="47"/>
      <c r="N11" s="47"/>
      <c r="O11" s="38"/>
      <c r="P11" s="81"/>
      <c r="Q11" s="109"/>
      <c r="R11" s="82"/>
      <c r="S11" s="105"/>
      <c r="T11" s="821" t="s">
        <v>482</v>
      </c>
      <c r="U11" s="107"/>
      <c r="V11" s="107"/>
      <c r="W11" s="107"/>
      <c r="X11" s="107"/>
      <c r="Y11" s="107"/>
      <c r="Z11" s="107"/>
      <c r="AA11" s="107"/>
      <c r="AB11" s="147"/>
      <c r="AC11" s="107"/>
      <c r="AD11" s="107"/>
      <c r="AE11" s="107"/>
      <c r="AF11" s="107"/>
      <c r="AG11" s="107"/>
      <c r="AH11" s="107"/>
      <c r="AI11" s="147"/>
      <c r="AJ11" s="107"/>
      <c r="AK11" s="148"/>
      <c r="AM11" s="151"/>
      <c r="AN11" s="151" t="str">
        <f t="shared" si="0"/>
        <v>Добавить наименование признака дифференциации</v>
      </c>
      <c r="AO11" s="151"/>
      <c r="AP11" s="151"/>
      <c r="AQ11" s="43">
        <v>0</v>
      </c>
    </row>
    <row r="12" s="44" customFormat="1" hidden="1" customHeight="1" spans="1:43">
      <c r="A12" s="590"/>
      <c r="B12" s="590"/>
      <c r="C12" s="590"/>
      <c r="D12" s="590"/>
      <c r="E12" s="1053"/>
      <c r="F12" s="1052"/>
      <c r="G12" s="590"/>
      <c r="H12" s="590"/>
      <c r="I12" s="590"/>
      <c r="J12" s="590"/>
      <c r="K12" s="590"/>
      <c r="L12" s="611"/>
      <c r="M12" s="1059"/>
      <c r="N12" s="1059"/>
      <c r="P12" s="152"/>
      <c r="Q12" s="1082"/>
      <c r="R12" s="152"/>
      <c r="S12" s="1084"/>
      <c r="T12" s="1085" t="s">
        <v>411</v>
      </c>
      <c r="U12" s="307"/>
      <c r="V12" s="307"/>
      <c r="W12" s="307"/>
      <c r="X12" s="307"/>
      <c r="Y12" s="307"/>
      <c r="Z12" s="307"/>
      <c r="AA12" s="307"/>
      <c r="AB12" s="307"/>
      <c r="AC12" s="307"/>
      <c r="AD12" s="307"/>
      <c r="AE12" s="307"/>
      <c r="AF12" s="307"/>
      <c r="AG12" s="307"/>
      <c r="AH12" s="307"/>
      <c r="AI12" s="307"/>
      <c r="AJ12" s="307"/>
      <c r="AK12" s="307"/>
      <c r="AM12" s="151"/>
      <c r="AN12" s="151" t="str">
        <f t="shared" si="0"/>
        <v>Добавить централизованную систему для дифференциации</v>
      </c>
      <c r="AO12" s="151"/>
      <c r="AP12" s="151"/>
      <c r="AQ12" s="44">
        <v>0</v>
      </c>
    </row>
    <row r="13" s="44" customFormat="1" hidden="1" customHeight="1" spans="1:43">
      <c r="A13" s="590"/>
      <c r="B13" s="590"/>
      <c r="C13" s="590"/>
      <c r="D13" s="590"/>
      <c r="E13" s="1052"/>
      <c r="F13" s="590"/>
      <c r="G13" s="590"/>
      <c r="H13" s="590"/>
      <c r="I13" s="590"/>
      <c r="J13" s="590"/>
      <c r="K13" s="590"/>
      <c r="L13" s="611"/>
      <c r="M13" s="1059"/>
      <c r="N13" s="1059"/>
      <c r="P13" s="152"/>
      <c r="Q13" s="1082"/>
      <c r="R13" s="152"/>
      <c r="S13" s="1084"/>
      <c r="T13" s="1085" t="s">
        <v>412</v>
      </c>
      <c r="U13" s="307"/>
      <c r="V13" s="307"/>
      <c r="W13" s="307"/>
      <c r="X13" s="307"/>
      <c r="Y13" s="307"/>
      <c r="Z13" s="307"/>
      <c r="AA13" s="307"/>
      <c r="AB13" s="307"/>
      <c r="AC13" s="307"/>
      <c r="AD13" s="307"/>
      <c r="AE13" s="307"/>
      <c r="AF13" s="307"/>
      <c r="AG13" s="307"/>
      <c r="AH13" s="307"/>
      <c r="AI13" s="307"/>
      <c r="AJ13" s="307"/>
      <c r="AK13" s="307"/>
      <c r="AM13" s="151"/>
      <c r="AN13" s="151" t="str">
        <f t="shared" si="0"/>
        <v>Добавить территорию для дифференциации</v>
      </c>
      <c r="AO13" s="151"/>
      <c r="AP13" s="151"/>
      <c r="AQ13" s="44">
        <v>0</v>
      </c>
    </row>
    <row r="14" hidden="1" customHeight="1" spans="43:43">
      <c r="AQ14" s="43">
        <v>0</v>
      </c>
    </row>
    <row r="15" hidden="1" customHeight="1" spans="29:43">
      <c r="AC15" s="492"/>
      <c r="AD15" s="492"/>
      <c r="AE15" s="1132"/>
      <c r="AF15" s="1133"/>
      <c r="AG15" s="353" t="s">
        <v>66</v>
      </c>
      <c r="AH15" s="1133"/>
      <c r="AI15" s="353" t="s">
        <v>66</v>
      </c>
      <c r="AQ15" s="43">
        <v>0</v>
      </c>
    </row>
    <row r="16" hidden="1" customHeight="1" spans="29:43">
      <c r="AC16" s="492"/>
      <c r="AD16" s="492"/>
      <c r="AE16" s="142" t="str">
        <f>AF15&amp;"-"&amp;AH15</f>
        <v>-</v>
      </c>
      <c r="AF16" s="353"/>
      <c r="AG16" s="353"/>
      <c r="AH16" s="353"/>
      <c r="AI16" s="353"/>
      <c r="AQ16" s="43">
        <v>0</v>
      </c>
    </row>
    <row r="17" hidden="1" customHeight="1" spans="43:43">
      <c r="AQ17" s="43">
        <v>0</v>
      </c>
    </row>
    <row r="18" s="38" customFormat="1" ht="22.5" hidden="1" customHeight="1" spans="12:43">
      <c r="L18" s="48"/>
      <c r="M18" s="39"/>
      <c r="N18" s="39"/>
      <c r="O18" s="1060" t="s">
        <v>413</v>
      </c>
      <c r="P18" s="39"/>
      <c r="Q18" s="1051"/>
      <c r="R18" s="1051"/>
      <c r="S18" s="47"/>
      <c r="Y18" s="1060"/>
      <c r="AA18" s="1060"/>
      <c r="AF18" s="1060"/>
      <c r="AH18" s="1060"/>
      <c r="AL18" s="44"/>
      <c r="AM18" s="44"/>
      <c r="AN18" s="44"/>
      <c r="AO18" s="44"/>
      <c r="AP18" s="44"/>
      <c r="AQ18" s="38">
        <v>0</v>
      </c>
    </row>
    <row r="19" s="38" customFormat="1" hidden="1" customHeight="1" spans="12:43">
      <c r="L19" s="48"/>
      <c r="M19" s="39"/>
      <c r="N19" s="39"/>
      <c r="O19" s="39"/>
      <c r="P19" s="39"/>
      <c r="Q19" s="1051"/>
      <c r="R19" s="1051"/>
      <c r="S19" s="47"/>
      <c r="AL19" s="44"/>
      <c r="AM19" s="44"/>
      <c r="AN19" s="44"/>
      <c r="AO19" s="44"/>
      <c r="AP19" s="44"/>
      <c r="AQ19" s="38">
        <v>0</v>
      </c>
    </row>
    <row r="20" s="38" customFormat="1" ht="12" hidden="1" customHeight="1" spans="12:43">
      <c r="L20" s="48"/>
      <c r="M20" s="39"/>
      <c r="N20" s="39"/>
      <c r="O20" s="1054" t="s">
        <v>414</v>
      </c>
      <c r="P20" s="39"/>
      <c r="Q20" s="1129"/>
      <c r="R20" s="1129"/>
      <c r="S20" s="47"/>
      <c r="T20" s="38" t="s">
        <v>415</v>
      </c>
      <c r="Z20" s="45" t="s">
        <v>416</v>
      </c>
      <c r="AB20" s="45" t="s">
        <v>417</v>
      </c>
      <c r="AC20" s="38" t="s">
        <v>415</v>
      </c>
      <c r="AG20" s="45" t="s">
        <v>418</v>
      </c>
      <c r="AI20" s="45" t="s">
        <v>417</v>
      </c>
      <c r="AQ20" s="38">
        <v>0</v>
      </c>
    </row>
    <row r="21" hidden="1" customHeight="1" spans="15:43">
      <c r="O21" s="1054"/>
      <c r="AQ21" s="43">
        <v>0</v>
      </c>
    </row>
    <row r="22" hidden="1" customHeight="1" spans="15:43">
      <c r="O22" s="1054"/>
      <c r="AQ22" s="43">
        <v>0</v>
      </c>
    </row>
    <row r="23" ht="14.7" customHeight="1" spans="17:43">
      <c r="Q23" s="51"/>
      <c r="R23" s="51"/>
      <c r="S23" s="52"/>
      <c r="T23" s="53"/>
      <c r="U23" s="53"/>
      <c r="AQ23" s="43">
        <v>14</v>
      </c>
    </row>
    <row r="24" ht="14.7" customHeight="1" spans="17:43">
      <c r="Q24" s="51"/>
      <c r="R24" s="51"/>
      <c r="S24" s="7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755"/>
      <c r="U24" s="755"/>
      <c r="V24" s="755"/>
      <c r="W24" s="755"/>
      <c r="X24" s="755"/>
      <c r="Y24" s="755"/>
      <c r="Z24" s="755"/>
      <c r="AA24" s="755"/>
      <c r="AB24" s="755"/>
      <c r="AC24" s="755"/>
      <c r="AD24" s="755"/>
      <c r="AE24" s="755"/>
      <c r="AF24" s="755"/>
      <c r="AG24" s="755"/>
      <c r="AH24" s="755"/>
      <c r="AI24" s="121"/>
      <c r="AQ24" s="43">
        <v>14</v>
      </c>
    </row>
    <row r="25" ht="14.7" customHeight="1" spans="17:43">
      <c r="Q25" s="51"/>
      <c r="R25" s="51"/>
      <c r="S25" s="660" t="str">
        <f>IF(org=0,"Не определено",org)</f>
        <v>АО "Теплокоммунэнерго"</v>
      </c>
      <c r="T25" s="660"/>
      <c r="U25" s="660"/>
      <c r="V25" s="660"/>
      <c r="W25" s="660"/>
      <c r="X25" s="660"/>
      <c r="Y25" s="660"/>
      <c r="Z25" s="660"/>
      <c r="AA25" s="660"/>
      <c r="AB25" s="660"/>
      <c r="AC25" s="660"/>
      <c r="AD25" s="660"/>
      <c r="AE25" s="660"/>
      <c r="AF25" s="660"/>
      <c r="AG25" s="660"/>
      <c r="AH25" s="660"/>
      <c r="AI25" s="121"/>
      <c r="AQ25" s="43">
        <v>14</v>
      </c>
    </row>
    <row r="26" hidden="1" customHeight="1" spans="17:43">
      <c r="Q26" s="51"/>
      <c r="R26" s="51"/>
      <c r="S26" s="52"/>
      <c r="T26" s="53"/>
      <c r="U26" s="53"/>
      <c r="V26" s="56"/>
      <c r="W26" s="56"/>
      <c r="X26" s="56"/>
      <c r="Y26" s="56"/>
      <c r="Z26" s="56"/>
      <c r="AA26" s="56"/>
      <c r="AB26" s="56"/>
      <c r="AC26" s="56"/>
      <c r="AD26" s="56"/>
      <c r="AE26" s="56"/>
      <c r="AF26" s="56"/>
      <c r="AG26" s="56"/>
      <c r="AH26" s="56"/>
      <c r="AI26" s="56"/>
      <c r="AQ26" s="43">
        <v>0</v>
      </c>
    </row>
    <row r="27" s="36" customFormat="1" ht="25.5" hidden="1" customHeight="1" spans="1:43">
      <c r="A27" s="45"/>
      <c r="B27" s="45"/>
      <c r="C27" s="45"/>
      <c r="D27" s="45"/>
      <c r="E27" s="45"/>
      <c r="F27" s="45"/>
      <c r="G27" s="45"/>
      <c r="H27" s="45"/>
      <c r="I27" s="45"/>
      <c r="J27" s="45"/>
      <c r="K27" s="45"/>
      <c r="L27" s="1054"/>
      <c r="M27" s="45"/>
      <c r="N27" s="45"/>
      <c r="O27" s="45"/>
      <c r="S27"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58"/>
      <c r="U27" s="1088"/>
      <c r="V27" s="60" t="str">
        <f>IF(TITLE_NAME_OR_PR_CHANGE="",IF(TITLE_NAME_OR_PR="","",TITLE_NAME_OR_PR),TITLE_NAME_OR_PR_CHANGE)</f>
        <v/>
      </c>
      <c r="W27" s="60"/>
      <c r="X27" s="60"/>
      <c r="Y27" s="60"/>
      <c r="Z27" s="60"/>
      <c r="AA27" s="60"/>
      <c r="AB27" s="43"/>
      <c r="AC27" s="60" t="str">
        <f>IF(TITLE_NAME_OR_PR_CHANGE="",IF(TITLE_NAME_OR_PR="","",TITLE_NAME_OR_PR),TITLE_NAME_OR_PR_CHANGE)</f>
        <v/>
      </c>
      <c r="AD27" s="60"/>
      <c r="AE27" s="60"/>
      <c r="AF27" s="60"/>
      <c r="AG27" s="60"/>
      <c r="AH27" s="60"/>
      <c r="AI27" s="43"/>
      <c r="AJ27" s="43"/>
      <c r="AK27" s="122"/>
      <c r="AL27" s="151"/>
      <c r="AM27" s="151"/>
      <c r="AN27" s="151"/>
      <c r="AO27" s="151"/>
      <c r="AP27" s="151"/>
      <c r="AQ27" s="36">
        <v>0</v>
      </c>
    </row>
    <row r="28" s="36" customFormat="1" ht="18.75" hidden="1" customHeight="1" spans="1:43">
      <c r="A28" s="45"/>
      <c r="B28" s="45"/>
      <c r="C28" s="45"/>
      <c r="D28" s="45"/>
      <c r="E28" s="45"/>
      <c r="F28" s="45"/>
      <c r="G28" s="45"/>
      <c r="H28" s="45"/>
      <c r="I28" s="45"/>
      <c r="J28" s="45"/>
      <c r="K28" s="45"/>
      <c r="L28" s="1054"/>
      <c r="M28" s="45"/>
      <c r="N28" s="45"/>
      <c r="O28" s="45"/>
      <c r="S28" s="58" t="str">
        <f>"Дата документа об "&amp;IF(TITLE_DATE_PR_CHANGE="","утверждении","изменении")&amp;" тарифов"</f>
        <v>Дата документа об утверждении тарифов</v>
      </c>
      <c r="T28" s="58"/>
      <c r="U28" s="1088"/>
      <c r="V28" s="793" t="str">
        <f>IF(TITLE_DATE_PR_CHANGE="",IF(TITLE_DATE_PR="","",TITLE_DATE_PR),TITLE_DATE_PR_CHANGE)</f>
        <v/>
      </c>
      <c r="W28" s="793"/>
      <c r="X28" s="793"/>
      <c r="Y28" s="793"/>
      <c r="Z28" s="793"/>
      <c r="AA28" s="793"/>
      <c r="AB28" s="43"/>
      <c r="AC28" s="793" t="str">
        <f>IF(TITLE_DATE_PR_CHANGE="",IF(TITLE_DATE_PR="","",TITLE_DATE_PR),TITLE_DATE_PR_CHANGE)</f>
        <v/>
      </c>
      <c r="AD28" s="793"/>
      <c r="AE28" s="793"/>
      <c r="AF28" s="793"/>
      <c r="AG28" s="793"/>
      <c r="AH28" s="793"/>
      <c r="AI28" s="43"/>
      <c r="AJ28" s="43"/>
      <c r="AK28" s="122"/>
      <c r="AL28" s="151"/>
      <c r="AM28" s="151"/>
      <c r="AN28" s="151"/>
      <c r="AO28" s="151"/>
      <c r="AP28" s="151"/>
      <c r="AQ28" s="36">
        <v>0</v>
      </c>
    </row>
    <row r="29" s="36" customFormat="1" ht="18.75" hidden="1" customHeight="1" spans="1:43">
      <c r="A29" s="45"/>
      <c r="B29" s="45"/>
      <c r="C29" s="45"/>
      <c r="D29" s="45"/>
      <c r="E29" s="45"/>
      <c r="F29" s="45"/>
      <c r="G29" s="45"/>
      <c r="H29" s="45"/>
      <c r="I29" s="45"/>
      <c r="J29" s="45"/>
      <c r="K29" s="45"/>
      <c r="L29" s="1054"/>
      <c r="M29" s="45"/>
      <c r="N29" s="45"/>
      <c r="O29" s="45"/>
      <c r="S29" s="58" t="str">
        <f>"Номер документа об "&amp;IF(TITLE_DATE_PR_CHANGE="","утверждении","изменении")&amp;" тарифов"</f>
        <v>Номер документа об утверждении тарифов</v>
      </c>
      <c r="T29" s="58"/>
      <c r="U29" s="1088"/>
      <c r="V29" s="60" t="str">
        <f>IF(TITLE_NUMBER_PR_CHANGE="",IF(TITLE_NUMBER_PR="","",TITLE_NUMBER_PR),TITLE_NUMBER_PR_CHANGE)</f>
        <v/>
      </c>
      <c r="W29" s="60"/>
      <c r="X29" s="60"/>
      <c r="Y29" s="60"/>
      <c r="Z29" s="60"/>
      <c r="AA29" s="60"/>
      <c r="AB29" s="43"/>
      <c r="AC29" s="60" t="str">
        <f>IF(TITLE_NUMBER_PR_CHANGE="",IF(TITLE_NUMBER_PR="","",TITLE_NUMBER_PR),TITLE_NUMBER_PR_CHANGE)</f>
        <v/>
      </c>
      <c r="AD29" s="60"/>
      <c r="AE29" s="60"/>
      <c r="AF29" s="60"/>
      <c r="AG29" s="60"/>
      <c r="AH29" s="60"/>
      <c r="AI29" s="43"/>
      <c r="AJ29" s="43"/>
      <c r="AK29" s="122"/>
      <c r="AL29" s="151"/>
      <c r="AM29" s="151"/>
      <c r="AN29" s="151"/>
      <c r="AO29" s="151"/>
      <c r="AP29" s="151"/>
      <c r="AQ29" s="36">
        <v>0</v>
      </c>
    </row>
    <row r="30" s="36" customFormat="1" ht="18.75" hidden="1" customHeight="1" spans="1:43">
      <c r="A30" s="45"/>
      <c r="B30" s="45"/>
      <c r="C30" s="45"/>
      <c r="D30" s="45"/>
      <c r="E30" s="45"/>
      <c r="F30" s="45"/>
      <c r="G30" s="45"/>
      <c r="H30" s="45"/>
      <c r="I30" s="45"/>
      <c r="J30" s="45"/>
      <c r="K30" s="45"/>
      <c r="L30" s="1054"/>
      <c r="M30" s="45"/>
      <c r="N30" s="45"/>
      <c r="O30" s="45"/>
      <c r="S30" s="58" t="s">
        <v>43</v>
      </c>
      <c r="T30" s="58"/>
      <c r="U30" s="1088"/>
      <c r="V30" s="60" t="str">
        <f>IF(TITLE_IST_PUB_CHANGE="",IF(TITLE_IST_PUB="","",TITLE_IST_PUB),TITLE_IST_PUB_CHANGE)</f>
        <v/>
      </c>
      <c r="W30" s="60"/>
      <c r="X30" s="60"/>
      <c r="Y30" s="60"/>
      <c r="Z30" s="60"/>
      <c r="AA30" s="60"/>
      <c r="AB30" s="43"/>
      <c r="AC30" s="60" t="str">
        <f>IF(TITLE_IST_PUB_CHANGE="",IF(TITLE_IST_PUB="","",TITLE_IST_PUB),TITLE_IST_PUB_CHANGE)</f>
        <v/>
      </c>
      <c r="AD30" s="60"/>
      <c r="AE30" s="60"/>
      <c r="AF30" s="60"/>
      <c r="AG30" s="60"/>
      <c r="AH30" s="60"/>
      <c r="AI30" s="43"/>
      <c r="AJ30" s="43"/>
      <c r="AK30" s="122"/>
      <c r="AL30" s="151"/>
      <c r="AM30" s="151"/>
      <c r="AN30" s="151"/>
      <c r="AO30" s="151"/>
      <c r="AP30" s="151"/>
      <c r="AQ30" s="36">
        <v>0</v>
      </c>
    </row>
    <row r="31" hidden="1" customHeight="1" spans="17:43">
      <c r="Q31" s="51"/>
      <c r="R31" s="51"/>
      <c r="S31" s="52"/>
      <c r="T31" s="53"/>
      <c r="U31" s="53"/>
      <c r="V31" s="56"/>
      <c r="W31" s="56"/>
      <c r="X31" s="56"/>
      <c r="Y31" s="56"/>
      <c r="Z31" s="56"/>
      <c r="AA31" s="56"/>
      <c r="AB31" s="56"/>
      <c r="AC31" s="56"/>
      <c r="AD31" s="56"/>
      <c r="AE31" s="56"/>
      <c r="AF31" s="56"/>
      <c r="AG31" s="56"/>
      <c r="AH31" s="56"/>
      <c r="AI31" s="56"/>
      <c r="AQ31" s="43">
        <v>0</v>
      </c>
    </row>
    <row r="32" s="36" customFormat="1" ht="18.75" hidden="1" customHeight="1" spans="1:43">
      <c r="A32" s="45"/>
      <c r="B32" s="45"/>
      <c r="C32" s="45"/>
      <c r="D32" s="45"/>
      <c r="E32" s="45"/>
      <c r="F32" s="45"/>
      <c r="G32" s="45"/>
      <c r="H32" s="45"/>
      <c r="I32" s="45"/>
      <c r="J32" s="45"/>
      <c r="K32" s="45"/>
      <c r="L32" s="1054"/>
      <c r="M32" s="45"/>
      <c r="N32" s="45"/>
      <c r="O32" s="45"/>
      <c r="S32" s="58" t="str">
        <f>"Дата подачи заявления об "&amp;IF(TITLE_DATE_PR_CHANGE="","утверждении","изменении")&amp;" тарифов"</f>
        <v>Дата подачи заявления об утверждении тарифов</v>
      </c>
      <c r="T32" s="58"/>
      <c r="U32" s="1088"/>
      <c r="V32" s="793" t="str">
        <f>IF(TITLE_DATE_PR_CHANGE="",IF(TITLE_DATE_PR="","",TITLE_DATE_PR),TITLE_DATE_PR_CHANGE)</f>
        <v/>
      </c>
      <c r="W32" s="793"/>
      <c r="X32" s="793"/>
      <c r="Y32" s="793"/>
      <c r="Z32" s="793"/>
      <c r="AA32" s="793"/>
      <c r="AB32" s="43"/>
      <c r="AC32" s="793" t="str">
        <f>IF(TITLE_DATE_PR_CHANGE="",IF(TITLE_DATE_PR="","",TITLE_DATE_PR),TITLE_DATE_PR_CHANGE)</f>
        <v/>
      </c>
      <c r="AD32" s="793"/>
      <c r="AE32" s="793"/>
      <c r="AF32" s="793"/>
      <c r="AG32" s="793"/>
      <c r="AH32" s="793"/>
      <c r="AI32" s="43"/>
      <c r="AJ32" s="43"/>
      <c r="AK32" s="122"/>
      <c r="AL32" s="151"/>
      <c r="AM32" s="151"/>
      <c r="AN32" s="151"/>
      <c r="AO32" s="151"/>
      <c r="AP32" s="151"/>
      <c r="AQ32" s="36">
        <v>0</v>
      </c>
    </row>
    <row r="33" s="36" customFormat="1" ht="18.75" hidden="1" customHeight="1" spans="1:43">
      <c r="A33" s="45"/>
      <c r="B33" s="45"/>
      <c r="C33" s="45"/>
      <c r="D33" s="45"/>
      <c r="E33" s="45"/>
      <c r="F33" s="45"/>
      <c r="G33" s="45"/>
      <c r="H33" s="45"/>
      <c r="I33" s="45"/>
      <c r="J33" s="45"/>
      <c r="K33" s="45"/>
      <c r="L33" s="1054"/>
      <c r="M33" s="45"/>
      <c r="N33" s="45"/>
      <c r="O33" s="45"/>
      <c r="S33" s="58" t="str">
        <f>"Номер подачи заявления об "&amp;IF(TITLE_DATE_PR_CHANGE="","утверждении","изменении")&amp;" тарифов"</f>
        <v>Номер подачи заявления об утверждении тарифов</v>
      </c>
      <c r="T33" s="58"/>
      <c r="U33" s="1088"/>
      <c r="V33" s="60" t="str">
        <f>IF(TITLE_NUMBER_PR_CHANGE="",IF(TITLE_NUMBER_PR="","",TITLE_NUMBER_PR),TITLE_NUMBER_PR_CHANGE)</f>
        <v/>
      </c>
      <c r="W33" s="60"/>
      <c r="X33" s="60"/>
      <c r="Y33" s="60"/>
      <c r="Z33" s="60"/>
      <c r="AA33" s="60"/>
      <c r="AB33" s="43"/>
      <c r="AC33" s="60" t="str">
        <f>IF(TITLE_NUMBER_PR_CHANGE="",IF(TITLE_NUMBER_PR="","",TITLE_NUMBER_PR),TITLE_NUMBER_PR_CHANGE)</f>
        <v/>
      </c>
      <c r="AD33" s="60"/>
      <c r="AE33" s="60"/>
      <c r="AF33" s="60"/>
      <c r="AG33" s="60"/>
      <c r="AH33" s="60"/>
      <c r="AI33" s="43"/>
      <c r="AJ33" s="43"/>
      <c r="AK33" s="122"/>
      <c r="AL33" s="151"/>
      <c r="AM33" s="151"/>
      <c r="AN33" s="151"/>
      <c r="AO33" s="151"/>
      <c r="AP33" s="151"/>
      <c r="AQ33" s="36">
        <v>0</v>
      </c>
    </row>
    <row r="34" s="36" customFormat="1" ht="1.05" customHeight="1" spans="1:43">
      <c r="A34" s="45"/>
      <c r="B34" s="45"/>
      <c r="C34" s="45"/>
      <c r="D34" s="45"/>
      <c r="E34" s="45"/>
      <c r="F34" s="45"/>
      <c r="G34" s="45"/>
      <c r="H34" s="45"/>
      <c r="I34" s="45"/>
      <c r="J34" s="45"/>
      <c r="K34" s="45"/>
      <c r="L34" s="1054"/>
      <c r="M34" s="45"/>
      <c r="N34" s="45"/>
      <c r="O34" s="45"/>
      <c r="S34" s="43"/>
      <c r="T34" s="43"/>
      <c r="U34" s="61"/>
      <c r="V34" s="43"/>
      <c r="W34" s="43"/>
      <c r="X34" s="43"/>
      <c r="Y34" s="43"/>
      <c r="Z34" s="43"/>
      <c r="AA34" s="43"/>
      <c r="AB34" s="44" t="s">
        <v>419</v>
      </c>
      <c r="AC34" s="43"/>
      <c r="AD34" s="43"/>
      <c r="AE34" s="43"/>
      <c r="AF34" s="43"/>
      <c r="AG34" s="43"/>
      <c r="AH34" s="43"/>
      <c r="AI34" s="44" t="s">
        <v>419</v>
      </c>
      <c r="AL34" s="151"/>
      <c r="AM34" s="151"/>
      <c r="AN34" s="151"/>
      <c r="AO34" s="151"/>
      <c r="AP34" s="151"/>
      <c r="AQ34" s="36">
        <v>1</v>
      </c>
    </row>
    <row r="35" ht="14.7" customHeight="1" spans="17:43">
      <c r="Q35" s="51"/>
      <c r="R35" s="51"/>
      <c r="S35" s="52"/>
      <c r="T35" s="53"/>
      <c r="U35" s="62"/>
      <c r="V35" s="63"/>
      <c r="W35" s="63"/>
      <c r="X35" s="63"/>
      <c r="Y35" s="63"/>
      <c r="Z35" s="63"/>
      <c r="AA35" s="63"/>
      <c r="AB35" s="63"/>
      <c r="AC35" s="63"/>
      <c r="AD35" s="63"/>
      <c r="AE35" s="63"/>
      <c r="AF35" s="63"/>
      <c r="AG35" s="63"/>
      <c r="AH35" s="63"/>
      <c r="AI35" s="63"/>
      <c r="AQ35" s="43">
        <v>14</v>
      </c>
    </row>
    <row r="36" ht="14.7" customHeight="1" spans="17:43">
      <c r="Q36" s="51"/>
      <c r="R36" s="51"/>
      <c r="S36" s="64" t="s">
        <v>296</v>
      </c>
      <c r="T36" s="64"/>
      <c r="U36" s="64"/>
      <c r="V36" s="64"/>
      <c r="W36" s="64"/>
      <c r="X36" s="64"/>
      <c r="Y36" s="64"/>
      <c r="Z36" s="64"/>
      <c r="AA36" s="64"/>
      <c r="AB36" s="64"/>
      <c r="AC36" s="64"/>
      <c r="AD36" s="64"/>
      <c r="AE36" s="64"/>
      <c r="AF36" s="64"/>
      <c r="AG36" s="64"/>
      <c r="AH36" s="64"/>
      <c r="AI36" s="64"/>
      <c r="AJ36" s="64"/>
      <c r="AK36" s="64" t="s">
        <v>297</v>
      </c>
      <c r="AQ36" s="43">
        <v>14</v>
      </c>
    </row>
    <row r="37" ht="14.7" customHeight="1" spans="17:43">
      <c r="Q37" s="51"/>
      <c r="R37" s="51"/>
      <c r="S37" s="65" t="s">
        <v>89</v>
      </c>
      <c r="T37" s="66" t="s">
        <v>420</v>
      </c>
      <c r="U37" s="67"/>
      <c r="V37" s="68" t="s">
        <v>421</v>
      </c>
      <c r="W37" s="69"/>
      <c r="X37" s="69"/>
      <c r="Y37" s="69"/>
      <c r="Z37" s="69"/>
      <c r="AA37" s="123"/>
      <c r="AB37" s="124" t="s">
        <v>422</v>
      </c>
      <c r="AC37" s="68" t="s">
        <v>421</v>
      </c>
      <c r="AD37" s="69"/>
      <c r="AE37" s="69"/>
      <c r="AF37" s="69"/>
      <c r="AG37" s="69"/>
      <c r="AH37" s="123"/>
      <c r="AI37" s="124" t="s">
        <v>423</v>
      </c>
      <c r="AJ37" s="125" t="s">
        <v>424</v>
      </c>
      <c r="AK37" s="64"/>
      <c r="AQ37" s="43">
        <v>14</v>
      </c>
    </row>
    <row r="38" ht="35.7" customHeight="1" spans="17:43">
      <c r="Q38" s="51"/>
      <c r="R38" s="51"/>
      <c r="S38" s="65"/>
      <c r="T38" s="66"/>
      <c r="U38" s="70"/>
      <c r="V38" s="71" t="s">
        <v>483</v>
      </c>
      <c r="W38" s="126" t="s">
        <v>427</v>
      </c>
      <c r="X38" s="127"/>
      <c r="Y38" s="126" t="s">
        <v>428</v>
      </c>
      <c r="Z38" s="128"/>
      <c r="AA38" s="127"/>
      <c r="AB38" s="129"/>
      <c r="AC38" s="71" t="s">
        <v>483</v>
      </c>
      <c r="AD38" s="126" t="s">
        <v>427</v>
      </c>
      <c r="AE38" s="127"/>
      <c r="AF38" s="126" t="s">
        <v>428</v>
      </c>
      <c r="AG38" s="128"/>
      <c r="AH38" s="127"/>
      <c r="AI38" s="129"/>
      <c r="AJ38" s="130"/>
      <c r="AK38" s="64"/>
      <c r="AQ38" s="43">
        <v>34</v>
      </c>
    </row>
    <row r="39" ht="90.3" customHeight="1" spans="1:43">
      <c r="A39" s="45"/>
      <c r="B39" s="45" t="s">
        <v>133</v>
      </c>
      <c r="C39" s="45" t="s">
        <v>134</v>
      </c>
      <c r="D39" s="45" t="s">
        <v>135</v>
      </c>
      <c r="E39" s="1054" t="s">
        <v>429</v>
      </c>
      <c r="F39" s="1054" t="s">
        <v>430</v>
      </c>
      <c r="G39" s="1054" t="s">
        <v>431</v>
      </c>
      <c r="H39" s="1054"/>
      <c r="I39" s="1054" t="s">
        <v>484</v>
      </c>
      <c r="J39" s="1054" t="s">
        <v>434</v>
      </c>
      <c r="K39" s="1054" t="s">
        <v>485</v>
      </c>
      <c r="L39" s="1054" t="s">
        <v>414</v>
      </c>
      <c r="Q39" s="51"/>
      <c r="R39" s="51"/>
      <c r="S39" s="65"/>
      <c r="T39" s="66"/>
      <c r="U39" s="72"/>
      <c r="V39" s="71" t="s">
        <v>512</v>
      </c>
      <c r="W39" s="131" t="s">
        <v>513</v>
      </c>
      <c r="X39" s="131" t="s">
        <v>488</v>
      </c>
      <c r="Y39" s="131" t="s">
        <v>438</v>
      </c>
      <c r="Z39" s="132" t="s">
        <v>439</v>
      </c>
      <c r="AA39" s="133"/>
      <c r="AB39" s="134"/>
      <c r="AC39" s="71" t="s">
        <v>512</v>
      </c>
      <c r="AD39" s="131" t="s">
        <v>513</v>
      </c>
      <c r="AE39" s="131" t="s">
        <v>488</v>
      </c>
      <c r="AF39" s="131" t="s">
        <v>438</v>
      </c>
      <c r="AG39" s="132" t="s">
        <v>439</v>
      </c>
      <c r="AH39" s="133"/>
      <c r="AI39" s="134"/>
      <c r="AJ39" s="135"/>
      <c r="AK39" s="64"/>
      <c r="AQ39" s="43">
        <v>86</v>
      </c>
    </row>
    <row r="40" s="37" customFormat="1" ht="11.25" hidden="1" customHeight="1" spans="1:43">
      <c r="A40" s="45"/>
      <c r="B40" s="45"/>
      <c r="C40" s="45"/>
      <c r="D40" s="45"/>
      <c r="E40" s="45"/>
      <c r="F40" s="45"/>
      <c r="G40" s="45"/>
      <c r="H40" s="45"/>
      <c r="I40" s="45"/>
      <c r="J40" s="45"/>
      <c r="K40" s="45"/>
      <c r="L40" s="1054"/>
      <c r="M40" s="39"/>
      <c r="N40" s="39"/>
      <c r="O40" s="39"/>
      <c r="P40" s="74"/>
      <c r="Q40" s="75"/>
      <c r="R40" s="76">
        <v>1</v>
      </c>
      <c r="S40" s="77" t="s">
        <v>107</v>
      </c>
      <c r="T40" s="78" t="s">
        <v>108</v>
      </c>
      <c r="U40" s="79" t="str">
        <f ca="1">OFFSET(U40,0,-1)</f>
        <v>2</v>
      </c>
      <c r="V40" s="80">
        <f ca="1">OFFSET(V40,0,-1)+1</f>
        <v>3</v>
      </c>
      <c r="W40" s="80">
        <f ca="1">OFFSET(W40,0,-1)+1</f>
        <v>4</v>
      </c>
      <c r="X40" s="80">
        <f ca="1">OFFSET(X40,0,-1)+1</f>
        <v>5</v>
      </c>
      <c r="Y40" s="80">
        <f ca="1">OFFSET(Y40,0,-1)+1</f>
        <v>6</v>
      </c>
      <c r="Z40" s="80">
        <f ca="1">OFFSET(Z40,0,-1)+1</f>
        <v>7</v>
      </c>
      <c r="AA40" s="80"/>
      <c r="AB40" s="80">
        <f ca="1">OFFSET(AB40,0,-2)+1</f>
        <v>8</v>
      </c>
      <c r="AC40" s="80">
        <f ca="1">OFFSET(AC40,0,-1)+1</f>
        <v>9</v>
      </c>
      <c r="AD40" s="80">
        <f ca="1">OFFSET(AD40,0,-1)+1</f>
        <v>10</v>
      </c>
      <c r="AE40" s="80">
        <f ca="1">OFFSET(AE40,0,-1)+1</f>
        <v>11</v>
      </c>
      <c r="AF40" s="80">
        <f ca="1">OFFSET(AF40,0,-1)+1</f>
        <v>12</v>
      </c>
      <c r="AG40" s="80">
        <f ca="1">OFFSET(AG40,0,-1)+1</f>
        <v>13</v>
      </c>
      <c r="AH40" s="80"/>
      <c r="AI40" s="80">
        <f ca="1">OFFSET(AI40,0,-2)+1</f>
        <v>14</v>
      </c>
      <c r="AJ40" s="79">
        <f ca="1">OFFSET(AJ40,0,-1)</f>
        <v>14</v>
      </c>
      <c r="AK40" s="80">
        <f ca="1">OFFSET(AK40,0,-1)+1</f>
        <v>15</v>
      </c>
      <c r="AL40" s="44"/>
      <c r="AM40" s="44"/>
      <c r="AN40" s="44"/>
      <c r="AO40" s="44"/>
      <c r="AP40" s="44"/>
      <c r="AQ40" s="37">
        <v>0</v>
      </c>
    </row>
    <row r="41" ht="24" customHeight="1" spans="1:43">
      <c r="A41" s="46" t="s">
        <v>262</v>
      </c>
      <c r="B41" s="46"/>
      <c r="C41" s="46"/>
      <c r="D41" s="46"/>
      <c r="E41" s="1052">
        <v>1</v>
      </c>
      <c r="F41" s="46"/>
      <c r="G41" s="46"/>
      <c r="H41" s="46"/>
      <c r="I41" s="46"/>
      <c r="J41" s="46"/>
      <c r="K41" s="46"/>
      <c r="L41" s="1054"/>
      <c r="M41" s="47"/>
      <c r="N41" s="47"/>
      <c r="O41" s="47"/>
      <c r="Q41" s="81"/>
      <c r="R41" s="82"/>
      <c r="S41" s="65">
        <f>INDEX(PT_DIFFERENTIATION_NUM_NTAR,MATCH(A41,PT_DIFFERENTIATION_NTAR_ID,0))</f>
        <v>0</v>
      </c>
      <c r="T41" s="83" t="s">
        <v>121</v>
      </c>
      <c r="U41" s="84"/>
      <c r="V41" s="1090"/>
      <c r="W41" s="1061"/>
      <c r="X41" s="1061"/>
      <c r="Y41" s="1061"/>
      <c r="Z41" s="1061"/>
      <c r="AA41" s="1061"/>
      <c r="AB41" s="1089"/>
      <c r="AC41" s="1090" t="str">
        <f>INDEX(PT_DIFFERENTIATION_NTAR,MATCH(A41,PT_DIFFERENTIATION_NTAR_ID,0))</f>
        <v/>
      </c>
      <c r="AD41" s="1061"/>
      <c r="AE41" s="1061"/>
      <c r="AF41" s="1061"/>
      <c r="AG41" s="1061"/>
      <c r="AH41" s="1061"/>
      <c r="AI41" s="1061"/>
      <c r="AJ41" s="1089"/>
      <c r="AK41"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51"/>
      <c r="AN41" s="151" t="str">
        <f t="shared" ref="AN41:AN53" si="1">IF(T41="","",T41)</f>
        <v>Наименование тарифа</v>
      </c>
      <c r="AO41" s="151"/>
      <c r="AP41" s="151"/>
      <c r="AQ41" s="43">
        <v>23</v>
      </c>
    </row>
    <row r="42" ht="24" customHeight="1" spans="1:43">
      <c r="A42" s="46" t="s">
        <v>262</v>
      </c>
      <c r="B42" s="46" t="s">
        <v>263</v>
      </c>
      <c r="C42" s="46"/>
      <c r="D42" s="46"/>
      <c r="E42" s="1053"/>
      <c r="F42" s="1052">
        <v>1</v>
      </c>
      <c r="G42" s="46"/>
      <c r="H42" s="46"/>
      <c r="I42" s="46"/>
      <c r="J42" s="46"/>
      <c r="K42" s="46"/>
      <c r="L42" s="1054"/>
      <c r="M42" s="47"/>
      <c r="N42" s="47"/>
      <c r="O42" s="47"/>
      <c r="P42" s="86"/>
      <c r="Q42" s="87"/>
      <c r="R42" s="88"/>
      <c r="S42" s="65" t="str">
        <f>INDEX(PT_DIFFERENTIATION_NUM_TER,MATCH(B42,PT_DIFFERENTIATION_TER_ID,0))</f>
        <v>.</v>
      </c>
      <c r="T42" s="89" t="s">
        <v>393</v>
      </c>
      <c r="U42" s="84"/>
      <c r="V42" s="1090"/>
      <c r="W42" s="1061"/>
      <c r="X42" s="1061"/>
      <c r="Y42" s="1061"/>
      <c r="Z42" s="1061"/>
      <c r="AA42" s="1061"/>
      <c r="AB42" s="1089"/>
      <c r="AC42" s="1090" t="str">
        <f>INDEX(PT_DIFFERENTIATION_TER,MATCH(B42,PT_DIFFERENTIATION_TER_ID,0))</f>
        <v/>
      </c>
      <c r="AD42" s="1061"/>
      <c r="AE42" s="1061"/>
      <c r="AF42" s="1061"/>
      <c r="AG42" s="1061"/>
      <c r="AH42" s="1061"/>
      <c r="AI42" s="1061"/>
      <c r="AJ42" s="1089"/>
      <c r="AK42" s="136" t="s">
        <v>394</v>
      </c>
      <c r="AM42" s="151"/>
      <c r="AN42" s="151" t="str">
        <f t="shared" si="1"/>
        <v>Территория действия тарифа</v>
      </c>
      <c r="AO42" s="151"/>
      <c r="AP42" s="151"/>
      <c r="AQ42" s="43">
        <v>23</v>
      </c>
    </row>
    <row r="43" ht="24" customHeight="1" spans="1:43">
      <c r="A43" s="46" t="s">
        <v>262</v>
      </c>
      <c r="B43" s="46" t="s">
        <v>263</v>
      </c>
      <c r="C43" s="46" t="s">
        <v>264</v>
      </c>
      <c r="D43" s="46"/>
      <c r="E43" s="1053"/>
      <c r="F43" s="1053"/>
      <c r="G43" s="1052">
        <v>1</v>
      </c>
      <c r="H43" s="46"/>
      <c r="I43" s="46"/>
      <c r="J43" s="46"/>
      <c r="K43" s="46"/>
      <c r="L43" s="1054"/>
      <c r="M43" s="47"/>
      <c r="N43" s="47"/>
      <c r="O43" s="47"/>
      <c r="P43" s="90"/>
      <c r="Q43" s="87"/>
      <c r="R43" s="88"/>
      <c r="S43" s="65" t="str">
        <f>INDEX(PT_DIFFERENTIATION_NUM_CS,MATCH(C43,PT_DIFFERENTIATION_CS_ID,0))</f>
        <v>..</v>
      </c>
      <c r="T43" s="91" t="s">
        <v>510</v>
      </c>
      <c r="U43" s="84"/>
      <c r="V43" s="1090"/>
      <c r="W43" s="1061"/>
      <c r="X43" s="1061"/>
      <c r="Y43" s="1061"/>
      <c r="Z43" s="1061"/>
      <c r="AA43" s="1061"/>
      <c r="AB43" s="1089"/>
      <c r="AC43" s="1090" t="str">
        <f>INDEX(PT_DIFFERENTIATION_CS,MATCH(C43,PT_DIFFERENTIATION_CS_ID,0))</f>
        <v/>
      </c>
      <c r="AD43" s="1061"/>
      <c r="AE43" s="1061"/>
      <c r="AF43" s="1061"/>
      <c r="AG43" s="1061"/>
      <c r="AH43" s="1061"/>
      <c r="AI43" s="1061"/>
      <c r="AJ43" s="1089"/>
      <c r="AK43" s="136" t="s">
        <v>511</v>
      </c>
      <c r="AM43" s="151"/>
      <c r="AN43" s="151" t="str">
        <f t="shared" si="1"/>
        <v>Наименование централизованной системы водоотведения</v>
      </c>
      <c r="AO43" s="151"/>
      <c r="AP43" s="151"/>
      <c r="AQ43" s="43">
        <v>23</v>
      </c>
    </row>
    <row r="44" ht="24" customHeight="1" spans="1:43">
      <c r="A44" s="46" t="s">
        <v>262</v>
      </c>
      <c r="B44" s="46" t="s">
        <v>263</v>
      </c>
      <c r="C44" s="46" t="s">
        <v>264</v>
      </c>
      <c r="D44" s="46" t="s">
        <v>514</v>
      </c>
      <c r="E44" s="1053"/>
      <c r="F44" s="1053"/>
      <c r="G44" s="1053"/>
      <c r="H44" s="1053"/>
      <c r="I44" s="229" t="str">
        <f>S43&amp;".1"</f>
        <v>...1</v>
      </c>
      <c r="J44" s="46"/>
      <c r="K44" s="46"/>
      <c r="L44" s="1054"/>
      <c r="P44" s="93">
        <v>1</v>
      </c>
      <c r="Q44" s="93"/>
      <c r="R44" s="94"/>
      <c r="S44" s="65" t="str">
        <f>$I44</f>
        <v>...1</v>
      </c>
      <c r="T44" s="95" t="s">
        <v>477</v>
      </c>
      <c r="U44" s="84"/>
      <c r="V44" s="1126"/>
      <c r="W44" s="1127"/>
      <c r="X44" s="1127"/>
      <c r="Y44" s="1127"/>
      <c r="Z44" s="1127"/>
      <c r="AA44" s="1127"/>
      <c r="AB44" s="1131"/>
      <c r="AC44" s="831"/>
      <c r="AD44" s="1134"/>
      <c r="AE44" s="1134"/>
      <c r="AF44" s="1134"/>
      <c r="AG44" s="1134"/>
      <c r="AH44" s="1134"/>
      <c r="AI44" s="1134"/>
      <c r="AJ44" s="1135"/>
      <c r="AK44" s="136" t="s">
        <v>478</v>
      </c>
      <c r="AM44" s="151"/>
      <c r="AN44" s="151" t="str">
        <f t="shared" si="1"/>
        <v>Наименование признака дифференциации</v>
      </c>
      <c r="AO44" s="151"/>
      <c r="AP44" s="151"/>
      <c r="AQ44" s="43">
        <v>23</v>
      </c>
    </row>
    <row r="45" ht="24" customHeight="1" spans="1:43">
      <c r="A45" s="46" t="s">
        <v>262</v>
      </c>
      <c r="B45" s="46" t="s">
        <v>263</v>
      </c>
      <c r="C45" s="46" t="s">
        <v>264</v>
      </c>
      <c r="D45" s="46" t="s">
        <v>514</v>
      </c>
      <c r="E45" s="1053"/>
      <c r="F45" s="1053"/>
      <c r="G45" s="1053"/>
      <c r="H45" s="1053"/>
      <c r="I45" s="1058"/>
      <c r="J45" s="229" t="str">
        <f>I44&amp;".1"</f>
        <v>...1.1</v>
      </c>
      <c r="K45" s="46"/>
      <c r="L45" s="1054" t="s">
        <v>402</v>
      </c>
      <c r="P45" s="93"/>
      <c r="Q45" s="93">
        <v>1</v>
      </c>
      <c r="R45" s="97"/>
      <c r="S45" s="65" t="str">
        <f>$J45</f>
        <v>...1.1</v>
      </c>
      <c r="T45" s="98" t="s">
        <v>403</v>
      </c>
      <c r="U45" s="84"/>
      <c r="V45" s="99"/>
      <c r="W45" s="100"/>
      <c r="X45" s="100"/>
      <c r="Y45" s="100"/>
      <c r="Z45" s="100"/>
      <c r="AA45" s="100"/>
      <c r="AB45" s="137"/>
      <c r="AC45" s="99"/>
      <c r="AD45" s="100"/>
      <c r="AE45" s="100"/>
      <c r="AF45" s="100"/>
      <c r="AG45" s="100"/>
      <c r="AH45" s="100"/>
      <c r="AI45" s="100"/>
      <c r="AJ45" s="137"/>
      <c r="AK45" s="1136" t="s">
        <v>479</v>
      </c>
      <c r="AM45" s="151"/>
      <c r="AN45" s="151" t="str">
        <f t="shared" si="1"/>
        <v>Группа потребителей</v>
      </c>
      <c r="AO45" s="151"/>
      <c r="AP45" s="151"/>
      <c r="AQ45" s="43">
        <v>23</v>
      </c>
    </row>
    <row r="46" ht="24" customHeight="1" spans="1:43">
      <c r="A46" s="46" t="s">
        <v>262</v>
      </c>
      <c r="B46" s="46" t="s">
        <v>263</v>
      </c>
      <c r="C46" s="46" t="s">
        <v>264</v>
      </c>
      <c r="D46" s="46" t="s">
        <v>514</v>
      </c>
      <c r="E46" s="1053"/>
      <c r="F46" s="1053"/>
      <c r="G46" s="1053"/>
      <c r="H46" s="1053"/>
      <c r="I46" s="1058"/>
      <c r="J46" s="1058"/>
      <c r="K46" s="229" t="str">
        <f>J45&amp;".1"</f>
        <v>...1.1.1</v>
      </c>
      <c r="L46" s="1054"/>
      <c r="P46" s="93"/>
      <c r="Q46" s="93"/>
      <c r="R46" s="97">
        <v>1</v>
      </c>
      <c r="S46" s="65" t="str">
        <f>$K46</f>
        <v>...1.1.1</v>
      </c>
      <c r="T46" s="1128"/>
      <c r="U46" s="84"/>
      <c r="V46" s="492"/>
      <c r="W46" s="492"/>
      <c r="X46" s="1132"/>
      <c r="Y46" s="1133"/>
      <c r="Z46" s="353" t="s">
        <v>66</v>
      </c>
      <c r="AA46" s="1133"/>
      <c r="AB46" s="353" t="s">
        <v>66</v>
      </c>
      <c r="AC46" s="102"/>
      <c r="AD46" s="102"/>
      <c r="AE46" s="138"/>
      <c r="AF46" s="139"/>
      <c r="AG46" s="140" t="s">
        <v>66</v>
      </c>
      <c r="AH46" s="1137"/>
      <c r="AI46" s="140" t="s">
        <v>19</v>
      </c>
      <c r="AJ46" s="1138"/>
      <c r="AK46"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 t="e">
        <f>STRCHECKDATE(V47:AJ47)</f>
        <v>#NAME?</v>
      </c>
      <c r="AM46" s="151"/>
      <c r="AN46" s="151" t="str">
        <f t="shared" si="1"/>
        <v/>
      </c>
      <c r="AO46" s="151"/>
      <c r="AP46" s="151"/>
      <c r="AQ46" s="43">
        <v>23</v>
      </c>
    </row>
    <row r="47" hidden="1" customHeight="1" spans="1:43">
      <c r="A47" s="46" t="s">
        <v>262</v>
      </c>
      <c r="B47" s="46" t="s">
        <v>263</v>
      </c>
      <c r="C47" s="46" t="s">
        <v>264</v>
      </c>
      <c r="D47" s="46" t="s">
        <v>514</v>
      </c>
      <c r="E47" s="1053"/>
      <c r="F47" s="1053"/>
      <c r="G47" s="1053"/>
      <c r="H47" s="1053"/>
      <c r="I47" s="1058"/>
      <c r="J47" s="1058"/>
      <c r="K47" s="229"/>
      <c r="L47" s="1054"/>
      <c r="P47" s="93"/>
      <c r="Q47" s="93"/>
      <c r="R47" s="97"/>
      <c r="S47" s="104"/>
      <c r="T47" s="84"/>
      <c r="U47" s="84"/>
      <c r="V47" s="492"/>
      <c r="W47" s="492"/>
      <c r="X47" s="142" t="str">
        <f>Y46&amp;"-"&amp;AA46</f>
        <v>-</v>
      </c>
      <c r="Y47" s="353"/>
      <c r="Z47" s="353"/>
      <c r="AA47" s="353"/>
      <c r="AB47" s="353"/>
      <c r="AC47" s="103"/>
      <c r="AD47" s="103"/>
      <c r="AE47" s="142" t="str">
        <f>AF46&amp;"-"&amp;AH46</f>
        <v>-</v>
      </c>
      <c r="AF47" s="143"/>
      <c r="AG47" s="140"/>
      <c r="AH47" s="1140"/>
      <c r="AI47" s="140"/>
      <c r="AJ47" s="768"/>
      <c r="AK47" s="1139"/>
      <c r="AM47" s="151"/>
      <c r="AN47" s="151" t="str">
        <f t="shared" si="1"/>
        <v/>
      </c>
      <c r="AO47" s="151"/>
      <c r="AP47" s="151"/>
      <c r="AQ47" s="43">
        <v>0</v>
      </c>
    </row>
    <row r="48" ht="21" customHeight="1" spans="1:43">
      <c r="A48" s="46" t="s">
        <v>262</v>
      </c>
      <c r="B48" s="46" t="s">
        <v>263</v>
      </c>
      <c r="C48" s="46" t="s">
        <v>264</v>
      </c>
      <c r="D48" s="46" t="s">
        <v>514</v>
      </c>
      <c r="E48" s="1053"/>
      <c r="F48" s="1053"/>
      <c r="G48" s="1053"/>
      <c r="H48" s="1053"/>
      <c r="I48" s="1058"/>
      <c r="J48" s="229"/>
      <c r="K48" s="46"/>
      <c r="L48" s="1054"/>
      <c r="P48" s="93"/>
      <c r="Q48" s="93"/>
      <c r="R48" s="94"/>
      <c r="S48" s="105"/>
      <c r="T48" s="108" t="s">
        <v>480</v>
      </c>
      <c r="U48" s="107"/>
      <c r="V48" s="107"/>
      <c r="W48" s="107"/>
      <c r="X48" s="107"/>
      <c r="Y48" s="107"/>
      <c r="Z48" s="107"/>
      <c r="AA48" s="107"/>
      <c r="AB48" s="107"/>
      <c r="AC48" s="107"/>
      <c r="AD48" s="107"/>
      <c r="AE48" s="107"/>
      <c r="AF48" s="107"/>
      <c r="AG48" s="107"/>
      <c r="AH48" s="107"/>
      <c r="AI48" s="107"/>
      <c r="AJ48" s="107"/>
      <c r="AK48" s="136" t="s">
        <v>481</v>
      </c>
      <c r="AM48" s="151"/>
      <c r="AN48" s="151" t="str">
        <f t="shared" si="1"/>
        <v>Добавить значение признака дифференциации</v>
      </c>
      <c r="AO48" s="151"/>
      <c r="AP48" s="151"/>
      <c r="AQ48" s="43">
        <v>20</v>
      </c>
    </row>
    <row r="49" ht="22.05" customHeight="1" spans="1:43">
      <c r="A49" s="46" t="s">
        <v>262</v>
      </c>
      <c r="B49" s="46" t="s">
        <v>263</v>
      </c>
      <c r="C49" s="46" t="s">
        <v>264</v>
      </c>
      <c r="D49" s="46" t="s">
        <v>514</v>
      </c>
      <c r="E49" s="1053"/>
      <c r="F49" s="1053"/>
      <c r="G49" s="1053"/>
      <c r="H49" s="1053"/>
      <c r="I49" s="229"/>
      <c r="J49" s="46"/>
      <c r="K49" s="46"/>
      <c r="L49" s="1054"/>
      <c r="P49" s="93"/>
      <c r="Q49" s="93"/>
      <c r="R49" s="94"/>
      <c r="S49" s="105"/>
      <c r="T49" s="110" t="s">
        <v>408</v>
      </c>
      <c r="U49" s="107"/>
      <c r="V49" s="107"/>
      <c r="W49" s="107"/>
      <c r="X49" s="107"/>
      <c r="Y49" s="107"/>
      <c r="Z49" s="107"/>
      <c r="AA49" s="107"/>
      <c r="AB49" s="147"/>
      <c r="AC49" s="107"/>
      <c r="AD49" s="107"/>
      <c r="AE49" s="107"/>
      <c r="AF49" s="107"/>
      <c r="AG49" s="107"/>
      <c r="AH49" s="107"/>
      <c r="AI49" s="147"/>
      <c r="AJ49" s="107"/>
      <c r="AK49" s="1141"/>
      <c r="AM49" s="151"/>
      <c r="AN49" s="151" t="str">
        <f t="shared" si="1"/>
        <v>Добавить группу потребителей</v>
      </c>
      <c r="AO49" s="151"/>
      <c r="AP49" s="151"/>
      <c r="AQ49" s="43">
        <v>21</v>
      </c>
    </row>
    <row r="50" ht="22.05" customHeight="1" spans="1:43">
      <c r="A50" s="46" t="s">
        <v>262</v>
      </c>
      <c r="B50" s="46" t="s">
        <v>263</v>
      </c>
      <c r="C50" s="46" t="s">
        <v>264</v>
      </c>
      <c r="D50" s="46" t="s">
        <v>514</v>
      </c>
      <c r="E50" s="1053"/>
      <c r="F50" s="1053"/>
      <c r="G50" s="1053"/>
      <c r="H50" s="1052"/>
      <c r="I50" s="46"/>
      <c r="J50" s="46"/>
      <c r="K50" s="46"/>
      <c r="L50" s="1054"/>
      <c r="M50" s="47"/>
      <c r="N50" s="47"/>
      <c r="O50" s="38"/>
      <c r="P50" s="81"/>
      <c r="Q50" s="109"/>
      <c r="R50" s="82"/>
      <c r="S50" s="105"/>
      <c r="T50" s="821" t="s">
        <v>482</v>
      </c>
      <c r="U50" s="107"/>
      <c r="V50" s="107"/>
      <c r="W50" s="107"/>
      <c r="X50" s="107"/>
      <c r="Y50" s="107"/>
      <c r="Z50" s="107"/>
      <c r="AA50" s="107"/>
      <c r="AB50" s="147"/>
      <c r="AC50" s="107"/>
      <c r="AD50" s="107"/>
      <c r="AE50" s="107"/>
      <c r="AF50" s="107"/>
      <c r="AG50" s="107"/>
      <c r="AH50" s="107"/>
      <c r="AI50" s="147"/>
      <c r="AJ50" s="107"/>
      <c r="AK50" s="148"/>
      <c r="AM50" s="151"/>
      <c r="AN50" s="151" t="str">
        <f t="shared" si="1"/>
        <v>Добавить наименование признака дифференциации</v>
      </c>
      <c r="AO50" s="151"/>
      <c r="AP50" s="151"/>
      <c r="AQ50" s="43">
        <v>21</v>
      </c>
    </row>
    <row r="51" s="44" customFormat="1" hidden="1" customHeight="1" spans="1:43">
      <c r="A51" s="590" t="s">
        <v>262</v>
      </c>
      <c r="B51" s="590" t="s">
        <v>263</v>
      </c>
      <c r="C51" s="590"/>
      <c r="D51" s="590"/>
      <c r="E51" s="1053"/>
      <c r="F51" s="1052"/>
      <c r="G51" s="590"/>
      <c r="H51" s="590"/>
      <c r="I51" s="590"/>
      <c r="J51" s="590"/>
      <c r="K51" s="590"/>
      <c r="L51" s="611"/>
      <c r="M51" s="1059"/>
      <c r="N51" s="1059"/>
      <c r="P51" s="152"/>
      <c r="Q51" s="1082"/>
      <c r="R51" s="152"/>
      <c r="S51" s="1084"/>
      <c r="T51" s="1085" t="s">
        <v>411</v>
      </c>
      <c r="U51" s="307"/>
      <c r="V51" s="307"/>
      <c r="W51" s="307"/>
      <c r="X51" s="307"/>
      <c r="Y51" s="307"/>
      <c r="Z51" s="307"/>
      <c r="AA51" s="307"/>
      <c r="AB51" s="307"/>
      <c r="AC51" s="307"/>
      <c r="AD51" s="307"/>
      <c r="AE51" s="307"/>
      <c r="AF51" s="307"/>
      <c r="AG51" s="307"/>
      <c r="AH51" s="307"/>
      <c r="AI51" s="307"/>
      <c r="AJ51" s="307"/>
      <c r="AK51" s="307"/>
      <c r="AM51" s="151"/>
      <c r="AN51" s="151" t="str">
        <f t="shared" si="1"/>
        <v>Добавить централизованную систему для дифференциации</v>
      </c>
      <c r="AO51" s="151"/>
      <c r="AP51" s="151"/>
      <c r="AQ51" s="44">
        <v>0</v>
      </c>
    </row>
    <row r="52" s="44" customFormat="1" hidden="1" customHeight="1" spans="1:43">
      <c r="A52" s="590" t="s">
        <v>262</v>
      </c>
      <c r="B52" s="590"/>
      <c r="C52" s="590"/>
      <c r="D52" s="590"/>
      <c r="E52" s="1052"/>
      <c r="F52" s="590"/>
      <c r="G52" s="590"/>
      <c r="H52" s="590"/>
      <c r="I52" s="590"/>
      <c r="J52" s="590"/>
      <c r="K52" s="590"/>
      <c r="L52" s="611"/>
      <c r="M52" s="1059"/>
      <c r="N52" s="1059"/>
      <c r="P52" s="152"/>
      <c r="Q52" s="1082"/>
      <c r="R52" s="152"/>
      <c r="S52" s="1084"/>
      <c r="T52" s="1085" t="s">
        <v>412</v>
      </c>
      <c r="U52" s="307"/>
      <c r="V52" s="307"/>
      <c r="W52" s="307"/>
      <c r="X52" s="307"/>
      <c r="Y52" s="307"/>
      <c r="Z52" s="307"/>
      <c r="AA52" s="307"/>
      <c r="AB52" s="307"/>
      <c r="AC52" s="307"/>
      <c r="AD52" s="307"/>
      <c r="AE52" s="307"/>
      <c r="AF52" s="307"/>
      <c r="AG52" s="307"/>
      <c r="AH52" s="307"/>
      <c r="AI52" s="307"/>
      <c r="AJ52" s="307"/>
      <c r="AK52" s="307"/>
      <c r="AM52" s="151"/>
      <c r="AN52" s="151" t="str">
        <f t="shared" si="1"/>
        <v>Добавить территорию для дифференциации</v>
      </c>
      <c r="AO52" s="151"/>
      <c r="AP52" s="151"/>
      <c r="AQ52" s="44">
        <v>0</v>
      </c>
    </row>
    <row r="53" s="44" customFormat="1" hidden="1" customHeight="1" spans="1:43">
      <c r="A53" s="590"/>
      <c r="B53" s="590"/>
      <c r="C53" s="590"/>
      <c r="D53" s="590"/>
      <c r="E53" s="590"/>
      <c r="F53" s="590"/>
      <c r="G53" s="590"/>
      <c r="H53" s="590"/>
      <c r="I53" s="590"/>
      <c r="J53" s="590"/>
      <c r="K53" s="590"/>
      <c r="L53" s="611"/>
      <c r="M53" s="1059"/>
      <c r="N53" s="1059"/>
      <c r="P53" s="152"/>
      <c r="Q53" s="1082"/>
      <c r="R53" s="152"/>
      <c r="S53" s="1084"/>
      <c r="T53" s="1085" t="s">
        <v>440</v>
      </c>
      <c r="U53" s="307"/>
      <c r="V53" s="307"/>
      <c r="W53" s="307"/>
      <c r="X53" s="307"/>
      <c r="Y53" s="307"/>
      <c r="Z53" s="307"/>
      <c r="AA53" s="307"/>
      <c r="AB53" s="307"/>
      <c r="AC53" s="307"/>
      <c r="AD53" s="307"/>
      <c r="AE53" s="307"/>
      <c r="AF53" s="307"/>
      <c r="AG53" s="307"/>
      <c r="AH53" s="307"/>
      <c r="AI53" s="307"/>
      <c r="AJ53" s="307"/>
      <c r="AK53" s="307"/>
      <c r="AM53" s="151"/>
      <c r="AN53" s="151" t="str">
        <f t="shared" si="1"/>
        <v>Добавить наименование тарифа</v>
      </c>
      <c r="AO53" s="151"/>
      <c r="AP53" s="151"/>
      <c r="AQ53" s="44">
        <v>0</v>
      </c>
    </row>
    <row r="54" ht="11.55" customHeight="1" spans="13:43">
      <c r="M54" s="38"/>
      <c r="N54" s="38"/>
      <c r="O54" s="38"/>
      <c r="P54" s="43"/>
      <c r="Q54" s="43"/>
      <c r="R54" s="43"/>
      <c r="S54" s="43"/>
      <c r="AL54" s="43"/>
      <c r="AM54" s="43"/>
      <c r="AN54" s="43"/>
      <c r="AO54" s="43"/>
      <c r="AP54" s="43"/>
      <c r="AQ54" s="43">
        <v>11</v>
      </c>
    </row>
    <row r="55" ht="14.7" customHeight="1" spans="15:43">
      <c r="O55" s="38"/>
      <c r="S55" s="786"/>
      <c r="T55" s="120"/>
      <c r="U55" s="120"/>
      <c r="V55" s="120"/>
      <c r="W55" s="120"/>
      <c r="X55" s="120"/>
      <c r="Y55" s="120"/>
      <c r="Z55" s="120"/>
      <c r="AA55" s="120"/>
      <c r="AB55" s="120"/>
      <c r="AC55" s="120"/>
      <c r="AD55" s="120"/>
      <c r="AE55" s="120"/>
      <c r="AF55" s="120"/>
      <c r="AG55" s="120"/>
      <c r="AH55" s="120"/>
      <c r="AI55" s="120"/>
      <c r="AJ55" s="120"/>
      <c r="AK55" s="120"/>
      <c r="AQ55" s="43">
        <v>14</v>
      </c>
    </row>
    <row r="56" ht="14.7" customHeight="1" spans="15:43">
      <c r="O56" s="38"/>
      <c r="AQ56" s="43">
        <v>14</v>
      </c>
    </row>
    <row r="57" ht="14.7" customHeight="1" spans="15:43">
      <c r="O57" s="38"/>
      <c r="S57" s="786"/>
      <c r="T57" s="120"/>
      <c r="U57" s="120"/>
      <c r="V57" s="120"/>
      <c r="W57" s="120"/>
      <c r="X57" s="120"/>
      <c r="Y57" s="120"/>
      <c r="Z57" s="120"/>
      <c r="AA57" s="120"/>
      <c r="AB57" s="120"/>
      <c r="AC57" s="120"/>
      <c r="AD57" s="120"/>
      <c r="AE57" s="120"/>
      <c r="AF57" s="120"/>
      <c r="AG57" s="120"/>
      <c r="AH57" s="120"/>
      <c r="AI57" s="120"/>
      <c r="AJ57" s="120"/>
      <c r="AK57" s="120"/>
      <c r="AQ57" s="43">
        <v>14</v>
      </c>
    </row>
    <row r="58" ht="22.5" hidden="1" customHeight="1" spans="1:43">
      <c r="A58" s="38" t="s">
        <v>83</v>
      </c>
      <c r="B58" s="38">
        <v>0</v>
      </c>
      <c r="C58" s="38">
        <v>0</v>
      </c>
      <c r="D58" s="38">
        <v>0</v>
      </c>
      <c r="E58" s="38">
        <v>0</v>
      </c>
      <c r="F58" s="38">
        <v>0</v>
      </c>
      <c r="G58" s="38">
        <v>0</v>
      </c>
      <c r="H58" s="38">
        <v>0</v>
      </c>
      <c r="I58" s="38">
        <v>0</v>
      </c>
      <c r="J58" s="38">
        <v>0</v>
      </c>
      <c r="K58" s="38">
        <v>0</v>
      </c>
      <c r="L58" s="48">
        <v>0</v>
      </c>
      <c r="M58" s="39">
        <v>0</v>
      </c>
      <c r="N58" s="39">
        <v>0</v>
      </c>
      <c r="O58" s="39">
        <v>0</v>
      </c>
      <c r="P58" s="40">
        <v>3</v>
      </c>
      <c r="Q58" s="41">
        <v>3</v>
      </c>
      <c r="R58" s="41">
        <v>3</v>
      </c>
      <c r="S58" s="42">
        <v>12</v>
      </c>
      <c r="T58" s="43">
        <v>35</v>
      </c>
      <c r="U58" s="43">
        <v>0</v>
      </c>
      <c r="V58" s="43">
        <v>0</v>
      </c>
      <c r="W58" s="43">
        <v>0</v>
      </c>
      <c r="X58" s="43">
        <v>0</v>
      </c>
      <c r="Y58" s="43">
        <v>0</v>
      </c>
      <c r="Z58" s="43">
        <v>0</v>
      </c>
      <c r="AA58" s="43">
        <v>0</v>
      </c>
      <c r="AB58" s="43">
        <v>0</v>
      </c>
      <c r="AC58" s="43">
        <v>24</v>
      </c>
      <c r="AD58" s="43">
        <v>24</v>
      </c>
      <c r="AE58" s="43">
        <v>24</v>
      </c>
      <c r="AF58" s="43">
        <v>11</v>
      </c>
      <c r="AG58" s="43">
        <v>3</v>
      </c>
      <c r="AH58" s="43">
        <v>11</v>
      </c>
      <c r="AI58" s="43">
        <v>0</v>
      </c>
      <c r="AJ58" s="43">
        <v>4</v>
      </c>
      <c r="AK58" s="43">
        <v>115</v>
      </c>
      <c r="AL58" s="44">
        <v>10</v>
      </c>
      <c r="AM58" s="44">
        <v>10</v>
      </c>
      <c r="AN58" s="44">
        <v>10</v>
      </c>
      <c r="AO58" s="44">
        <v>10</v>
      </c>
      <c r="AP58" s="44">
        <v>10</v>
      </c>
      <c r="AQ58" s="43">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4.1428571428571" style="38" hidden="1" customWidth="1"/>
    <col min="10" max="10" width="9.84761904761905" style="38" hidden="1" customWidth="1"/>
    <col min="11" max="11" width="14.7142857142857"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5" style="43" customWidth="1"/>
    <col min="21" max="21" width="0.142857142857143" style="43" customWidth="1"/>
    <col min="22" max="24" width="24.7142857142857" style="43" hidden="1" customWidth="1"/>
    <col min="25" max="25" width="11.7142857142857" style="43" hidden="1" customWidth="1"/>
    <col min="26" max="26" width="3.71428571428571" style="43" hidden="1" customWidth="1"/>
    <col min="27" max="27" width="11.7142857142857" style="43" hidden="1" customWidth="1"/>
    <col min="28" max="28" width="8.57142857142857" style="43" hidden="1" customWidth="1"/>
    <col min="29" max="29" width="24.7142857142857" style="43" customWidth="1"/>
    <col min="30" max="31" width="24" style="43" customWidth="1"/>
    <col min="32" max="32" width="11" style="43" customWidth="1"/>
    <col min="33" max="33" width="3.71428571428571" style="43" customWidth="1"/>
    <col min="34" max="34" width="11" style="43" customWidth="1"/>
    <col min="35" max="35" width="8.57142857142857" style="43" hidden="1" customWidth="1"/>
    <col min="36" max="36" width="4" style="43" customWidth="1"/>
    <col min="37" max="37" width="115" style="43" customWidth="1"/>
    <col min="38" max="42" width="10" style="44" customWidth="1"/>
    <col min="43" max="43" width="10.5714285714286" style="43" hidden="1"/>
  </cols>
  <sheetData>
    <row r="1" ht="22.5" hidden="1" customHeight="1" spans="43:43">
      <c r="AQ1" s="43" t="s">
        <v>14</v>
      </c>
    </row>
    <row r="2" ht="23.25" hidden="1" customHeight="1" spans="1:43">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89"/>
      <c r="AC2" s="1090" t="e">
        <f>INDEX(PT_DIFFERENTIATION_NTAR,MATCH(A2,PT_DIFFERENTIATION_NTAR_ID,0))</f>
        <v>#N/A</v>
      </c>
      <c r="AD2" s="1061"/>
      <c r="AE2" s="1061"/>
      <c r="AF2" s="1061"/>
      <c r="AG2" s="1061"/>
      <c r="AH2" s="1061"/>
      <c r="AI2" s="1061"/>
      <c r="AJ2" s="1089"/>
      <c r="AK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51"/>
      <c r="AN2" s="151" t="str">
        <f t="shared" ref="AN2:AN13" si="0">IF(T2="","",T2)</f>
        <v>Наименование тарифа</v>
      </c>
      <c r="AO2" s="151"/>
      <c r="AP2" s="151"/>
      <c r="AQ2" s="43">
        <v>0</v>
      </c>
    </row>
    <row r="3" ht="23.25" hidden="1" customHeight="1" spans="1:43">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89"/>
      <c r="AC3" s="1090" t="e">
        <f>INDEX(PT_DIFFERENTIATION_TER,MATCH(B3,PT_DIFFERENTIATION_TER_ID,0))</f>
        <v>#N/A</v>
      </c>
      <c r="AD3" s="1061"/>
      <c r="AE3" s="1061"/>
      <c r="AF3" s="1061"/>
      <c r="AG3" s="1061"/>
      <c r="AH3" s="1061"/>
      <c r="AI3" s="1061"/>
      <c r="AJ3" s="1089"/>
      <c r="AK3" s="136" t="s">
        <v>394</v>
      </c>
      <c r="AM3" s="151"/>
      <c r="AN3" s="151" t="str">
        <f t="shared" si="0"/>
        <v>Территория действия тарифа</v>
      </c>
      <c r="AO3" s="151"/>
      <c r="AP3" s="151"/>
      <c r="AQ3" s="43">
        <v>0</v>
      </c>
    </row>
    <row r="4" ht="23.25" hidden="1" customHeight="1" spans="1:43">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510</v>
      </c>
      <c r="U4" s="84"/>
      <c r="V4" s="1090"/>
      <c r="W4" s="1061"/>
      <c r="X4" s="1061"/>
      <c r="Y4" s="1061"/>
      <c r="Z4" s="1061"/>
      <c r="AA4" s="1061"/>
      <c r="AB4" s="1089"/>
      <c r="AC4" s="1090" t="e">
        <f>INDEX(PT_DIFFERENTIATION_CS,MATCH(C4,PT_DIFFERENTIATION_CS_ID,0))</f>
        <v>#N/A</v>
      </c>
      <c r="AD4" s="1061"/>
      <c r="AE4" s="1061"/>
      <c r="AF4" s="1061"/>
      <c r="AG4" s="1061"/>
      <c r="AH4" s="1061"/>
      <c r="AI4" s="1061"/>
      <c r="AJ4" s="1089"/>
      <c r="AK4" s="136" t="s">
        <v>511</v>
      </c>
      <c r="AM4" s="151"/>
      <c r="AN4" s="151" t="str">
        <f t="shared" si="0"/>
        <v>Наименование централизованной системы водоотведения</v>
      </c>
      <c r="AO4" s="151"/>
      <c r="AP4" s="151"/>
      <c r="AQ4" s="43">
        <v>0</v>
      </c>
    </row>
    <row r="5" ht="23.25" hidden="1" customHeight="1" spans="1:43">
      <c r="A5" s="46"/>
      <c r="B5" s="46"/>
      <c r="C5" s="46"/>
      <c r="D5" s="46"/>
      <c r="E5" s="1053"/>
      <c r="F5" s="1053"/>
      <c r="G5" s="1053"/>
      <c r="H5" s="1053"/>
      <c r="I5" s="229" t="e">
        <f>S4&amp;".1"</f>
        <v>#N/A</v>
      </c>
      <c r="J5" s="46"/>
      <c r="K5" s="46"/>
      <c r="L5" s="1054"/>
      <c r="P5" s="93">
        <v>1</v>
      </c>
      <c r="Q5" s="93"/>
      <c r="R5" s="94"/>
      <c r="S5" s="65" t="e">
        <f>$I5</f>
        <v>#N/A</v>
      </c>
      <c r="T5" s="95" t="s">
        <v>477</v>
      </c>
      <c r="U5" s="84"/>
      <c r="V5" s="1126"/>
      <c r="W5" s="1127"/>
      <c r="X5" s="1127"/>
      <c r="Y5" s="1127"/>
      <c r="Z5" s="1127"/>
      <c r="AA5" s="1127"/>
      <c r="AB5" s="1131"/>
      <c r="AC5" s="831"/>
      <c r="AD5" s="1134"/>
      <c r="AE5" s="1134"/>
      <c r="AF5" s="1134"/>
      <c r="AG5" s="1134"/>
      <c r="AH5" s="1134"/>
      <c r="AI5" s="1134"/>
      <c r="AJ5" s="1135"/>
      <c r="AK5" s="136" t="s">
        <v>478</v>
      </c>
      <c r="AM5" s="151"/>
      <c r="AN5" s="151" t="str">
        <f t="shared" si="0"/>
        <v>Наименование признака дифференциации</v>
      </c>
      <c r="AO5" s="151"/>
      <c r="AP5" s="151"/>
      <c r="AQ5" s="43">
        <v>0</v>
      </c>
    </row>
    <row r="6" ht="23.25" hidden="1" customHeight="1" spans="1:43">
      <c r="A6" s="46"/>
      <c r="B6" s="46"/>
      <c r="C6" s="46"/>
      <c r="D6" s="46"/>
      <c r="E6" s="1053"/>
      <c r="F6" s="1053"/>
      <c r="G6" s="1053"/>
      <c r="H6" s="1053"/>
      <c r="I6" s="1058"/>
      <c r="J6" s="229" t="e">
        <f>I5&amp;".1"</f>
        <v>#N/A</v>
      </c>
      <c r="K6" s="46"/>
      <c r="L6" s="1054" t="s">
        <v>402</v>
      </c>
      <c r="P6" s="93"/>
      <c r="Q6" s="93">
        <v>1</v>
      </c>
      <c r="R6" s="97"/>
      <c r="S6" s="65" t="e">
        <f>$J6</f>
        <v>#N/A</v>
      </c>
      <c r="T6" s="98" t="s">
        <v>403</v>
      </c>
      <c r="U6" s="84"/>
      <c r="V6" s="99"/>
      <c r="W6" s="100"/>
      <c r="X6" s="100"/>
      <c r="Y6" s="100"/>
      <c r="Z6" s="100"/>
      <c r="AA6" s="100"/>
      <c r="AB6" s="137"/>
      <c r="AC6" s="99"/>
      <c r="AD6" s="100"/>
      <c r="AE6" s="100"/>
      <c r="AF6" s="100"/>
      <c r="AG6" s="100"/>
      <c r="AH6" s="100"/>
      <c r="AI6" s="100"/>
      <c r="AJ6" s="137"/>
      <c r="AK6" s="1136" t="s">
        <v>479</v>
      </c>
      <c r="AM6" s="151"/>
      <c r="AN6" s="151" t="str">
        <f t="shared" si="0"/>
        <v>Группа потребителей</v>
      </c>
      <c r="AO6" s="151"/>
      <c r="AP6" s="151"/>
      <c r="AQ6" s="43">
        <v>0</v>
      </c>
    </row>
    <row r="7" ht="23.25" hidden="1" customHeight="1" spans="1:43">
      <c r="A7" s="46"/>
      <c r="B7" s="46"/>
      <c r="C7" s="46"/>
      <c r="D7" s="46"/>
      <c r="E7" s="1053"/>
      <c r="F7" s="1053"/>
      <c r="G7" s="1053"/>
      <c r="H7" s="1053"/>
      <c r="I7" s="1058"/>
      <c r="J7" s="1058"/>
      <c r="K7" s="229" t="e">
        <f>J6&amp;".1"</f>
        <v>#N/A</v>
      </c>
      <c r="L7" s="1054"/>
      <c r="P7" s="93"/>
      <c r="Q7" s="93"/>
      <c r="R7" s="97">
        <v>1</v>
      </c>
      <c r="S7" s="65" t="e">
        <f>$K7</f>
        <v>#N/A</v>
      </c>
      <c r="T7" s="1128"/>
      <c r="U7" s="84"/>
      <c r="V7" s="102"/>
      <c r="W7" s="102"/>
      <c r="X7" s="138"/>
      <c r="Y7" s="139"/>
      <c r="Z7" s="140" t="s">
        <v>66</v>
      </c>
      <c r="AA7" s="139"/>
      <c r="AB7" s="140" t="s">
        <v>66</v>
      </c>
      <c r="AC7" s="102"/>
      <c r="AD7" s="102"/>
      <c r="AE7" s="138"/>
      <c r="AF7" s="139"/>
      <c r="AG7" s="140" t="s">
        <v>66</v>
      </c>
      <c r="AH7" s="1137"/>
      <c r="AI7" s="140" t="s">
        <v>66</v>
      </c>
      <c r="AJ7" s="1138"/>
      <c r="AK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 t="e">
        <f>STRCHECKDATE(V8:AJ8)</f>
        <v>#NAME?</v>
      </c>
      <c r="AM7" s="151"/>
      <c r="AN7" s="151" t="str">
        <f t="shared" si="0"/>
        <v/>
      </c>
      <c r="AO7" s="151"/>
      <c r="AP7" s="151"/>
      <c r="AQ7" s="43">
        <v>0</v>
      </c>
    </row>
    <row r="8" hidden="1" customHeight="1" spans="1:43">
      <c r="A8" s="46"/>
      <c r="B8" s="46"/>
      <c r="C8" s="46"/>
      <c r="D8" s="46"/>
      <c r="E8" s="1053"/>
      <c r="F8" s="1053"/>
      <c r="G8" s="1053"/>
      <c r="H8" s="1053"/>
      <c r="I8" s="1058"/>
      <c r="J8" s="1058"/>
      <c r="K8" s="229"/>
      <c r="L8" s="1054"/>
      <c r="P8" s="93"/>
      <c r="Q8" s="93"/>
      <c r="R8" s="97"/>
      <c r="S8" s="104"/>
      <c r="T8" s="84"/>
      <c r="U8" s="84"/>
      <c r="V8" s="103"/>
      <c r="W8" s="103"/>
      <c r="X8" s="142" t="str">
        <f>Y7&amp;"-"&amp;AA7</f>
        <v>-</v>
      </c>
      <c r="Y8" s="143"/>
      <c r="Z8" s="140"/>
      <c r="AA8" s="143"/>
      <c r="AB8" s="140"/>
      <c r="AC8" s="103"/>
      <c r="AD8" s="103"/>
      <c r="AE8" s="142" t="str">
        <f>AF7&amp;"-"&amp;AH7</f>
        <v>-</v>
      </c>
      <c r="AF8" s="143"/>
      <c r="AG8" s="140"/>
      <c r="AH8" s="1140"/>
      <c r="AI8" s="140"/>
      <c r="AJ8" s="768"/>
      <c r="AK8" s="1139"/>
      <c r="AM8" s="151"/>
      <c r="AN8" s="151" t="str">
        <f t="shared" si="0"/>
        <v/>
      </c>
      <c r="AO8" s="151"/>
      <c r="AP8" s="151"/>
      <c r="AQ8" s="43">
        <v>0</v>
      </c>
    </row>
    <row r="9" ht="21" hidden="1" customHeight="1" spans="1:43">
      <c r="A9" s="46"/>
      <c r="B9" s="46"/>
      <c r="C9" s="46"/>
      <c r="D9" s="46"/>
      <c r="E9" s="1053"/>
      <c r="F9" s="1053"/>
      <c r="G9" s="1053"/>
      <c r="H9" s="1053"/>
      <c r="I9" s="1058"/>
      <c r="J9" s="229"/>
      <c r="K9" s="46"/>
      <c r="L9" s="1054"/>
      <c r="P9" s="93"/>
      <c r="Q9" s="93"/>
      <c r="R9" s="94"/>
      <c r="S9" s="105"/>
      <c r="T9" s="108" t="s">
        <v>480</v>
      </c>
      <c r="U9" s="107"/>
      <c r="V9" s="107"/>
      <c r="W9" s="107"/>
      <c r="X9" s="107"/>
      <c r="Y9" s="107"/>
      <c r="Z9" s="107"/>
      <c r="AA9" s="107"/>
      <c r="AB9" s="107"/>
      <c r="AC9" s="107"/>
      <c r="AD9" s="107"/>
      <c r="AE9" s="107"/>
      <c r="AF9" s="107"/>
      <c r="AG9" s="107"/>
      <c r="AH9" s="107"/>
      <c r="AI9" s="107"/>
      <c r="AJ9" s="107"/>
      <c r="AK9" s="136" t="s">
        <v>481</v>
      </c>
      <c r="AM9" s="151"/>
      <c r="AN9" s="151" t="str">
        <f t="shared" si="0"/>
        <v>Добавить значение признака дифференциации</v>
      </c>
      <c r="AO9" s="151"/>
      <c r="AP9" s="151"/>
      <c r="AQ9" s="43">
        <v>0</v>
      </c>
    </row>
    <row r="10" ht="21" hidden="1" customHeight="1" spans="1:43">
      <c r="A10" s="46"/>
      <c r="B10" s="46"/>
      <c r="C10" s="46"/>
      <c r="D10" s="46"/>
      <c r="E10" s="1053"/>
      <c r="F10" s="1053"/>
      <c r="G10" s="1053"/>
      <c r="H10" s="1053"/>
      <c r="I10" s="229"/>
      <c r="J10" s="46"/>
      <c r="K10" s="46"/>
      <c r="L10" s="1054"/>
      <c r="P10" s="93"/>
      <c r="Q10" s="93"/>
      <c r="R10" s="94"/>
      <c r="S10" s="105"/>
      <c r="T10" s="110" t="s">
        <v>408</v>
      </c>
      <c r="U10" s="107"/>
      <c r="V10" s="107"/>
      <c r="W10" s="107"/>
      <c r="X10" s="107"/>
      <c r="Y10" s="107"/>
      <c r="Z10" s="107"/>
      <c r="AA10" s="107"/>
      <c r="AB10" s="147"/>
      <c r="AC10" s="107"/>
      <c r="AD10" s="107"/>
      <c r="AE10" s="107"/>
      <c r="AF10" s="107"/>
      <c r="AG10" s="107"/>
      <c r="AH10" s="107"/>
      <c r="AI10" s="147"/>
      <c r="AJ10" s="107"/>
      <c r="AK10" s="1141"/>
      <c r="AM10" s="151"/>
      <c r="AN10" s="151" t="str">
        <f t="shared" si="0"/>
        <v>Добавить группу потребителей</v>
      </c>
      <c r="AO10" s="151"/>
      <c r="AP10" s="151"/>
      <c r="AQ10" s="43">
        <v>0</v>
      </c>
    </row>
    <row r="11" ht="21" hidden="1" customHeight="1" spans="1:43">
      <c r="A11" s="46"/>
      <c r="B11" s="46"/>
      <c r="C11" s="46"/>
      <c r="D11" s="46"/>
      <c r="E11" s="1053"/>
      <c r="F11" s="1053"/>
      <c r="G11" s="1053"/>
      <c r="H11" s="1052"/>
      <c r="I11" s="46"/>
      <c r="J11" s="46"/>
      <c r="K11" s="46"/>
      <c r="L11" s="1054"/>
      <c r="M11" s="47"/>
      <c r="N11" s="47"/>
      <c r="O11" s="38"/>
      <c r="P11" s="81"/>
      <c r="Q11" s="109"/>
      <c r="R11" s="82"/>
      <c r="S11" s="105"/>
      <c r="T11" s="821" t="s">
        <v>482</v>
      </c>
      <c r="U11" s="107"/>
      <c r="V11" s="107"/>
      <c r="W11" s="107"/>
      <c r="X11" s="107"/>
      <c r="Y11" s="107"/>
      <c r="Z11" s="107"/>
      <c r="AA11" s="107"/>
      <c r="AB11" s="147"/>
      <c r="AC11" s="107"/>
      <c r="AD11" s="107"/>
      <c r="AE11" s="107"/>
      <c r="AF11" s="107"/>
      <c r="AG11" s="107"/>
      <c r="AH11" s="107"/>
      <c r="AI11" s="147"/>
      <c r="AJ11" s="107"/>
      <c r="AK11" s="148"/>
      <c r="AM11" s="151"/>
      <c r="AN11" s="151" t="str">
        <f t="shared" si="0"/>
        <v>Добавить наименование признака дифференциации</v>
      </c>
      <c r="AO11" s="151"/>
      <c r="AP11" s="151"/>
      <c r="AQ11" s="43">
        <v>0</v>
      </c>
    </row>
    <row r="12" s="44" customFormat="1" hidden="1" customHeight="1" spans="1:43">
      <c r="A12" s="590"/>
      <c r="B12" s="590"/>
      <c r="C12" s="590"/>
      <c r="D12" s="590"/>
      <c r="E12" s="1053"/>
      <c r="F12" s="1052"/>
      <c r="G12" s="590"/>
      <c r="H12" s="590"/>
      <c r="I12" s="590"/>
      <c r="J12" s="590"/>
      <c r="K12" s="590"/>
      <c r="L12" s="611"/>
      <c r="M12" s="1059"/>
      <c r="N12" s="1059"/>
      <c r="P12" s="152"/>
      <c r="Q12" s="1082"/>
      <c r="R12" s="152"/>
      <c r="S12" s="1084"/>
      <c r="T12" s="1085" t="s">
        <v>411</v>
      </c>
      <c r="U12" s="307"/>
      <c r="V12" s="307"/>
      <c r="W12" s="307"/>
      <c r="X12" s="307"/>
      <c r="Y12" s="307"/>
      <c r="Z12" s="307"/>
      <c r="AA12" s="307"/>
      <c r="AB12" s="307"/>
      <c r="AC12" s="307"/>
      <c r="AD12" s="307"/>
      <c r="AE12" s="307"/>
      <c r="AF12" s="307"/>
      <c r="AG12" s="307"/>
      <c r="AH12" s="307"/>
      <c r="AI12" s="307"/>
      <c r="AJ12" s="307"/>
      <c r="AK12" s="307"/>
      <c r="AM12" s="151"/>
      <c r="AN12" s="151" t="str">
        <f t="shared" si="0"/>
        <v>Добавить централизованную систему для дифференциации</v>
      </c>
      <c r="AO12" s="151"/>
      <c r="AP12" s="151"/>
      <c r="AQ12" s="44">
        <v>0</v>
      </c>
    </row>
    <row r="13" s="44" customFormat="1" hidden="1" customHeight="1" spans="1:43">
      <c r="A13" s="590"/>
      <c r="B13" s="590"/>
      <c r="C13" s="590"/>
      <c r="D13" s="590"/>
      <c r="E13" s="1052"/>
      <c r="F13" s="590"/>
      <c r="G13" s="590"/>
      <c r="H13" s="590"/>
      <c r="I13" s="590"/>
      <c r="J13" s="590"/>
      <c r="K13" s="590"/>
      <c r="L13" s="611"/>
      <c r="M13" s="1059"/>
      <c r="N13" s="1059"/>
      <c r="P13" s="152"/>
      <c r="Q13" s="1082"/>
      <c r="R13" s="152"/>
      <c r="S13" s="1084"/>
      <c r="T13" s="1085" t="s">
        <v>412</v>
      </c>
      <c r="U13" s="307"/>
      <c r="V13" s="307"/>
      <c r="W13" s="307"/>
      <c r="X13" s="307"/>
      <c r="Y13" s="307"/>
      <c r="Z13" s="307"/>
      <c r="AA13" s="307"/>
      <c r="AB13" s="307"/>
      <c r="AC13" s="307"/>
      <c r="AD13" s="307"/>
      <c r="AE13" s="307"/>
      <c r="AF13" s="307"/>
      <c r="AG13" s="307"/>
      <c r="AH13" s="307"/>
      <c r="AI13" s="307"/>
      <c r="AJ13" s="307"/>
      <c r="AK13" s="307"/>
      <c r="AM13" s="151"/>
      <c r="AN13" s="151" t="str">
        <f t="shared" si="0"/>
        <v>Добавить территорию для дифференциации</v>
      </c>
      <c r="AO13" s="151"/>
      <c r="AP13" s="151"/>
      <c r="AQ13" s="44">
        <v>0</v>
      </c>
    </row>
    <row r="14" hidden="1" customHeight="1" spans="43:43">
      <c r="AQ14" s="43">
        <v>0</v>
      </c>
    </row>
    <row r="15" hidden="1" customHeight="1" spans="29:43">
      <c r="AC15" s="492"/>
      <c r="AD15" s="492"/>
      <c r="AE15" s="1132"/>
      <c r="AF15" s="1133"/>
      <c r="AG15" s="353" t="s">
        <v>66</v>
      </c>
      <c r="AH15" s="1133"/>
      <c r="AI15" s="353" t="s">
        <v>66</v>
      </c>
      <c r="AQ15" s="43">
        <v>0</v>
      </c>
    </row>
    <row r="16" hidden="1" customHeight="1" spans="29:43">
      <c r="AC16" s="492"/>
      <c r="AD16" s="492"/>
      <c r="AE16" s="142" t="str">
        <f>AF15&amp;"-"&amp;AH15</f>
        <v>-</v>
      </c>
      <c r="AF16" s="353"/>
      <c r="AG16" s="353"/>
      <c r="AH16" s="353"/>
      <c r="AI16" s="353"/>
      <c r="AQ16" s="43">
        <v>0</v>
      </c>
    </row>
    <row r="17" hidden="1" customHeight="1" spans="43:43">
      <c r="AQ17" s="43">
        <v>0</v>
      </c>
    </row>
    <row r="18" s="38" customFormat="1" ht="22.5" hidden="1" customHeight="1" spans="12:43">
      <c r="L18" s="48"/>
      <c r="M18" s="39"/>
      <c r="N18" s="39"/>
      <c r="O18" s="1060" t="s">
        <v>413</v>
      </c>
      <c r="P18" s="39"/>
      <c r="Q18" s="1051"/>
      <c r="R18" s="1051"/>
      <c r="S18" s="47"/>
      <c r="Y18" s="1060"/>
      <c r="AA18" s="1060"/>
      <c r="AF18" s="1060"/>
      <c r="AH18" s="1060"/>
      <c r="AL18" s="44"/>
      <c r="AM18" s="44"/>
      <c r="AN18" s="44"/>
      <c r="AO18" s="44"/>
      <c r="AP18" s="44"/>
      <c r="AQ18" s="38">
        <v>0</v>
      </c>
    </row>
    <row r="19" s="38" customFormat="1" hidden="1" customHeight="1" spans="12:43">
      <c r="L19" s="48"/>
      <c r="M19" s="39"/>
      <c r="N19" s="39"/>
      <c r="O19" s="39"/>
      <c r="P19" s="39"/>
      <c r="Q19" s="1051"/>
      <c r="R19" s="1051"/>
      <c r="S19" s="47"/>
      <c r="AL19" s="44"/>
      <c r="AM19" s="44"/>
      <c r="AN19" s="44"/>
      <c r="AO19" s="44"/>
      <c r="AP19" s="44"/>
      <c r="AQ19" s="38">
        <v>0</v>
      </c>
    </row>
    <row r="20" s="38" customFormat="1" ht="12" hidden="1" customHeight="1" spans="12:43">
      <c r="L20" s="48"/>
      <c r="M20" s="39"/>
      <c r="N20" s="39"/>
      <c r="O20" s="1054" t="s">
        <v>414</v>
      </c>
      <c r="P20" s="39"/>
      <c r="Q20" s="1129"/>
      <c r="R20" s="1129"/>
      <c r="S20" s="47"/>
      <c r="T20" s="38" t="s">
        <v>415</v>
      </c>
      <c r="Z20" s="45" t="s">
        <v>416</v>
      </c>
      <c r="AB20" s="45" t="s">
        <v>417</v>
      </c>
      <c r="AC20" s="38" t="s">
        <v>415</v>
      </c>
      <c r="AG20" s="45" t="s">
        <v>418</v>
      </c>
      <c r="AI20" s="45" t="s">
        <v>417</v>
      </c>
      <c r="AQ20" s="38">
        <v>0</v>
      </c>
    </row>
    <row r="21" hidden="1" customHeight="1" spans="15:43">
      <c r="O21" s="1054"/>
      <c r="AQ21" s="43">
        <v>0</v>
      </c>
    </row>
    <row r="22" hidden="1" customHeight="1" spans="15:43">
      <c r="O22" s="1054"/>
      <c r="AQ22" s="43">
        <v>0</v>
      </c>
    </row>
    <row r="23" ht="14.7" customHeight="1" spans="17:43">
      <c r="Q23" s="51"/>
      <c r="R23" s="51"/>
      <c r="S23" s="52"/>
      <c r="T23" s="53"/>
      <c r="U23" s="53"/>
      <c r="AQ23" s="43">
        <v>14</v>
      </c>
    </row>
    <row r="24" ht="14.7" customHeight="1" spans="17:43">
      <c r="Q24" s="51"/>
      <c r="R24" s="51"/>
      <c r="S24" s="7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755"/>
      <c r="U24" s="755"/>
      <c r="V24" s="755"/>
      <c r="W24" s="755"/>
      <c r="X24" s="755"/>
      <c r="Y24" s="755"/>
      <c r="Z24" s="755"/>
      <c r="AA24" s="755"/>
      <c r="AB24" s="755"/>
      <c r="AC24" s="755"/>
      <c r="AD24" s="755"/>
      <c r="AE24" s="755"/>
      <c r="AF24" s="755"/>
      <c r="AG24" s="755"/>
      <c r="AH24" s="755"/>
      <c r="AI24" s="121"/>
      <c r="AQ24" s="43">
        <v>14</v>
      </c>
    </row>
    <row r="25" ht="14.7" customHeight="1" spans="17:43">
      <c r="Q25" s="51"/>
      <c r="R25" s="51"/>
      <c r="S25" s="660" t="str">
        <f>IF(org=0,"Не определено",org)</f>
        <v>АО "Теплокоммунэнерго"</v>
      </c>
      <c r="T25" s="660"/>
      <c r="U25" s="660"/>
      <c r="V25" s="660"/>
      <c r="W25" s="660"/>
      <c r="X25" s="660"/>
      <c r="Y25" s="660"/>
      <c r="Z25" s="660"/>
      <c r="AA25" s="660"/>
      <c r="AB25" s="660"/>
      <c r="AC25" s="660"/>
      <c r="AD25" s="660"/>
      <c r="AE25" s="660"/>
      <c r="AF25" s="660"/>
      <c r="AG25" s="660"/>
      <c r="AH25" s="660"/>
      <c r="AI25" s="121"/>
      <c r="AQ25" s="43">
        <v>14</v>
      </c>
    </row>
    <row r="26" hidden="1" customHeight="1" spans="17:43">
      <c r="Q26" s="51"/>
      <c r="R26" s="51"/>
      <c r="S26" s="52"/>
      <c r="T26" s="53"/>
      <c r="U26" s="53"/>
      <c r="V26" s="56"/>
      <c r="W26" s="56"/>
      <c r="X26" s="56"/>
      <c r="Y26" s="56"/>
      <c r="Z26" s="56"/>
      <c r="AA26" s="56"/>
      <c r="AB26" s="56"/>
      <c r="AC26" s="56"/>
      <c r="AD26" s="56"/>
      <c r="AE26" s="56"/>
      <c r="AF26" s="56"/>
      <c r="AG26" s="56"/>
      <c r="AH26" s="56"/>
      <c r="AI26" s="56"/>
      <c r="AQ26" s="43">
        <v>0</v>
      </c>
    </row>
    <row r="27" s="36" customFormat="1" ht="25.5" hidden="1" customHeight="1" spans="1:43">
      <c r="A27" s="45"/>
      <c r="B27" s="45"/>
      <c r="C27" s="45"/>
      <c r="D27" s="45"/>
      <c r="E27" s="45"/>
      <c r="F27" s="45"/>
      <c r="G27" s="45"/>
      <c r="H27" s="45"/>
      <c r="I27" s="45"/>
      <c r="J27" s="45"/>
      <c r="K27" s="45"/>
      <c r="L27" s="1054"/>
      <c r="M27" s="45"/>
      <c r="N27" s="45"/>
      <c r="O27" s="45"/>
      <c r="S27"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58"/>
      <c r="U27" s="1088"/>
      <c r="V27" s="60" t="str">
        <f>IF(TITLE_NAME_OR_PR_CHANGE="",IF(TITLE_NAME_OR_PR="","",TITLE_NAME_OR_PR),TITLE_NAME_OR_PR_CHANGE)</f>
        <v/>
      </c>
      <c r="W27" s="60"/>
      <c r="X27" s="60"/>
      <c r="Y27" s="60"/>
      <c r="Z27" s="60"/>
      <c r="AA27" s="60"/>
      <c r="AB27" s="43"/>
      <c r="AC27" s="60" t="str">
        <f>IF(TITLE_NAME_OR_PR_CHANGE="",IF(TITLE_NAME_OR_PR="","",TITLE_NAME_OR_PR),TITLE_NAME_OR_PR_CHANGE)</f>
        <v/>
      </c>
      <c r="AD27" s="60"/>
      <c r="AE27" s="60"/>
      <c r="AF27" s="60"/>
      <c r="AG27" s="60"/>
      <c r="AH27" s="60"/>
      <c r="AI27" s="43"/>
      <c r="AJ27" s="43"/>
      <c r="AK27" s="122"/>
      <c r="AL27" s="151"/>
      <c r="AM27" s="151"/>
      <c r="AN27" s="151"/>
      <c r="AO27" s="151"/>
      <c r="AP27" s="151"/>
      <c r="AQ27" s="36">
        <v>0</v>
      </c>
    </row>
    <row r="28" s="36" customFormat="1" ht="18.75" hidden="1" customHeight="1" spans="1:43">
      <c r="A28" s="45"/>
      <c r="B28" s="45"/>
      <c r="C28" s="45"/>
      <c r="D28" s="45"/>
      <c r="E28" s="45"/>
      <c r="F28" s="45"/>
      <c r="G28" s="45"/>
      <c r="H28" s="45"/>
      <c r="I28" s="45"/>
      <c r="J28" s="45"/>
      <c r="K28" s="45"/>
      <c r="L28" s="1054"/>
      <c r="M28" s="45"/>
      <c r="N28" s="45"/>
      <c r="O28" s="45"/>
      <c r="S28" s="58" t="str">
        <f>"Дата документа об "&amp;IF(TITLE_DATE_PR_CHANGE="","утверждении","изменении")&amp;" тарифов"</f>
        <v>Дата документа об утверждении тарифов</v>
      </c>
      <c r="T28" s="58"/>
      <c r="U28" s="1088"/>
      <c r="V28" s="793" t="str">
        <f>IF(TITLE_DATE_PR_CHANGE="",IF(TITLE_DATE_PR="","",TITLE_DATE_PR),TITLE_DATE_PR_CHANGE)</f>
        <v/>
      </c>
      <c r="W28" s="793"/>
      <c r="X28" s="793"/>
      <c r="Y28" s="793"/>
      <c r="Z28" s="793"/>
      <c r="AA28" s="793"/>
      <c r="AB28" s="43"/>
      <c r="AC28" s="793" t="str">
        <f>IF(TITLE_DATE_PR_CHANGE="",IF(TITLE_DATE_PR="","",TITLE_DATE_PR),TITLE_DATE_PR_CHANGE)</f>
        <v/>
      </c>
      <c r="AD28" s="793"/>
      <c r="AE28" s="793"/>
      <c r="AF28" s="793"/>
      <c r="AG28" s="793"/>
      <c r="AH28" s="793"/>
      <c r="AI28" s="43"/>
      <c r="AJ28" s="43"/>
      <c r="AK28" s="122"/>
      <c r="AL28" s="151"/>
      <c r="AM28" s="151"/>
      <c r="AN28" s="151"/>
      <c r="AO28" s="151"/>
      <c r="AP28" s="151"/>
      <c r="AQ28" s="36">
        <v>0</v>
      </c>
    </row>
    <row r="29" s="36" customFormat="1" ht="18.75" hidden="1" customHeight="1" spans="1:43">
      <c r="A29" s="45"/>
      <c r="B29" s="45"/>
      <c r="C29" s="45"/>
      <c r="D29" s="45"/>
      <c r="E29" s="45"/>
      <c r="F29" s="45"/>
      <c r="G29" s="45"/>
      <c r="H29" s="45"/>
      <c r="I29" s="45"/>
      <c r="J29" s="45"/>
      <c r="K29" s="45"/>
      <c r="L29" s="1054"/>
      <c r="M29" s="45"/>
      <c r="N29" s="45"/>
      <c r="O29" s="45"/>
      <c r="S29" s="58" t="str">
        <f>"Номер документа об "&amp;IF(TITLE_DATE_PR_CHANGE="","утверждении","изменении")&amp;" тарифов"</f>
        <v>Номер документа об утверждении тарифов</v>
      </c>
      <c r="T29" s="58"/>
      <c r="U29" s="1088"/>
      <c r="V29" s="60" t="str">
        <f>IF(TITLE_NUMBER_PR_CHANGE="",IF(TITLE_NUMBER_PR="","",TITLE_NUMBER_PR),TITLE_NUMBER_PR_CHANGE)</f>
        <v/>
      </c>
      <c r="W29" s="60"/>
      <c r="X29" s="60"/>
      <c r="Y29" s="60"/>
      <c r="Z29" s="60"/>
      <c r="AA29" s="60"/>
      <c r="AB29" s="43"/>
      <c r="AC29" s="60" t="str">
        <f>IF(TITLE_NUMBER_PR_CHANGE="",IF(TITLE_NUMBER_PR="","",TITLE_NUMBER_PR),TITLE_NUMBER_PR_CHANGE)</f>
        <v/>
      </c>
      <c r="AD29" s="60"/>
      <c r="AE29" s="60"/>
      <c r="AF29" s="60"/>
      <c r="AG29" s="60"/>
      <c r="AH29" s="60"/>
      <c r="AI29" s="43"/>
      <c r="AJ29" s="43"/>
      <c r="AK29" s="122"/>
      <c r="AL29" s="151"/>
      <c r="AM29" s="151"/>
      <c r="AN29" s="151"/>
      <c r="AO29" s="151"/>
      <c r="AP29" s="151"/>
      <c r="AQ29" s="36">
        <v>0</v>
      </c>
    </row>
    <row r="30" s="36" customFormat="1" ht="18.75" hidden="1" customHeight="1" spans="1:43">
      <c r="A30" s="45"/>
      <c r="B30" s="45"/>
      <c r="C30" s="45"/>
      <c r="D30" s="45"/>
      <c r="E30" s="45"/>
      <c r="F30" s="45"/>
      <c r="G30" s="45"/>
      <c r="H30" s="45"/>
      <c r="I30" s="45"/>
      <c r="J30" s="45"/>
      <c r="K30" s="45"/>
      <c r="L30" s="1054"/>
      <c r="M30" s="45"/>
      <c r="N30" s="45"/>
      <c r="O30" s="45"/>
      <c r="S30" s="58" t="s">
        <v>43</v>
      </c>
      <c r="T30" s="58"/>
      <c r="U30" s="1088"/>
      <c r="V30" s="60" t="str">
        <f>IF(TITLE_IST_PUB_CHANGE="",IF(TITLE_IST_PUB="","",TITLE_IST_PUB),TITLE_IST_PUB_CHANGE)</f>
        <v/>
      </c>
      <c r="W30" s="60"/>
      <c r="X30" s="60"/>
      <c r="Y30" s="60"/>
      <c r="Z30" s="60"/>
      <c r="AA30" s="60"/>
      <c r="AB30" s="43"/>
      <c r="AC30" s="60" t="str">
        <f>IF(TITLE_IST_PUB_CHANGE="",IF(TITLE_IST_PUB="","",TITLE_IST_PUB),TITLE_IST_PUB_CHANGE)</f>
        <v/>
      </c>
      <c r="AD30" s="60"/>
      <c r="AE30" s="60"/>
      <c r="AF30" s="60"/>
      <c r="AG30" s="60"/>
      <c r="AH30" s="60"/>
      <c r="AI30" s="43"/>
      <c r="AJ30" s="43"/>
      <c r="AK30" s="122"/>
      <c r="AL30" s="151"/>
      <c r="AM30" s="151"/>
      <c r="AN30" s="151"/>
      <c r="AO30" s="151"/>
      <c r="AP30" s="151"/>
      <c r="AQ30" s="36">
        <v>0</v>
      </c>
    </row>
    <row r="31" hidden="1" customHeight="1" spans="17:43">
      <c r="Q31" s="51"/>
      <c r="R31" s="51"/>
      <c r="S31" s="52"/>
      <c r="T31" s="53"/>
      <c r="U31" s="53"/>
      <c r="V31" s="56"/>
      <c r="W31" s="56"/>
      <c r="X31" s="56"/>
      <c r="Y31" s="56"/>
      <c r="Z31" s="56"/>
      <c r="AA31" s="56"/>
      <c r="AB31" s="56"/>
      <c r="AC31" s="56"/>
      <c r="AD31" s="56"/>
      <c r="AE31" s="56"/>
      <c r="AF31" s="56"/>
      <c r="AG31" s="56"/>
      <c r="AH31" s="56"/>
      <c r="AI31" s="56"/>
      <c r="AQ31" s="43">
        <v>0</v>
      </c>
    </row>
    <row r="32" s="36" customFormat="1" ht="18.75" hidden="1" customHeight="1" spans="1:43">
      <c r="A32" s="45"/>
      <c r="B32" s="45"/>
      <c r="C32" s="45"/>
      <c r="D32" s="45"/>
      <c r="E32" s="45"/>
      <c r="F32" s="45"/>
      <c r="G32" s="45"/>
      <c r="H32" s="45"/>
      <c r="I32" s="45"/>
      <c r="J32" s="45"/>
      <c r="K32" s="45"/>
      <c r="L32" s="1054"/>
      <c r="M32" s="45"/>
      <c r="N32" s="45"/>
      <c r="O32" s="45"/>
      <c r="S32" s="58" t="str">
        <f>"Дата подачи заявления об "&amp;IF(TITLE_DATE_PR_CHANGE="","утверждении","изменении")&amp;" тарифов"</f>
        <v>Дата подачи заявления об утверждении тарифов</v>
      </c>
      <c r="T32" s="58"/>
      <c r="U32" s="1088"/>
      <c r="V32" s="793" t="str">
        <f>IF(TITLE_DATE_PR_CHANGE="",IF(TITLE_DATE_PR="","",TITLE_DATE_PR),TITLE_DATE_PR_CHANGE)</f>
        <v/>
      </c>
      <c r="W32" s="793"/>
      <c r="X32" s="793"/>
      <c r="Y32" s="793"/>
      <c r="Z32" s="793"/>
      <c r="AA32" s="793"/>
      <c r="AB32" s="43"/>
      <c r="AC32" s="793" t="str">
        <f>IF(TITLE_DATE_PR_CHANGE="",IF(TITLE_DATE_PR="","",TITLE_DATE_PR),TITLE_DATE_PR_CHANGE)</f>
        <v/>
      </c>
      <c r="AD32" s="793"/>
      <c r="AE32" s="793"/>
      <c r="AF32" s="793"/>
      <c r="AG32" s="793"/>
      <c r="AH32" s="793"/>
      <c r="AI32" s="43"/>
      <c r="AJ32" s="43"/>
      <c r="AK32" s="122"/>
      <c r="AL32" s="151"/>
      <c r="AM32" s="151"/>
      <c r="AN32" s="151"/>
      <c r="AO32" s="151"/>
      <c r="AP32" s="151"/>
      <c r="AQ32" s="36">
        <v>0</v>
      </c>
    </row>
    <row r="33" s="36" customFormat="1" ht="18.75" hidden="1" customHeight="1" spans="1:43">
      <c r="A33" s="45"/>
      <c r="B33" s="45"/>
      <c r="C33" s="45"/>
      <c r="D33" s="45"/>
      <c r="E33" s="45"/>
      <c r="F33" s="45"/>
      <c r="G33" s="45"/>
      <c r="H33" s="45"/>
      <c r="I33" s="45"/>
      <c r="J33" s="45"/>
      <c r="K33" s="45"/>
      <c r="L33" s="1054"/>
      <c r="M33" s="45"/>
      <c r="N33" s="45"/>
      <c r="O33" s="45"/>
      <c r="S33" s="58" t="str">
        <f>"Номер подачи заявления об "&amp;IF(TITLE_DATE_PR_CHANGE="","утверждении","изменении")&amp;" тарифов"</f>
        <v>Номер подачи заявления об утверждении тарифов</v>
      </c>
      <c r="T33" s="58"/>
      <c r="U33" s="1088"/>
      <c r="V33" s="60" t="str">
        <f>IF(TITLE_NUMBER_PR_CHANGE="",IF(TITLE_NUMBER_PR="","",TITLE_NUMBER_PR),TITLE_NUMBER_PR_CHANGE)</f>
        <v/>
      </c>
      <c r="W33" s="60"/>
      <c r="X33" s="60"/>
      <c r="Y33" s="60"/>
      <c r="Z33" s="60"/>
      <c r="AA33" s="60"/>
      <c r="AB33" s="43"/>
      <c r="AC33" s="60" t="str">
        <f>IF(TITLE_NUMBER_PR_CHANGE="",IF(TITLE_NUMBER_PR="","",TITLE_NUMBER_PR),TITLE_NUMBER_PR_CHANGE)</f>
        <v/>
      </c>
      <c r="AD33" s="60"/>
      <c r="AE33" s="60"/>
      <c r="AF33" s="60"/>
      <c r="AG33" s="60"/>
      <c r="AH33" s="60"/>
      <c r="AI33" s="43"/>
      <c r="AJ33" s="43"/>
      <c r="AK33" s="122"/>
      <c r="AL33" s="151"/>
      <c r="AM33" s="151"/>
      <c r="AN33" s="151"/>
      <c r="AO33" s="151"/>
      <c r="AP33" s="151"/>
      <c r="AQ33" s="36">
        <v>0</v>
      </c>
    </row>
    <row r="34" s="36" customFormat="1" ht="1.05" customHeight="1" spans="1:43">
      <c r="A34" s="45"/>
      <c r="B34" s="45"/>
      <c r="C34" s="45"/>
      <c r="D34" s="45"/>
      <c r="E34" s="45"/>
      <c r="F34" s="45"/>
      <c r="G34" s="45"/>
      <c r="H34" s="45"/>
      <c r="I34" s="45"/>
      <c r="J34" s="45"/>
      <c r="K34" s="45"/>
      <c r="L34" s="1054"/>
      <c r="M34" s="45"/>
      <c r="N34" s="45"/>
      <c r="O34" s="45"/>
      <c r="S34" s="43"/>
      <c r="T34" s="43"/>
      <c r="U34" s="61"/>
      <c r="V34" s="43"/>
      <c r="W34" s="43"/>
      <c r="X34" s="43"/>
      <c r="Y34" s="43"/>
      <c r="Z34" s="43"/>
      <c r="AA34" s="43"/>
      <c r="AB34" s="44" t="s">
        <v>419</v>
      </c>
      <c r="AC34" s="43"/>
      <c r="AD34" s="43"/>
      <c r="AE34" s="43"/>
      <c r="AF34" s="43"/>
      <c r="AG34" s="43"/>
      <c r="AH34" s="43"/>
      <c r="AI34" s="44" t="s">
        <v>419</v>
      </c>
      <c r="AL34" s="151"/>
      <c r="AM34" s="151"/>
      <c r="AN34" s="151"/>
      <c r="AO34" s="151"/>
      <c r="AP34" s="151"/>
      <c r="AQ34" s="36">
        <v>1</v>
      </c>
    </row>
    <row r="35" ht="14.7" customHeight="1" spans="17:43">
      <c r="Q35" s="51"/>
      <c r="R35" s="51"/>
      <c r="S35" s="52"/>
      <c r="T35" s="53"/>
      <c r="U35" s="62"/>
      <c r="V35" s="63"/>
      <c r="W35" s="63"/>
      <c r="X35" s="63"/>
      <c r="Y35" s="63"/>
      <c r="Z35" s="63"/>
      <c r="AA35" s="63"/>
      <c r="AB35" s="63"/>
      <c r="AC35" s="63"/>
      <c r="AD35" s="63"/>
      <c r="AE35" s="63"/>
      <c r="AF35" s="63"/>
      <c r="AG35" s="63"/>
      <c r="AH35" s="63"/>
      <c r="AI35" s="63"/>
      <c r="AQ35" s="43">
        <v>14</v>
      </c>
    </row>
    <row r="36" ht="14.7" customHeight="1" spans="17:43">
      <c r="Q36" s="51"/>
      <c r="R36" s="51"/>
      <c r="S36" s="64" t="s">
        <v>296</v>
      </c>
      <c r="T36" s="64"/>
      <c r="U36" s="64"/>
      <c r="V36" s="64"/>
      <c r="W36" s="64"/>
      <c r="X36" s="64"/>
      <c r="Y36" s="64"/>
      <c r="Z36" s="64"/>
      <c r="AA36" s="64"/>
      <c r="AB36" s="64"/>
      <c r="AC36" s="64"/>
      <c r="AD36" s="64"/>
      <c r="AE36" s="64"/>
      <c r="AF36" s="64"/>
      <c r="AG36" s="64"/>
      <c r="AH36" s="64"/>
      <c r="AI36" s="64"/>
      <c r="AJ36" s="64"/>
      <c r="AK36" s="64" t="s">
        <v>297</v>
      </c>
      <c r="AQ36" s="43">
        <v>14</v>
      </c>
    </row>
    <row r="37" ht="14.7" customHeight="1" spans="17:43">
      <c r="Q37" s="51"/>
      <c r="R37" s="51"/>
      <c r="S37" s="65" t="s">
        <v>89</v>
      </c>
      <c r="T37" s="66" t="s">
        <v>420</v>
      </c>
      <c r="U37" s="67"/>
      <c r="V37" s="68" t="s">
        <v>421</v>
      </c>
      <c r="W37" s="69"/>
      <c r="X37" s="69"/>
      <c r="Y37" s="69"/>
      <c r="Z37" s="69"/>
      <c r="AA37" s="123"/>
      <c r="AB37" s="124" t="s">
        <v>422</v>
      </c>
      <c r="AC37" s="68" t="s">
        <v>421</v>
      </c>
      <c r="AD37" s="69"/>
      <c r="AE37" s="69"/>
      <c r="AF37" s="69"/>
      <c r="AG37" s="69"/>
      <c r="AH37" s="123"/>
      <c r="AI37" s="124" t="s">
        <v>423</v>
      </c>
      <c r="AJ37" s="125" t="s">
        <v>424</v>
      </c>
      <c r="AK37" s="64"/>
      <c r="AQ37" s="43">
        <v>14</v>
      </c>
    </row>
    <row r="38" ht="35.7" customHeight="1" spans="17:43">
      <c r="Q38" s="51"/>
      <c r="R38" s="51"/>
      <c r="S38" s="65"/>
      <c r="T38" s="66"/>
      <c r="U38" s="70"/>
      <c r="V38" s="71" t="s">
        <v>483</v>
      </c>
      <c r="W38" s="126" t="s">
        <v>427</v>
      </c>
      <c r="X38" s="127"/>
      <c r="Y38" s="126" t="s">
        <v>428</v>
      </c>
      <c r="Z38" s="128"/>
      <c r="AA38" s="127"/>
      <c r="AB38" s="129"/>
      <c r="AC38" s="71" t="s">
        <v>483</v>
      </c>
      <c r="AD38" s="126" t="s">
        <v>427</v>
      </c>
      <c r="AE38" s="127"/>
      <c r="AF38" s="126" t="s">
        <v>428</v>
      </c>
      <c r="AG38" s="128"/>
      <c r="AH38" s="127"/>
      <c r="AI38" s="129"/>
      <c r="AJ38" s="130"/>
      <c r="AK38" s="64"/>
      <c r="AQ38" s="43">
        <v>34</v>
      </c>
    </row>
    <row r="39" ht="90.3" customHeight="1" spans="1:43">
      <c r="A39" s="45"/>
      <c r="B39" s="45" t="s">
        <v>133</v>
      </c>
      <c r="C39" s="45" t="s">
        <v>134</v>
      </c>
      <c r="D39" s="45" t="s">
        <v>135</v>
      </c>
      <c r="E39" s="1054" t="s">
        <v>429</v>
      </c>
      <c r="F39" s="1054" t="s">
        <v>430</v>
      </c>
      <c r="G39" s="1054" t="s">
        <v>431</v>
      </c>
      <c r="H39" s="1054"/>
      <c r="I39" s="1054" t="s">
        <v>484</v>
      </c>
      <c r="J39" s="1054" t="s">
        <v>434</v>
      </c>
      <c r="K39" s="1054" t="s">
        <v>485</v>
      </c>
      <c r="L39" s="1054" t="s">
        <v>414</v>
      </c>
      <c r="Q39" s="51"/>
      <c r="R39" s="51"/>
      <c r="S39" s="65"/>
      <c r="T39" s="66"/>
      <c r="U39" s="72"/>
      <c r="V39" s="71" t="s">
        <v>512</v>
      </c>
      <c r="W39" s="131" t="s">
        <v>513</v>
      </c>
      <c r="X39" s="131" t="s">
        <v>488</v>
      </c>
      <c r="Y39" s="131" t="s">
        <v>438</v>
      </c>
      <c r="Z39" s="132" t="s">
        <v>439</v>
      </c>
      <c r="AA39" s="133"/>
      <c r="AB39" s="134"/>
      <c r="AC39" s="71" t="s">
        <v>512</v>
      </c>
      <c r="AD39" s="131" t="s">
        <v>513</v>
      </c>
      <c r="AE39" s="131" t="s">
        <v>488</v>
      </c>
      <c r="AF39" s="131" t="s">
        <v>438</v>
      </c>
      <c r="AG39" s="132" t="s">
        <v>439</v>
      </c>
      <c r="AH39" s="133"/>
      <c r="AI39" s="134"/>
      <c r="AJ39" s="135"/>
      <c r="AK39" s="64"/>
      <c r="AQ39" s="43">
        <v>86</v>
      </c>
    </row>
    <row r="40" s="37" customFormat="1" hidden="1" customHeight="1" spans="1:43">
      <c r="A40" s="45"/>
      <c r="B40" s="45"/>
      <c r="C40" s="45"/>
      <c r="D40" s="45"/>
      <c r="E40" s="45"/>
      <c r="F40" s="45"/>
      <c r="G40" s="45"/>
      <c r="H40" s="45"/>
      <c r="I40" s="45"/>
      <c r="J40" s="45"/>
      <c r="K40" s="45"/>
      <c r="L40" s="1054"/>
      <c r="M40" s="39"/>
      <c r="N40" s="39"/>
      <c r="O40" s="39"/>
      <c r="P40" s="74"/>
      <c r="Q40" s="75"/>
      <c r="R40" s="76">
        <v>1</v>
      </c>
      <c r="S40" s="77" t="s">
        <v>107</v>
      </c>
      <c r="T40" s="78" t="s">
        <v>108</v>
      </c>
      <c r="U40" s="79" t="str">
        <f ca="1">OFFSET(U40,0,-1)</f>
        <v>2</v>
      </c>
      <c r="V40" s="80">
        <f ca="1">OFFSET(V40,0,-1)+1</f>
        <v>3</v>
      </c>
      <c r="W40" s="80">
        <f ca="1">OFFSET(W40,0,-1)+1</f>
        <v>4</v>
      </c>
      <c r="X40" s="80">
        <f ca="1">OFFSET(X40,0,-1)+1</f>
        <v>5</v>
      </c>
      <c r="Y40" s="80">
        <f ca="1">OFFSET(Y40,0,-1)+1</f>
        <v>6</v>
      </c>
      <c r="Z40" s="80">
        <f ca="1">OFFSET(Z40,0,-1)+1</f>
        <v>7</v>
      </c>
      <c r="AA40" s="80"/>
      <c r="AB40" s="80">
        <f ca="1">OFFSET(AB40,0,-2)+1</f>
        <v>8</v>
      </c>
      <c r="AC40" s="80">
        <f ca="1">OFFSET(AC40,0,-1)+1</f>
        <v>9</v>
      </c>
      <c r="AD40" s="80">
        <f ca="1">OFFSET(AD40,0,-1)+1</f>
        <v>10</v>
      </c>
      <c r="AE40" s="80">
        <f ca="1">OFFSET(AE40,0,-1)+1</f>
        <v>11</v>
      </c>
      <c r="AF40" s="80">
        <f ca="1">OFFSET(AF40,0,-1)+1</f>
        <v>12</v>
      </c>
      <c r="AG40" s="80">
        <f ca="1">OFFSET(AG40,0,-1)+1</f>
        <v>13</v>
      </c>
      <c r="AH40" s="80"/>
      <c r="AI40" s="80">
        <f ca="1">OFFSET(AI40,0,-2)+1</f>
        <v>14</v>
      </c>
      <c r="AJ40" s="79">
        <f ca="1">OFFSET(AJ40,0,-1)</f>
        <v>14</v>
      </c>
      <c r="AK40" s="80">
        <f ca="1">OFFSET(AK40,0,-1)+1</f>
        <v>15</v>
      </c>
      <c r="AL40" s="44"/>
      <c r="AM40" s="44"/>
      <c r="AN40" s="44"/>
      <c r="AO40" s="44"/>
      <c r="AP40" s="44"/>
      <c r="AQ40" s="37">
        <v>0</v>
      </c>
    </row>
    <row r="41" ht="24" customHeight="1" spans="1:43">
      <c r="A41" s="46" t="s">
        <v>267</v>
      </c>
      <c r="B41" s="46"/>
      <c r="C41" s="46"/>
      <c r="D41" s="46"/>
      <c r="E41" s="1052">
        <v>1</v>
      </c>
      <c r="F41" s="46"/>
      <c r="G41" s="46"/>
      <c r="H41" s="46"/>
      <c r="I41" s="46"/>
      <c r="J41" s="46"/>
      <c r="K41" s="46"/>
      <c r="L41" s="1054"/>
      <c r="M41" s="47"/>
      <c r="N41" s="47"/>
      <c r="O41" s="47"/>
      <c r="Q41" s="81"/>
      <c r="R41" s="82"/>
      <c r="S41" s="65">
        <f>INDEX(PT_DIFFERENTIATION_NUM_NTAR,MATCH(A41,PT_DIFFERENTIATION_NTAR_ID,0))</f>
        <v>0</v>
      </c>
      <c r="T41" s="83" t="s">
        <v>121</v>
      </c>
      <c r="U41" s="84"/>
      <c r="V41" s="1090"/>
      <c r="W41" s="1061"/>
      <c r="X41" s="1061"/>
      <c r="Y41" s="1061"/>
      <c r="Z41" s="1061"/>
      <c r="AA41" s="1061"/>
      <c r="AB41" s="1089"/>
      <c r="AC41" s="1090" t="str">
        <f>INDEX(PT_DIFFERENTIATION_NTAR,MATCH(A41,PT_DIFFERENTIATION_NTAR_ID,0))</f>
        <v/>
      </c>
      <c r="AD41" s="1061"/>
      <c r="AE41" s="1061"/>
      <c r="AF41" s="1061"/>
      <c r="AG41" s="1061"/>
      <c r="AH41" s="1061"/>
      <c r="AI41" s="1061"/>
      <c r="AJ41" s="1089"/>
      <c r="AK41"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51"/>
      <c r="AN41" s="151" t="str">
        <f t="shared" ref="AN41:AN53" si="1">IF(T41="","",T41)</f>
        <v>Наименование тарифа</v>
      </c>
      <c r="AO41" s="151"/>
      <c r="AP41" s="151"/>
      <c r="AQ41" s="43">
        <v>23</v>
      </c>
    </row>
    <row r="42" ht="24" customHeight="1" spans="1:43">
      <c r="A42" s="46" t="s">
        <v>267</v>
      </c>
      <c r="B42" s="46" t="s">
        <v>268</v>
      </c>
      <c r="C42" s="46"/>
      <c r="D42" s="46"/>
      <c r="E42" s="1053"/>
      <c r="F42" s="1052">
        <v>1</v>
      </c>
      <c r="G42" s="46"/>
      <c r="H42" s="46"/>
      <c r="I42" s="46"/>
      <c r="J42" s="46"/>
      <c r="K42" s="46"/>
      <c r="L42" s="1054"/>
      <c r="M42" s="47"/>
      <c r="N42" s="47"/>
      <c r="O42" s="47"/>
      <c r="P42" s="86"/>
      <c r="Q42" s="87"/>
      <c r="R42" s="88"/>
      <c r="S42" s="65" t="str">
        <f>INDEX(PT_DIFFERENTIATION_NUM_TER,MATCH(B42,PT_DIFFERENTIATION_TER_ID,0))</f>
        <v>.</v>
      </c>
      <c r="T42" s="89" t="s">
        <v>393</v>
      </c>
      <c r="U42" s="84"/>
      <c r="V42" s="1090"/>
      <c r="W42" s="1061"/>
      <c r="X42" s="1061"/>
      <c r="Y42" s="1061"/>
      <c r="Z42" s="1061"/>
      <c r="AA42" s="1061"/>
      <c r="AB42" s="1089"/>
      <c r="AC42" s="1090" t="str">
        <f>INDEX(PT_DIFFERENTIATION_TER,MATCH(B42,PT_DIFFERENTIATION_TER_ID,0))</f>
        <v/>
      </c>
      <c r="AD42" s="1061"/>
      <c r="AE42" s="1061"/>
      <c r="AF42" s="1061"/>
      <c r="AG42" s="1061"/>
      <c r="AH42" s="1061"/>
      <c r="AI42" s="1061"/>
      <c r="AJ42" s="1089"/>
      <c r="AK42" s="136" t="s">
        <v>394</v>
      </c>
      <c r="AM42" s="151"/>
      <c r="AN42" s="151" t="str">
        <f t="shared" si="1"/>
        <v>Территория действия тарифа</v>
      </c>
      <c r="AO42" s="151"/>
      <c r="AP42" s="151"/>
      <c r="AQ42" s="43">
        <v>23</v>
      </c>
    </row>
    <row r="43" ht="24" customHeight="1" spans="1:43">
      <c r="A43" s="46" t="s">
        <v>267</v>
      </c>
      <c r="B43" s="46" t="s">
        <v>268</v>
      </c>
      <c r="C43" s="46" t="s">
        <v>269</v>
      </c>
      <c r="D43" s="46"/>
      <c r="E43" s="1053"/>
      <c r="F43" s="1053"/>
      <c r="G43" s="1052">
        <v>1</v>
      </c>
      <c r="H43" s="46"/>
      <c r="I43" s="46"/>
      <c r="J43" s="46"/>
      <c r="K43" s="46"/>
      <c r="L43" s="1054"/>
      <c r="M43" s="47"/>
      <c r="N43" s="47"/>
      <c r="O43" s="47"/>
      <c r="P43" s="90"/>
      <c r="Q43" s="87"/>
      <c r="R43" s="88"/>
      <c r="S43" s="65" t="str">
        <f>INDEX(PT_DIFFERENTIATION_NUM_CS,MATCH(C43,PT_DIFFERENTIATION_CS_ID,0))</f>
        <v>..</v>
      </c>
      <c r="T43" s="91" t="s">
        <v>510</v>
      </c>
      <c r="U43" s="84"/>
      <c r="V43" s="1090"/>
      <c r="W43" s="1061"/>
      <c r="X43" s="1061"/>
      <c r="Y43" s="1061"/>
      <c r="Z43" s="1061"/>
      <c r="AA43" s="1061"/>
      <c r="AB43" s="1089"/>
      <c r="AC43" s="1090" t="str">
        <f>INDEX(PT_DIFFERENTIATION_CS,MATCH(C43,PT_DIFFERENTIATION_CS_ID,0))</f>
        <v/>
      </c>
      <c r="AD43" s="1061"/>
      <c r="AE43" s="1061"/>
      <c r="AF43" s="1061"/>
      <c r="AG43" s="1061"/>
      <c r="AH43" s="1061"/>
      <c r="AI43" s="1061"/>
      <c r="AJ43" s="1089"/>
      <c r="AK43" s="136" t="s">
        <v>511</v>
      </c>
      <c r="AM43" s="151"/>
      <c r="AN43" s="151" t="str">
        <f t="shared" si="1"/>
        <v>Наименование централизованной системы водоотведения</v>
      </c>
      <c r="AO43" s="151"/>
      <c r="AP43" s="151"/>
      <c r="AQ43" s="43">
        <v>23</v>
      </c>
    </row>
    <row r="44" ht="24" customHeight="1" spans="1:43">
      <c r="A44" s="46" t="s">
        <v>267</v>
      </c>
      <c r="B44" s="46" t="s">
        <v>268</v>
      </c>
      <c r="C44" s="46" t="s">
        <v>269</v>
      </c>
      <c r="D44" s="46" t="s">
        <v>515</v>
      </c>
      <c r="E44" s="1053"/>
      <c r="F44" s="1053"/>
      <c r="G44" s="1053"/>
      <c r="H44" s="1053"/>
      <c r="I44" s="229" t="str">
        <f>S43&amp;".1"</f>
        <v>...1</v>
      </c>
      <c r="J44" s="46"/>
      <c r="K44" s="46"/>
      <c r="L44" s="1054"/>
      <c r="P44" s="93">
        <v>1</v>
      </c>
      <c r="Q44" s="93"/>
      <c r="R44" s="94"/>
      <c r="S44" s="65" t="str">
        <f>$I44</f>
        <v>...1</v>
      </c>
      <c r="T44" s="95" t="s">
        <v>477</v>
      </c>
      <c r="U44" s="84"/>
      <c r="V44" s="1126"/>
      <c r="W44" s="1127"/>
      <c r="X44" s="1127"/>
      <c r="Y44" s="1127"/>
      <c r="Z44" s="1127"/>
      <c r="AA44" s="1127"/>
      <c r="AB44" s="1131"/>
      <c r="AC44" s="831"/>
      <c r="AD44" s="1134"/>
      <c r="AE44" s="1134"/>
      <c r="AF44" s="1134"/>
      <c r="AG44" s="1134"/>
      <c r="AH44" s="1134"/>
      <c r="AI44" s="1134"/>
      <c r="AJ44" s="1135"/>
      <c r="AK44" s="136" t="s">
        <v>478</v>
      </c>
      <c r="AM44" s="151"/>
      <c r="AN44" s="151" t="str">
        <f t="shared" si="1"/>
        <v>Наименование признака дифференциации</v>
      </c>
      <c r="AO44" s="151"/>
      <c r="AP44" s="151"/>
      <c r="AQ44" s="43">
        <v>23</v>
      </c>
    </row>
    <row r="45" ht="24" customHeight="1" spans="1:43">
      <c r="A45" s="46" t="s">
        <v>267</v>
      </c>
      <c r="B45" s="46" t="s">
        <v>268</v>
      </c>
      <c r="C45" s="46" t="s">
        <v>269</v>
      </c>
      <c r="D45" s="46" t="s">
        <v>515</v>
      </c>
      <c r="E45" s="1053"/>
      <c r="F45" s="1053"/>
      <c r="G45" s="1053"/>
      <c r="H45" s="1053"/>
      <c r="I45" s="1058"/>
      <c r="J45" s="229" t="str">
        <f>I44&amp;".1"</f>
        <v>...1.1</v>
      </c>
      <c r="K45" s="46"/>
      <c r="L45" s="1054" t="s">
        <v>402</v>
      </c>
      <c r="P45" s="93"/>
      <c r="Q45" s="93">
        <v>1</v>
      </c>
      <c r="R45" s="97"/>
      <c r="S45" s="65" t="str">
        <f>$J45</f>
        <v>...1.1</v>
      </c>
      <c r="T45" s="98" t="s">
        <v>403</v>
      </c>
      <c r="U45" s="84"/>
      <c r="V45" s="99"/>
      <c r="W45" s="100"/>
      <c r="X45" s="100"/>
      <c r="Y45" s="100"/>
      <c r="Z45" s="100"/>
      <c r="AA45" s="100"/>
      <c r="AB45" s="137"/>
      <c r="AC45" s="99"/>
      <c r="AD45" s="100"/>
      <c r="AE45" s="100"/>
      <c r="AF45" s="100"/>
      <c r="AG45" s="100"/>
      <c r="AH45" s="100"/>
      <c r="AI45" s="100"/>
      <c r="AJ45" s="137"/>
      <c r="AK45" s="1136" t="s">
        <v>479</v>
      </c>
      <c r="AM45" s="151"/>
      <c r="AN45" s="151" t="str">
        <f t="shared" si="1"/>
        <v>Группа потребителей</v>
      </c>
      <c r="AO45" s="151"/>
      <c r="AP45" s="151"/>
      <c r="AQ45" s="43">
        <v>23</v>
      </c>
    </row>
    <row r="46" ht="24" customHeight="1" spans="1:43">
      <c r="A46" s="46" t="s">
        <v>267</v>
      </c>
      <c r="B46" s="46" t="s">
        <v>268</v>
      </c>
      <c r="C46" s="46" t="s">
        <v>269</v>
      </c>
      <c r="D46" s="46" t="s">
        <v>515</v>
      </c>
      <c r="E46" s="1053"/>
      <c r="F46" s="1053"/>
      <c r="G46" s="1053"/>
      <c r="H46" s="1053"/>
      <c r="I46" s="1058"/>
      <c r="J46" s="1058"/>
      <c r="K46" s="229" t="str">
        <f>J45&amp;".1"</f>
        <v>...1.1.1</v>
      </c>
      <c r="L46" s="1054"/>
      <c r="P46" s="93"/>
      <c r="Q46" s="93"/>
      <c r="R46" s="97">
        <v>1</v>
      </c>
      <c r="S46" s="65" t="str">
        <f>$K46</f>
        <v>...1.1.1</v>
      </c>
      <c r="T46" s="1128"/>
      <c r="U46" s="84"/>
      <c r="V46" s="492"/>
      <c r="W46" s="492"/>
      <c r="X46" s="1132"/>
      <c r="Y46" s="1133"/>
      <c r="Z46" s="353" t="s">
        <v>66</v>
      </c>
      <c r="AA46" s="1133"/>
      <c r="AB46" s="353" t="s">
        <v>66</v>
      </c>
      <c r="AC46" s="102"/>
      <c r="AD46" s="102"/>
      <c r="AE46" s="138"/>
      <c r="AF46" s="139"/>
      <c r="AG46" s="140" t="s">
        <v>66</v>
      </c>
      <c r="AH46" s="1137"/>
      <c r="AI46" s="140" t="s">
        <v>19</v>
      </c>
      <c r="AJ46" s="1138"/>
      <c r="AK46"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 t="e">
        <f>STRCHECKDATE(V47:AJ47)</f>
        <v>#NAME?</v>
      </c>
      <c r="AM46" s="151"/>
      <c r="AN46" s="151" t="str">
        <f t="shared" si="1"/>
        <v/>
      </c>
      <c r="AO46" s="151"/>
      <c r="AP46" s="151"/>
      <c r="AQ46" s="43">
        <v>23</v>
      </c>
    </row>
    <row r="47" hidden="1" customHeight="1" spans="1:43">
      <c r="A47" s="46" t="s">
        <v>267</v>
      </c>
      <c r="B47" s="46" t="s">
        <v>268</v>
      </c>
      <c r="C47" s="46" t="s">
        <v>269</v>
      </c>
      <c r="D47" s="46" t="s">
        <v>515</v>
      </c>
      <c r="E47" s="1053"/>
      <c r="F47" s="1053"/>
      <c r="G47" s="1053"/>
      <c r="H47" s="1053"/>
      <c r="I47" s="1058"/>
      <c r="J47" s="1058"/>
      <c r="K47" s="229"/>
      <c r="L47" s="1054"/>
      <c r="P47" s="93"/>
      <c r="Q47" s="93"/>
      <c r="R47" s="97"/>
      <c r="S47" s="104"/>
      <c r="T47" s="84"/>
      <c r="U47" s="84"/>
      <c r="V47" s="492"/>
      <c r="W47" s="492"/>
      <c r="X47" s="142" t="str">
        <f>Y46&amp;"-"&amp;AA46</f>
        <v>-</v>
      </c>
      <c r="Y47" s="353"/>
      <c r="Z47" s="353"/>
      <c r="AA47" s="353"/>
      <c r="AB47" s="353"/>
      <c r="AC47" s="103"/>
      <c r="AD47" s="103"/>
      <c r="AE47" s="142" t="str">
        <f>AF46&amp;"-"&amp;AH46</f>
        <v>-</v>
      </c>
      <c r="AF47" s="143"/>
      <c r="AG47" s="140"/>
      <c r="AH47" s="1140"/>
      <c r="AI47" s="140"/>
      <c r="AJ47" s="768"/>
      <c r="AK47" s="1139"/>
      <c r="AM47" s="151"/>
      <c r="AN47" s="151" t="str">
        <f t="shared" si="1"/>
        <v/>
      </c>
      <c r="AO47" s="151"/>
      <c r="AP47" s="151"/>
      <c r="AQ47" s="43">
        <v>0</v>
      </c>
    </row>
    <row r="48" ht="21" customHeight="1" spans="1:43">
      <c r="A48" s="46" t="s">
        <v>267</v>
      </c>
      <c r="B48" s="46" t="s">
        <v>268</v>
      </c>
      <c r="C48" s="46" t="s">
        <v>269</v>
      </c>
      <c r="D48" s="46" t="s">
        <v>515</v>
      </c>
      <c r="E48" s="1053"/>
      <c r="F48" s="1053"/>
      <c r="G48" s="1053"/>
      <c r="H48" s="1053"/>
      <c r="I48" s="1058"/>
      <c r="J48" s="229"/>
      <c r="K48" s="46"/>
      <c r="L48" s="1054"/>
      <c r="P48" s="93"/>
      <c r="Q48" s="93"/>
      <c r="R48" s="94"/>
      <c r="S48" s="105"/>
      <c r="T48" s="108" t="s">
        <v>480</v>
      </c>
      <c r="U48" s="107"/>
      <c r="V48" s="107"/>
      <c r="W48" s="107"/>
      <c r="X48" s="107"/>
      <c r="Y48" s="107"/>
      <c r="Z48" s="107"/>
      <c r="AA48" s="107"/>
      <c r="AB48" s="107"/>
      <c r="AC48" s="107"/>
      <c r="AD48" s="107"/>
      <c r="AE48" s="107"/>
      <c r="AF48" s="107"/>
      <c r="AG48" s="107"/>
      <c r="AH48" s="107"/>
      <c r="AI48" s="107"/>
      <c r="AJ48" s="107"/>
      <c r="AK48" s="136" t="s">
        <v>481</v>
      </c>
      <c r="AM48" s="151"/>
      <c r="AN48" s="151" t="str">
        <f t="shared" si="1"/>
        <v>Добавить значение признака дифференциации</v>
      </c>
      <c r="AO48" s="151"/>
      <c r="AP48" s="151"/>
      <c r="AQ48" s="43">
        <v>20</v>
      </c>
    </row>
    <row r="49" ht="22.05" customHeight="1" spans="1:43">
      <c r="A49" s="46" t="s">
        <v>267</v>
      </c>
      <c r="B49" s="46" t="s">
        <v>268</v>
      </c>
      <c r="C49" s="46" t="s">
        <v>269</v>
      </c>
      <c r="D49" s="46" t="s">
        <v>515</v>
      </c>
      <c r="E49" s="1053"/>
      <c r="F49" s="1053"/>
      <c r="G49" s="1053"/>
      <c r="H49" s="1053"/>
      <c r="I49" s="229"/>
      <c r="J49" s="46"/>
      <c r="K49" s="46"/>
      <c r="L49" s="1054"/>
      <c r="P49" s="93"/>
      <c r="Q49" s="93"/>
      <c r="R49" s="94"/>
      <c r="S49" s="105"/>
      <c r="T49" s="110" t="s">
        <v>408</v>
      </c>
      <c r="U49" s="107"/>
      <c r="V49" s="107"/>
      <c r="W49" s="107"/>
      <c r="X49" s="107"/>
      <c r="Y49" s="107"/>
      <c r="Z49" s="107"/>
      <c r="AA49" s="107"/>
      <c r="AB49" s="147"/>
      <c r="AC49" s="107"/>
      <c r="AD49" s="107"/>
      <c r="AE49" s="107"/>
      <c r="AF49" s="107"/>
      <c r="AG49" s="107"/>
      <c r="AH49" s="107"/>
      <c r="AI49" s="147"/>
      <c r="AJ49" s="107"/>
      <c r="AK49" s="1141"/>
      <c r="AM49" s="151"/>
      <c r="AN49" s="151" t="str">
        <f t="shared" si="1"/>
        <v>Добавить группу потребителей</v>
      </c>
      <c r="AO49" s="151"/>
      <c r="AP49" s="151"/>
      <c r="AQ49" s="43">
        <v>21</v>
      </c>
    </row>
    <row r="50" ht="22.05" customHeight="1" spans="1:43">
      <c r="A50" s="46" t="s">
        <v>267</v>
      </c>
      <c r="B50" s="46" t="s">
        <v>268</v>
      </c>
      <c r="C50" s="46" t="s">
        <v>269</v>
      </c>
      <c r="D50" s="46" t="s">
        <v>515</v>
      </c>
      <c r="E50" s="1053"/>
      <c r="F50" s="1053"/>
      <c r="G50" s="1053"/>
      <c r="H50" s="1052"/>
      <c r="I50" s="46"/>
      <c r="J50" s="46"/>
      <c r="K50" s="46"/>
      <c r="L50" s="1054"/>
      <c r="M50" s="47"/>
      <c r="N50" s="47"/>
      <c r="O50" s="38"/>
      <c r="P50" s="81"/>
      <c r="Q50" s="109"/>
      <c r="R50" s="82"/>
      <c r="S50" s="105"/>
      <c r="T50" s="821" t="s">
        <v>482</v>
      </c>
      <c r="U50" s="107"/>
      <c r="V50" s="107"/>
      <c r="W50" s="107"/>
      <c r="X50" s="107"/>
      <c r="Y50" s="107"/>
      <c r="Z50" s="107"/>
      <c r="AA50" s="107"/>
      <c r="AB50" s="147"/>
      <c r="AC50" s="107"/>
      <c r="AD50" s="107"/>
      <c r="AE50" s="107"/>
      <c r="AF50" s="107"/>
      <c r="AG50" s="107"/>
      <c r="AH50" s="107"/>
      <c r="AI50" s="147"/>
      <c r="AJ50" s="107"/>
      <c r="AK50" s="148"/>
      <c r="AM50" s="151"/>
      <c r="AN50" s="151" t="str">
        <f t="shared" si="1"/>
        <v>Добавить наименование признака дифференциации</v>
      </c>
      <c r="AO50" s="151"/>
      <c r="AP50" s="151"/>
      <c r="AQ50" s="43">
        <v>21</v>
      </c>
    </row>
    <row r="51" s="44" customFormat="1" hidden="1" customHeight="1" spans="1:43">
      <c r="A51" s="590" t="s">
        <v>267</v>
      </c>
      <c r="B51" s="590" t="s">
        <v>268</v>
      </c>
      <c r="C51" s="590"/>
      <c r="D51" s="590"/>
      <c r="E51" s="1053"/>
      <c r="F51" s="1052"/>
      <c r="G51" s="590"/>
      <c r="H51" s="590"/>
      <c r="I51" s="590"/>
      <c r="J51" s="590"/>
      <c r="K51" s="590"/>
      <c r="L51" s="611"/>
      <c r="M51" s="1059"/>
      <c r="N51" s="1059"/>
      <c r="P51" s="152"/>
      <c r="Q51" s="1082"/>
      <c r="R51" s="152"/>
      <c r="S51" s="1084"/>
      <c r="T51" s="1085" t="s">
        <v>411</v>
      </c>
      <c r="U51" s="307"/>
      <c r="V51" s="307"/>
      <c r="W51" s="307"/>
      <c r="X51" s="307"/>
      <c r="Y51" s="307"/>
      <c r="Z51" s="307"/>
      <c r="AA51" s="307"/>
      <c r="AB51" s="307"/>
      <c r="AC51" s="307"/>
      <c r="AD51" s="307"/>
      <c r="AE51" s="307"/>
      <c r="AF51" s="307"/>
      <c r="AG51" s="307"/>
      <c r="AH51" s="307"/>
      <c r="AI51" s="307"/>
      <c r="AJ51" s="307"/>
      <c r="AK51" s="307"/>
      <c r="AM51" s="151"/>
      <c r="AN51" s="151" t="str">
        <f t="shared" si="1"/>
        <v>Добавить централизованную систему для дифференциации</v>
      </c>
      <c r="AO51" s="151"/>
      <c r="AP51" s="151"/>
      <c r="AQ51" s="44">
        <v>0</v>
      </c>
    </row>
    <row r="52" s="44" customFormat="1" hidden="1" customHeight="1" spans="1:43">
      <c r="A52" s="590" t="s">
        <v>267</v>
      </c>
      <c r="B52" s="590"/>
      <c r="C52" s="590"/>
      <c r="D52" s="590"/>
      <c r="E52" s="1052"/>
      <c r="F52" s="590"/>
      <c r="G52" s="590"/>
      <c r="H52" s="590"/>
      <c r="I52" s="590"/>
      <c r="J52" s="590"/>
      <c r="K52" s="590"/>
      <c r="L52" s="611"/>
      <c r="M52" s="1059"/>
      <c r="N52" s="1059"/>
      <c r="P52" s="152"/>
      <c r="Q52" s="1082"/>
      <c r="R52" s="152"/>
      <c r="S52" s="1084"/>
      <c r="T52" s="1085" t="s">
        <v>412</v>
      </c>
      <c r="U52" s="307"/>
      <c r="V52" s="307"/>
      <c r="W52" s="307"/>
      <c r="X52" s="307"/>
      <c r="Y52" s="307"/>
      <c r="Z52" s="307"/>
      <c r="AA52" s="307"/>
      <c r="AB52" s="307"/>
      <c r="AC52" s="307"/>
      <c r="AD52" s="307"/>
      <c r="AE52" s="307"/>
      <c r="AF52" s="307"/>
      <c r="AG52" s="307"/>
      <c r="AH52" s="307"/>
      <c r="AI52" s="307"/>
      <c r="AJ52" s="307"/>
      <c r="AK52" s="307"/>
      <c r="AM52" s="151"/>
      <c r="AN52" s="151" t="str">
        <f t="shared" si="1"/>
        <v>Добавить территорию для дифференциации</v>
      </c>
      <c r="AO52" s="151"/>
      <c r="AP52" s="151"/>
      <c r="AQ52" s="44">
        <v>0</v>
      </c>
    </row>
    <row r="53" s="44" customFormat="1" hidden="1" customHeight="1" spans="1:43">
      <c r="A53" s="590"/>
      <c r="B53" s="590"/>
      <c r="C53" s="590"/>
      <c r="D53" s="590"/>
      <c r="E53" s="590"/>
      <c r="F53" s="590"/>
      <c r="G53" s="590"/>
      <c r="H53" s="590"/>
      <c r="I53" s="590"/>
      <c r="J53" s="590"/>
      <c r="K53" s="590"/>
      <c r="L53" s="611"/>
      <c r="M53" s="1059"/>
      <c r="N53" s="1059"/>
      <c r="P53" s="152"/>
      <c r="Q53" s="1082"/>
      <c r="R53" s="152"/>
      <c r="S53" s="1084"/>
      <c r="T53" s="1085" t="s">
        <v>440</v>
      </c>
      <c r="U53" s="307"/>
      <c r="V53" s="307"/>
      <c r="W53" s="307"/>
      <c r="X53" s="307"/>
      <c r="Y53" s="307"/>
      <c r="Z53" s="307"/>
      <c r="AA53" s="307"/>
      <c r="AB53" s="307"/>
      <c r="AC53" s="307"/>
      <c r="AD53" s="307"/>
      <c r="AE53" s="307"/>
      <c r="AF53" s="307"/>
      <c r="AG53" s="307"/>
      <c r="AH53" s="307"/>
      <c r="AI53" s="307"/>
      <c r="AJ53" s="307"/>
      <c r="AK53" s="307"/>
      <c r="AM53" s="151"/>
      <c r="AN53" s="151" t="str">
        <f t="shared" si="1"/>
        <v>Добавить наименование тарифа</v>
      </c>
      <c r="AO53" s="151"/>
      <c r="AP53" s="151"/>
      <c r="AQ53" s="44">
        <v>0</v>
      </c>
    </row>
    <row r="54" ht="11.55" customHeight="1" spans="13:43">
      <c r="M54" s="38"/>
      <c r="N54" s="38"/>
      <c r="O54" s="38"/>
      <c r="P54" s="43"/>
      <c r="Q54" s="43"/>
      <c r="R54" s="43"/>
      <c r="S54" s="43"/>
      <c r="AL54" s="43"/>
      <c r="AM54" s="43"/>
      <c r="AN54" s="43"/>
      <c r="AO54" s="43"/>
      <c r="AP54" s="43"/>
      <c r="AQ54" s="43">
        <v>11</v>
      </c>
    </row>
    <row r="55" ht="14.7" customHeight="1" spans="15:43">
      <c r="O55" s="38"/>
      <c r="S55" s="786"/>
      <c r="T55" s="120"/>
      <c r="U55" s="120"/>
      <c r="V55" s="120"/>
      <c r="W55" s="120"/>
      <c r="X55" s="120"/>
      <c r="Y55" s="120"/>
      <c r="Z55" s="120"/>
      <c r="AA55" s="120"/>
      <c r="AB55" s="120"/>
      <c r="AC55" s="120"/>
      <c r="AD55" s="120"/>
      <c r="AE55" s="120"/>
      <c r="AF55" s="120"/>
      <c r="AG55" s="120"/>
      <c r="AH55" s="120"/>
      <c r="AI55" s="120"/>
      <c r="AJ55" s="120"/>
      <c r="AK55" s="120"/>
      <c r="AQ55" s="43">
        <v>14</v>
      </c>
    </row>
    <row r="56" ht="14.7" customHeight="1" spans="15:43">
      <c r="O56" s="38"/>
      <c r="AQ56" s="43">
        <v>14</v>
      </c>
    </row>
    <row r="57" ht="14.7" customHeight="1" spans="15:43">
      <c r="O57" s="38"/>
      <c r="S57" s="786"/>
      <c r="T57" s="120"/>
      <c r="U57" s="120"/>
      <c r="V57" s="120"/>
      <c r="W57" s="120"/>
      <c r="X57" s="120"/>
      <c r="Y57" s="120"/>
      <c r="Z57" s="120"/>
      <c r="AA57" s="120"/>
      <c r="AB57" s="120"/>
      <c r="AC57" s="120"/>
      <c r="AD57" s="120"/>
      <c r="AE57" s="120"/>
      <c r="AF57" s="120"/>
      <c r="AG57" s="120"/>
      <c r="AH57" s="120"/>
      <c r="AI57" s="120"/>
      <c r="AJ57" s="120"/>
      <c r="AK57" s="120"/>
      <c r="AQ57" s="43">
        <v>14</v>
      </c>
    </row>
    <row r="58" ht="22.5" hidden="1" customHeight="1" spans="1:43">
      <c r="A58" s="38" t="s">
        <v>83</v>
      </c>
      <c r="B58" s="38">
        <v>0</v>
      </c>
      <c r="C58" s="38">
        <v>0</v>
      </c>
      <c r="D58" s="38">
        <v>0</v>
      </c>
      <c r="E58" s="38">
        <v>0</v>
      </c>
      <c r="F58" s="38">
        <v>0</v>
      </c>
      <c r="G58" s="38">
        <v>0</v>
      </c>
      <c r="H58" s="38">
        <v>0</v>
      </c>
      <c r="I58" s="38">
        <v>0</v>
      </c>
      <c r="J58" s="38">
        <v>0</v>
      </c>
      <c r="K58" s="38">
        <v>0</v>
      </c>
      <c r="L58" s="48">
        <v>0</v>
      </c>
      <c r="M58" s="39">
        <v>0</v>
      </c>
      <c r="N58" s="39">
        <v>0</v>
      </c>
      <c r="O58" s="39">
        <v>0</v>
      </c>
      <c r="P58" s="40">
        <v>3</v>
      </c>
      <c r="Q58" s="41">
        <v>3</v>
      </c>
      <c r="R58" s="41">
        <v>3</v>
      </c>
      <c r="S58" s="42">
        <v>12</v>
      </c>
      <c r="T58" s="43">
        <v>35</v>
      </c>
      <c r="U58" s="43">
        <v>0</v>
      </c>
      <c r="V58" s="43">
        <v>0</v>
      </c>
      <c r="W58" s="43">
        <v>0</v>
      </c>
      <c r="X58" s="43">
        <v>0</v>
      </c>
      <c r="Y58" s="43">
        <v>0</v>
      </c>
      <c r="Z58" s="43">
        <v>0</v>
      </c>
      <c r="AA58" s="43">
        <v>0</v>
      </c>
      <c r="AB58" s="43">
        <v>0</v>
      </c>
      <c r="AC58" s="43">
        <v>24</v>
      </c>
      <c r="AD58" s="43">
        <v>24</v>
      </c>
      <c r="AE58" s="43">
        <v>24</v>
      </c>
      <c r="AF58" s="43">
        <v>11</v>
      </c>
      <c r="AG58" s="43">
        <v>3</v>
      </c>
      <c r="AH58" s="43">
        <v>11</v>
      </c>
      <c r="AI58" s="43">
        <v>0</v>
      </c>
      <c r="AJ58" s="43">
        <v>4</v>
      </c>
      <c r="AK58" s="43">
        <v>115</v>
      </c>
      <c r="AL58" s="44">
        <v>10</v>
      </c>
      <c r="AM58" s="44">
        <v>10</v>
      </c>
      <c r="AN58" s="44">
        <v>10</v>
      </c>
      <c r="AO58" s="44">
        <v>10</v>
      </c>
      <c r="AP58" s="44">
        <v>10</v>
      </c>
      <c r="AQ58" s="43">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I69"/>
  <sheetViews>
    <sheetView showGridLines="0" zoomScale="90" zoomScaleNormal="90" workbookViewId="0">
      <pane xSplit="29" ySplit="45" topLeftCell="AD46" activePane="bottomRight" state="frozen"/>
      <selection/>
      <selection pane="topRight"/>
      <selection pane="bottomLeft"/>
      <selection pane="bottomRight" activeCell="A1" sqref="A1"/>
    </sheetView>
  </sheetViews>
  <sheetFormatPr defaultColWidth="10.5714285714286" defaultRowHeight="14.25" customHeight="1"/>
  <cols>
    <col min="1" max="1" width="11.5714285714286" style="38" hidden="1" customWidth="1"/>
    <col min="2" max="2" width="11" style="38" hidden="1" customWidth="1"/>
    <col min="3" max="3" width="10.5714285714286" style="38" hidden="1"/>
    <col min="4" max="4" width="12.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71428571428571" style="39" hidden="1" customWidth="1"/>
    <col min="17" max="17" width="3.71428571428571" style="1051" hidden="1" customWidth="1"/>
    <col min="18" max="18" width="3" style="41" customWidth="1"/>
    <col min="19" max="19" width="12" style="42" customWidth="1"/>
    <col min="20" max="20" width="31" style="43" customWidth="1"/>
    <col min="21" max="21" width="0.142857142857143" style="43" customWidth="1"/>
    <col min="22" max="25" width="21.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3.71428571428571" style="43" customWidth="1"/>
    <col min="31" max="32" width="3" style="43" customWidth="1"/>
    <col min="33" max="33" width="24" style="43" customWidth="1"/>
    <col min="34" max="34" width="3.71428571428571" style="43" customWidth="1"/>
    <col min="35" max="36" width="3" style="43" customWidth="1"/>
    <col min="37" max="37" width="24" style="43" customWidth="1"/>
    <col min="38" max="38" width="3.71428571428571" style="43" customWidth="1"/>
    <col min="39" max="40" width="3" style="43" customWidth="1"/>
    <col min="41" max="41" width="18" style="43" customWidth="1"/>
    <col min="42" max="42" width="3.71428571428571" style="43" customWidth="1"/>
    <col min="43" max="44" width="3" style="43" customWidth="1"/>
    <col min="45" max="45" width="18" style="43" customWidth="1"/>
    <col min="46" max="49" width="21" style="43" customWidth="1"/>
    <col min="50" max="50" width="11" style="43" customWidth="1"/>
    <col min="51" max="51" width="3.71428571428571" style="43" customWidth="1"/>
    <col min="52" max="52" width="11" style="43" customWidth="1"/>
    <col min="53" max="53" width="8.57142857142857" style="43" hidden="1" customWidth="1"/>
    <col min="54" max="54" width="4" style="43" customWidth="1"/>
    <col min="55" max="55" width="115" style="43" customWidth="1"/>
    <col min="56" max="60" width="10" style="44" customWidth="1"/>
    <col min="61" max="61" width="10.5714285714286" style="43" hidden="1"/>
  </cols>
  <sheetData>
    <row r="1" ht="22.5" hidden="1" customHeight="1" spans="61:61">
      <c r="BI1" s="43" t="s">
        <v>14</v>
      </c>
    </row>
    <row r="2" ht="21" hidden="1" customHeight="1" spans="1:61">
      <c r="A2" s="46"/>
      <c r="B2" s="46"/>
      <c r="C2" s="46"/>
      <c r="D2" s="46"/>
      <c r="E2" s="1052">
        <v>1</v>
      </c>
      <c r="F2" s="46"/>
      <c r="G2" s="46"/>
      <c r="H2" s="46"/>
      <c r="I2" s="46"/>
      <c r="J2" s="46"/>
      <c r="K2" s="46"/>
      <c r="L2" s="1054"/>
      <c r="M2" s="47"/>
      <c r="N2" s="47"/>
      <c r="O2" s="47"/>
      <c r="Q2" s="264"/>
      <c r="R2" s="82"/>
      <c r="S2" s="65" t="e">
        <f>INDEX(PT_DIFFERENTIATION_NUM_NTAR,MATCH(A2,PT_DIFFERENTIATION_NTAR_ID,0))</f>
        <v>#N/A</v>
      </c>
      <c r="T2" s="83" t="s">
        <v>121</v>
      </c>
      <c r="U2" s="84"/>
      <c r="V2" s="1061"/>
      <c r="W2" s="1061"/>
      <c r="X2" s="1061"/>
      <c r="Y2" s="1061"/>
      <c r="Z2" s="1061"/>
      <c r="AA2" s="1061"/>
      <c r="AB2" s="1061"/>
      <c r="AC2" s="1089"/>
      <c r="AD2" s="1090" t="e">
        <f>INDEX(PT_DIFFERENTIATION_NTAR,MATCH(A2,PT_DIFFERENTIATION_NTAR_ID,0))</f>
        <v>#N/A</v>
      </c>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89"/>
      <c r="BC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51"/>
      <c r="BF2" s="151" t="str">
        <f t="shared" ref="BF2:BF8" si="0">IF(T2="","",T2)</f>
        <v>Наименование тарифа</v>
      </c>
      <c r="BG2" s="151"/>
      <c r="BH2" s="151"/>
      <c r="BI2" s="43">
        <v>0</v>
      </c>
    </row>
    <row r="3" ht="21" hidden="1" customHeight="1" spans="1:61">
      <c r="A3" s="46"/>
      <c r="B3" s="46"/>
      <c r="C3" s="46"/>
      <c r="D3" s="46"/>
      <c r="E3" s="1053"/>
      <c r="F3" s="1052">
        <v>1</v>
      </c>
      <c r="G3" s="46"/>
      <c r="H3" s="46"/>
      <c r="I3" s="46"/>
      <c r="J3" s="46"/>
      <c r="K3" s="46"/>
      <c r="L3" s="1054"/>
      <c r="M3" s="47"/>
      <c r="N3" s="47"/>
      <c r="O3" s="47"/>
      <c r="P3" s="48"/>
      <c r="Q3" s="1062"/>
      <c r="R3" s="88"/>
      <c r="S3" s="65" t="e">
        <f>INDEX(PT_DIFFERENTIATION_NUM_TER,MATCH(B3,PT_DIFFERENTIATION_TER_ID,0))</f>
        <v>#N/A</v>
      </c>
      <c r="T3" s="89" t="s">
        <v>393</v>
      </c>
      <c r="U3" s="84"/>
      <c r="V3" s="1061"/>
      <c r="W3" s="1061"/>
      <c r="X3" s="1061"/>
      <c r="Y3" s="1061"/>
      <c r="Z3" s="1061"/>
      <c r="AA3" s="1061"/>
      <c r="AB3" s="1061"/>
      <c r="AC3" s="1089"/>
      <c r="AD3" s="1090" t="e">
        <f>INDEX(PT_DIFFERENTIATION_TER,MATCH(B3,PT_DIFFERENTIATION_TER_ID,0))</f>
        <v>#N/A</v>
      </c>
      <c r="AE3" s="1061"/>
      <c r="AF3" s="1061"/>
      <c r="AG3" s="1061"/>
      <c r="AH3" s="1061"/>
      <c r="AI3" s="1061"/>
      <c r="AJ3" s="1061"/>
      <c r="AK3" s="1061"/>
      <c r="AL3" s="1061"/>
      <c r="AM3" s="1061"/>
      <c r="AN3" s="1061"/>
      <c r="AO3" s="1061"/>
      <c r="AP3" s="1061"/>
      <c r="AQ3" s="1061"/>
      <c r="AR3" s="1061"/>
      <c r="AS3" s="1061"/>
      <c r="AT3" s="1061"/>
      <c r="AU3" s="1061"/>
      <c r="AV3" s="1061"/>
      <c r="AW3" s="1061"/>
      <c r="AX3" s="1061"/>
      <c r="AY3" s="1061"/>
      <c r="AZ3" s="1061"/>
      <c r="BA3" s="1061"/>
      <c r="BB3" s="1089"/>
      <c r="BC3" s="136" t="s">
        <v>394</v>
      </c>
      <c r="BE3" s="151"/>
      <c r="BF3" s="151" t="str">
        <f t="shared" si="0"/>
        <v>Территория действия тарифа</v>
      </c>
      <c r="BG3" s="151"/>
      <c r="BH3" s="151"/>
      <c r="BI3" s="43">
        <v>0</v>
      </c>
    </row>
    <row r="4" ht="33.75" hidden="1" customHeight="1" spans="1:61">
      <c r="A4" s="46"/>
      <c r="B4" s="46"/>
      <c r="C4" s="46"/>
      <c r="D4" s="46"/>
      <c r="E4" s="1053"/>
      <c r="F4" s="1053"/>
      <c r="G4" s="1052">
        <v>1</v>
      </c>
      <c r="H4" s="46"/>
      <c r="I4" s="46"/>
      <c r="J4" s="46"/>
      <c r="K4" s="46"/>
      <c r="L4" s="1054"/>
      <c r="M4" s="47"/>
      <c r="N4" s="47"/>
      <c r="O4" s="47"/>
      <c r="P4" s="1055"/>
      <c r="Q4" s="1062"/>
      <c r="R4" s="88"/>
      <c r="S4" s="65" t="e">
        <f>INDEX(PT_DIFFERENTIATION_NUM_CS,MATCH(C4,PT_DIFFERENTIATION_CS_ID,0))</f>
        <v>#N/A</v>
      </c>
      <c r="T4" s="91" t="s">
        <v>510</v>
      </c>
      <c r="U4" s="84"/>
      <c r="V4" s="1061"/>
      <c r="W4" s="1061"/>
      <c r="X4" s="1061"/>
      <c r="Y4" s="1061"/>
      <c r="Z4" s="1061"/>
      <c r="AA4" s="1061"/>
      <c r="AB4" s="1061"/>
      <c r="AC4" s="1089"/>
      <c r="AD4" s="1090" t="e">
        <f>INDEX(PT_DIFFERENTIATION_CS,MATCH(C4,PT_DIFFERENTIATION_CS_ID,0))</f>
        <v>#N/A</v>
      </c>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1089"/>
      <c r="BC4" s="136" t="s">
        <v>511</v>
      </c>
      <c r="BE4" s="151"/>
      <c r="BF4" s="151" t="str">
        <f t="shared" si="0"/>
        <v>Наименование централизованной системы водоотведения</v>
      </c>
      <c r="BG4" s="151"/>
      <c r="BH4" s="151"/>
      <c r="BI4" s="43">
        <v>0</v>
      </c>
    </row>
    <row r="5" s="44" customFormat="1" hidden="1" customHeight="1" spans="1:61">
      <c r="A5" s="590"/>
      <c r="B5" s="590"/>
      <c r="C5" s="590"/>
      <c r="D5" s="590"/>
      <c r="E5" s="1053"/>
      <c r="F5" s="1053"/>
      <c r="G5" s="1053"/>
      <c r="H5" s="1052">
        <v>1</v>
      </c>
      <c r="I5" s="590"/>
      <c r="J5" s="590"/>
      <c r="K5" s="590"/>
      <c r="L5" s="611"/>
      <c r="M5" s="283"/>
      <c r="N5" s="283"/>
      <c r="O5" s="283"/>
      <c r="P5" s="1056"/>
      <c r="Q5" s="1063"/>
      <c r="R5" s="97"/>
      <c r="S5" s="330"/>
      <c r="T5" s="1064"/>
      <c r="U5" s="1065"/>
      <c r="V5" s="1066"/>
      <c r="W5" s="1066"/>
      <c r="X5" s="1066"/>
      <c r="Y5" s="1066"/>
      <c r="Z5" s="1066"/>
      <c r="AA5" s="1066"/>
      <c r="AB5" s="1066"/>
      <c r="AC5" s="1091"/>
      <c r="AD5" s="1092"/>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6"/>
      <c r="BA5" s="1066"/>
      <c r="BB5" s="1091"/>
      <c r="BC5" s="995" t="s">
        <v>398</v>
      </c>
      <c r="BE5" s="151"/>
      <c r="BF5" s="151" t="str">
        <f t="shared" si="0"/>
        <v/>
      </c>
      <c r="BG5" s="151"/>
      <c r="BH5" s="151"/>
      <c r="BI5" s="44">
        <v>0</v>
      </c>
    </row>
    <row r="6" s="44" customFormat="1" hidden="1" customHeight="1" spans="1:61">
      <c r="A6" s="590"/>
      <c r="B6" s="590"/>
      <c r="C6" s="590"/>
      <c r="D6" s="590"/>
      <c r="E6" s="1053"/>
      <c r="F6" s="1053"/>
      <c r="G6" s="1053"/>
      <c r="H6" s="1053"/>
      <c r="I6" s="229" t="str">
        <f>S5&amp;".1"</f>
        <v>.1</v>
      </c>
      <c r="J6" s="590"/>
      <c r="K6" s="590"/>
      <c r="L6" s="611" t="s">
        <v>399</v>
      </c>
      <c r="M6" s="1057"/>
      <c r="N6" s="1057"/>
      <c r="O6" s="1057"/>
      <c r="P6" s="93">
        <v>1</v>
      </c>
      <c r="Q6" s="93"/>
      <c r="R6" s="94"/>
      <c r="S6" s="330"/>
      <c r="T6" s="1067"/>
      <c r="U6" s="1065"/>
      <c r="V6" s="1066"/>
      <c r="W6" s="1066"/>
      <c r="X6" s="1066"/>
      <c r="Y6" s="1066"/>
      <c r="Z6" s="1066"/>
      <c r="AA6" s="1066"/>
      <c r="AB6" s="1066"/>
      <c r="AC6" s="1091"/>
      <c r="AD6" s="1092"/>
      <c r="AE6" s="1066"/>
      <c r="AF6" s="1066"/>
      <c r="AG6" s="1066"/>
      <c r="AH6" s="1066"/>
      <c r="AI6" s="1066"/>
      <c r="AJ6" s="1066"/>
      <c r="AK6" s="1066"/>
      <c r="AL6" s="1066"/>
      <c r="AM6" s="1066"/>
      <c r="AN6" s="1066"/>
      <c r="AO6" s="1066"/>
      <c r="AP6" s="1066"/>
      <c r="AQ6" s="1066"/>
      <c r="AR6" s="1066"/>
      <c r="AS6" s="1066"/>
      <c r="AT6" s="1066"/>
      <c r="AU6" s="1066"/>
      <c r="AV6" s="1066"/>
      <c r="AW6" s="1066"/>
      <c r="AX6" s="1066"/>
      <c r="AY6" s="1066"/>
      <c r="AZ6" s="1066"/>
      <c r="BA6" s="1066"/>
      <c r="BB6" s="1091"/>
      <c r="BC6" s="995"/>
      <c r="BE6" s="151"/>
      <c r="BF6" s="151" t="str">
        <f t="shared" si="0"/>
        <v/>
      </c>
      <c r="BG6" s="151"/>
      <c r="BH6" s="151"/>
      <c r="BI6" s="44">
        <v>0</v>
      </c>
    </row>
    <row r="7" s="44" customFormat="1" hidden="1" customHeight="1" spans="1:61">
      <c r="A7" s="590"/>
      <c r="B7" s="590"/>
      <c r="C7" s="590"/>
      <c r="D7" s="590"/>
      <c r="E7" s="1053"/>
      <c r="F7" s="1053"/>
      <c r="G7" s="1053"/>
      <c r="H7" s="1053"/>
      <c r="I7" s="1058"/>
      <c r="J7" s="229" t="str">
        <f>S5&amp;".1"</f>
        <v>.1</v>
      </c>
      <c r="K7" s="590"/>
      <c r="L7" s="611"/>
      <c r="M7" s="1057"/>
      <c r="N7" s="1057"/>
      <c r="O7" s="1057"/>
      <c r="P7" s="93"/>
      <c r="Q7" s="93">
        <v>1</v>
      </c>
      <c r="R7" s="97"/>
      <c r="S7" s="330"/>
      <c r="T7" s="1068"/>
      <c r="U7" s="1065"/>
      <c r="V7" s="1066"/>
      <c r="W7" s="1066"/>
      <c r="X7" s="1066"/>
      <c r="Y7" s="1066"/>
      <c r="Z7" s="1066"/>
      <c r="AA7" s="1066"/>
      <c r="AB7" s="1066"/>
      <c r="AC7" s="1091"/>
      <c r="AD7" s="1092"/>
      <c r="AE7" s="1066"/>
      <c r="AF7" s="1066"/>
      <c r="AG7" s="1066"/>
      <c r="AH7" s="1066"/>
      <c r="AI7" s="1066"/>
      <c r="AJ7" s="1066"/>
      <c r="AK7" s="1066"/>
      <c r="AL7" s="1066"/>
      <c r="AM7" s="1066"/>
      <c r="AN7" s="1066"/>
      <c r="AO7" s="1066"/>
      <c r="AP7" s="1066"/>
      <c r="AQ7" s="1066"/>
      <c r="AR7" s="1066"/>
      <c r="AS7" s="1066"/>
      <c r="AT7" s="1066"/>
      <c r="AU7" s="1066"/>
      <c r="AV7" s="1066"/>
      <c r="AW7" s="1066"/>
      <c r="AX7" s="1066"/>
      <c r="AY7" s="1066"/>
      <c r="AZ7" s="1066"/>
      <c r="BA7" s="1066"/>
      <c r="BB7" s="1091"/>
      <c r="BC7" s="995"/>
      <c r="BE7" s="151"/>
      <c r="BF7" s="151" t="str">
        <f t="shared" si="0"/>
        <v/>
      </c>
      <c r="BG7" s="151"/>
      <c r="BH7" s="151"/>
      <c r="BI7" s="44">
        <v>0</v>
      </c>
    </row>
    <row r="8" ht="11.25" hidden="1" customHeight="1" spans="1:61">
      <c r="A8" s="46"/>
      <c r="B8" s="46"/>
      <c r="C8" s="46"/>
      <c r="D8" s="46"/>
      <c r="E8" s="1053"/>
      <c r="F8" s="1053"/>
      <c r="G8" s="1053"/>
      <c r="H8" s="1053"/>
      <c r="I8" s="1058"/>
      <c r="J8" s="1058"/>
      <c r="K8" s="229" t="e">
        <f>S4&amp;".1"</f>
        <v>#N/A</v>
      </c>
      <c r="L8" s="1054"/>
      <c r="P8" s="93"/>
      <c r="Q8" s="93"/>
      <c r="R8" s="1069">
        <v>1</v>
      </c>
      <c r="S8" s="1070" t="e">
        <f>$K8</f>
        <v>#N/A</v>
      </c>
      <c r="T8" s="1071"/>
      <c r="U8" s="84"/>
      <c r="V8" s="102"/>
      <c r="W8" s="138"/>
      <c r="X8" s="102"/>
      <c r="Y8" s="138"/>
      <c r="Z8" s="139"/>
      <c r="AA8" s="140" t="s">
        <v>66</v>
      </c>
      <c r="AB8" s="139"/>
      <c r="AC8" s="140" t="s">
        <v>66</v>
      </c>
      <c r="AD8" s="475" t="s">
        <v>66</v>
      </c>
      <c r="AE8" s="1093"/>
      <c r="AF8" s="664">
        <v>1</v>
      </c>
      <c r="AG8" s="1106"/>
      <c r="AH8" s="140" t="s">
        <v>66</v>
      </c>
      <c r="AI8" s="1093"/>
      <c r="AJ8" s="664">
        <v>1</v>
      </c>
      <c r="AK8" s="1107" t="s">
        <v>22</v>
      </c>
      <c r="AL8" s="140" t="s">
        <v>66</v>
      </c>
      <c r="AM8" s="903"/>
      <c r="AN8" s="664">
        <v>1</v>
      </c>
      <c r="AO8" s="1115"/>
      <c r="AP8" s="1116" t="s">
        <v>66</v>
      </c>
      <c r="AQ8" s="1117"/>
      <c r="AR8" s="664">
        <v>1</v>
      </c>
      <c r="AS8" s="449" t="s">
        <v>22</v>
      </c>
      <c r="AT8" s="102"/>
      <c r="AU8" s="138"/>
      <c r="AV8" s="102"/>
      <c r="AW8" s="138"/>
      <c r="AX8" s="139"/>
      <c r="AY8" s="140" t="s">
        <v>66</v>
      </c>
      <c r="AZ8" s="139"/>
      <c r="BA8" s="140" t="s">
        <v>66</v>
      </c>
      <c r="BB8" s="1120"/>
      <c r="BC8" s="141" t="s">
        <v>493</v>
      </c>
      <c r="BE8" s="151"/>
      <c r="BF8" s="151" t="str">
        <f t="shared" si="0"/>
        <v/>
      </c>
      <c r="BG8" s="151"/>
      <c r="BH8" s="151"/>
      <c r="BI8" s="43">
        <v>0</v>
      </c>
    </row>
    <row r="9" ht="11.25" hidden="1" customHeight="1" spans="1:61">
      <c r="A9" s="46"/>
      <c r="B9" s="46"/>
      <c r="C9" s="46"/>
      <c r="D9" s="46"/>
      <c r="E9" s="1053"/>
      <c r="F9" s="1053"/>
      <c r="G9" s="1053"/>
      <c r="H9" s="1053"/>
      <c r="I9" s="1058"/>
      <c r="J9" s="1058"/>
      <c r="K9" s="229"/>
      <c r="L9" s="1054"/>
      <c r="P9" s="93"/>
      <c r="Q9" s="93"/>
      <c r="R9" s="1069"/>
      <c r="S9" s="1072"/>
      <c r="T9" s="1073"/>
      <c r="U9" s="84"/>
      <c r="V9" s="1074"/>
      <c r="W9" s="1075"/>
      <c r="X9" s="1074"/>
      <c r="Y9" s="1075"/>
      <c r="Z9" s="1074"/>
      <c r="AA9" s="1074"/>
      <c r="AB9" s="1074"/>
      <c r="AC9" s="1074"/>
      <c r="AD9" s="477"/>
      <c r="AE9" s="1093"/>
      <c r="AF9" s="664"/>
      <c r="AG9" s="1106"/>
      <c r="AH9" s="140"/>
      <c r="AI9" s="1093"/>
      <c r="AJ9" s="664"/>
      <c r="AK9" s="1107"/>
      <c r="AL9" s="140"/>
      <c r="AM9" s="907"/>
      <c r="AN9" s="664"/>
      <c r="AO9" s="1115"/>
      <c r="AP9" s="1118"/>
      <c r="AQ9" s="331"/>
      <c r="AR9" s="332"/>
      <c r="AS9" s="332" t="s">
        <v>494</v>
      </c>
      <c r="AT9" s="1074"/>
      <c r="AU9" s="1075"/>
      <c r="AV9" s="1074"/>
      <c r="AW9" s="1075"/>
      <c r="AX9" s="1074"/>
      <c r="AY9" s="1074"/>
      <c r="AZ9" s="1074"/>
      <c r="BA9" s="1074"/>
      <c r="BB9" s="1121"/>
      <c r="BC9" s="144"/>
      <c r="BE9" s="151"/>
      <c r="BF9" s="151"/>
      <c r="BG9" s="151"/>
      <c r="BH9" s="151"/>
      <c r="BI9" s="43">
        <v>0</v>
      </c>
    </row>
    <row r="10" ht="11.25" hidden="1" customHeight="1" spans="1:61">
      <c r="A10" s="46"/>
      <c r="B10" s="46"/>
      <c r="C10" s="46"/>
      <c r="D10" s="46"/>
      <c r="E10" s="1053"/>
      <c r="F10" s="1053"/>
      <c r="G10" s="1053"/>
      <c r="H10" s="1053"/>
      <c r="I10" s="1058"/>
      <c r="J10" s="1058"/>
      <c r="K10" s="229"/>
      <c r="L10" s="1054"/>
      <c r="P10" s="93"/>
      <c r="Q10" s="93"/>
      <c r="R10" s="1069"/>
      <c r="S10" s="1072"/>
      <c r="T10" s="1073"/>
      <c r="U10" s="84"/>
      <c r="V10" s="1074"/>
      <c r="W10" s="1075"/>
      <c r="X10" s="1074"/>
      <c r="Y10" s="1075"/>
      <c r="Z10" s="1074"/>
      <c r="AA10" s="1074"/>
      <c r="AB10" s="1074"/>
      <c r="AC10" s="1074"/>
      <c r="AD10" s="477"/>
      <c r="AE10" s="1093"/>
      <c r="AF10" s="664"/>
      <c r="AG10" s="1106"/>
      <c r="AH10" s="140"/>
      <c r="AI10" s="1093"/>
      <c r="AJ10" s="664"/>
      <c r="AK10" s="1107"/>
      <c r="AL10" s="140"/>
      <c r="AM10" s="331"/>
      <c r="AN10" s="601"/>
      <c r="AO10" s="601" t="s">
        <v>516</v>
      </c>
      <c r="AP10" s="332"/>
      <c r="AQ10" s="332"/>
      <c r="AR10" s="332"/>
      <c r="AS10" s="1074"/>
      <c r="AT10" s="1074"/>
      <c r="AU10" s="1075"/>
      <c r="AV10" s="1074"/>
      <c r="AW10" s="1075"/>
      <c r="AX10" s="1074"/>
      <c r="AY10" s="1074"/>
      <c r="AZ10" s="1074"/>
      <c r="BA10" s="1074"/>
      <c r="BB10" s="1121"/>
      <c r="BC10" s="144"/>
      <c r="BE10" s="151"/>
      <c r="BF10" s="151"/>
      <c r="BG10" s="151"/>
      <c r="BH10" s="151"/>
      <c r="BI10" s="43">
        <v>0</v>
      </c>
    </row>
    <row r="11" ht="11.25" hidden="1" customHeight="1" spans="1:61">
      <c r="A11" s="46"/>
      <c r="B11" s="46"/>
      <c r="C11" s="46"/>
      <c r="D11" s="46"/>
      <c r="E11" s="1053"/>
      <c r="F11" s="1053"/>
      <c r="G11" s="1053"/>
      <c r="H11" s="1053"/>
      <c r="I11" s="1058"/>
      <c r="J11" s="1058"/>
      <c r="K11" s="229"/>
      <c r="L11" s="1054"/>
      <c r="P11" s="93"/>
      <c r="Q11" s="93"/>
      <c r="R11" s="1069"/>
      <c r="S11" s="1072"/>
      <c r="T11" s="1073"/>
      <c r="U11" s="84"/>
      <c r="V11" s="1074"/>
      <c r="W11" s="1075"/>
      <c r="X11" s="1074"/>
      <c r="Y11" s="1075"/>
      <c r="Z11" s="1074"/>
      <c r="AA11" s="1074"/>
      <c r="AB11" s="1074"/>
      <c r="AC11" s="1074"/>
      <c r="AD11" s="477"/>
      <c r="AE11" s="1093"/>
      <c r="AF11" s="664"/>
      <c r="AG11" s="1106"/>
      <c r="AH11" s="140"/>
      <c r="AI11" s="911"/>
      <c r="AJ11" s="227"/>
      <c r="AK11" s="1108" t="s">
        <v>517</v>
      </c>
      <c r="AL11" s="1074"/>
      <c r="AM11" s="1074"/>
      <c r="AN11" s="1074"/>
      <c r="AO11" s="1074"/>
      <c r="AP11" s="1074"/>
      <c r="AQ11" s="1074"/>
      <c r="AR11" s="1074"/>
      <c r="AS11" s="1074"/>
      <c r="AT11" s="1074"/>
      <c r="AU11" s="1075"/>
      <c r="AV11" s="1074"/>
      <c r="AW11" s="1075"/>
      <c r="AX11" s="1074"/>
      <c r="AY11" s="1074"/>
      <c r="AZ11" s="1074"/>
      <c r="BA11" s="1074"/>
      <c r="BB11" s="1121"/>
      <c r="BC11" s="144"/>
      <c r="BE11" s="151"/>
      <c r="BF11" s="151"/>
      <c r="BG11" s="151"/>
      <c r="BH11" s="151"/>
      <c r="BI11" s="43">
        <v>0</v>
      </c>
    </row>
    <row r="12" ht="11.25" hidden="1" customHeight="1" spans="1:61">
      <c r="A12" s="46"/>
      <c r="B12" s="46"/>
      <c r="C12" s="46"/>
      <c r="D12" s="46"/>
      <c r="E12" s="1053"/>
      <c r="F12" s="1053"/>
      <c r="G12" s="1053"/>
      <c r="H12" s="1053"/>
      <c r="I12" s="1058"/>
      <c r="J12" s="1058"/>
      <c r="K12" s="229"/>
      <c r="L12" s="1054"/>
      <c r="P12" s="93"/>
      <c r="Q12" s="93"/>
      <c r="R12" s="1069"/>
      <c r="S12" s="1076"/>
      <c r="T12" s="1077"/>
      <c r="U12" s="84"/>
      <c r="V12" s="1074"/>
      <c r="W12" s="1078" t="str">
        <f>Z8&amp;"-"&amp;AB8</f>
        <v>-</v>
      </c>
      <c r="X12" s="1074"/>
      <c r="Y12" s="1078" t="str">
        <f>AB8&amp;"-"&amp;AD8</f>
        <v>-да</v>
      </c>
      <c r="Z12" s="1074"/>
      <c r="AA12" s="1074"/>
      <c r="AB12" s="1074"/>
      <c r="AC12" s="1074"/>
      <c r="AD12" s="480"/>
      <c r="AE12" s="1094"/>
      <c r="AF12" s="1095"/>
      <c r="AG12" s="332" t="s">
        <v>497</v>
      </c>
      <c r="AH12" s="1074"/>
      <c r="AI12" s="1074"/>
      <c r="AJ12" s="1074"/>
      <c r="AK12" s="1074"/>
      <c r="AL12" s="1074"/>
      <c r="AM12" s="1074"/>
      <c r="AN12" s="1074"/>
      <c r="AO12" s="1074"/>
      <c r="AP12" s="1074"/>
      <c r="AQ12" s="1074"/>
      <c r="AR12" s="1074"/>
      <c r="AS12" s="1074"/>
      <c r="AT12" s="1074"/>
      <c r="AU12" s="1078" t="str">
        <f>AX8&amp;"-"&amp;AZ8</f>
        <v>-</v>
      </c>
      <c r="AV12" s="1074"/>
      <c r="AW12" s="1078" t="str">
        <f>AZ8&amp;"-"&amp;BB8</f>
        <v>-</v>
      </c>
      <c r="AX12" s="1074"/>
      <c r="AY12" s="1074"/>
      <c r="AZ12" s="1074"/>
      <c r="BA12" s="1074"/>
      <c r="BB12" s="1122" t="str">
        <f>BE8&amp;"-"&amp;BG8</f>
        <v>-</v>
      </c>
      <c r="BC12" s="144"/>
      <c r="BE12" s="151"/>
      <c r="BF12" s="151" t="str">
        <f t="shared" ref="BF12:BF18" si="1">IF(T12="","",T12)</f>
        <v/>
      </c>
      <c r="BG12" s="151"/>
      <c r="BH12" s="151"/>
      <c r="BI12" s="43">
        <v>0</v>
      </c>
    </row>
    <row r="13" ht="11.25" hidden="1" customHeight="1" spans="1:61">
      <c r="A13" s="46"/>
      <c r="B13" s="46"/>
      <c r="C13" s="46"/>
      <c r="D13" s="46"/>
      <c r="E13" s="1053"/>
      <c r="F13" s="1053"/>
      <c r="G13" s="1053"/>
      <c r="H13" s="1053"/>
      <c r="I13" s="1058"/>
      <c r="J13" s="229"/>
      <c r="K13" s="46"/>
      <c r="L13" s="1054"/>
      <c r="P13" s="93"/>
      <c r="Q13" s="93"/>
      <c r="R13" s="94"/>
      <c r="S13" s="105"/>
      <c r="T13" s="108" t="s">
        <v>460</v>
      </c>
      <c r="U13" s="107"/>
      <c r="V13" s="107"/>
      <c r="W13" s="107"/>
      <c r="X13" s="107"/>
      <c r="Y13" s="107"/>
      <c r="Z13" s="107"/>
      <c r="AA13" s="107"/>
      <c r="AB13" s="107"/>
      <c r="AC13" s="107"/>
      <c r="AD13" s="109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45"/>
      <c r="BC13" s="146"/>
      <c r="BE13" s="151"/>
      <c r="BF13" s="151" t="str">
        <f t="shared" si="1"/>
        <v>Добавить строку</v>
      </c>
      <c r="BG13" s="151"/>
      <c r="BH13" s="151"/>
      <c r="BI13" s="43">
        <v>0</v>
      </c>
    </row>
    <row r="14" s="44" customFormat="1" hidden="1" customHeight="1" spans="1:61">
      <c r="A14" s="590"/>
      <c r="B14" s="590"/>
      <c r="C14" s="590"/>
      <c r="D14" s="590"/>
      <c r="E14" s="1053"/>
      <c r="F14" s="1053"/>
      <c r="G14" s="1053"/>
      <c r="H14" s="1053"/>
      <c r="I14" s="229"/>
      <c r="J14" s="590"/>
      <c r="K14" s="590"/>
      <c r="L14" s="611"/>
      <c r="M14" s="1057"/>
      <c r="N14" s="1057"/>
      <c r="O14" s="1057"/>
      <c r="P14" s="93"/>
      <c r="Q14" s="93"/>
      <c r="R14" s="94"/>
      <c r="S14" s="1079"/>
      <c r="T14" s="1080"/>
      <c r="U14" s="1081"/>
      <c r="V14" s="1081"/>
      <c r="W14" s="1081"/>
      <c r="X14" s="1081"/>
      <c r="Y14" s="1081"/>
      <c r="Z14" s="1081"/>
      <c r="AA14" s="1081"/>
      <c r="AB14" s="1081"/>
      <c r="AC14" s="1081"/>
      <c r="AD14" s="1081"/>
      <c r="AE14" s="1081"/>
      <c r="AF14" s="1081"/>
      <c r="AG14" s="1081"/>
      <c r="AH14" s="1081"/>
      <c r="AI14" s="1081"/>
      <c r="AJ14" s="1081"/>
      <c r="AK14" s="1081"/>
      <c r="AL14" s="1081"/>
      <c r="AM14" s="1081"/>
      <c r="AN14" s="1081"/>
      <c r="AO14" s="1081"/>
      <c r="AP14" s="1081"/>
      <c r="AQ14" s="1081"/>
      <c r="AR14" s="1081"/>
      <c r="AS14" s="1081"/>
      <c r="AT14" s="1081"/>
      <c r="AU14" s="1081"/>
      <c r="AV14" s="1081"/>
      <c r="AW14" s="1081"/>
      <c r="AX14" s="1081"/>
      <c r="AY14" s="1081"/>
      <c r="AZ14" s="1081"/>
      <c r="BA14" s="1081"/>
      <c r="BB14" s="1081"/>
      <c r="BC14" s="1123"/>
      <c r="BE14" s="151"/>
      <c r="BF14" s="151" t="str">
        <f t="shared" si="1"/>
        <v/>
      </c>
      <c r="BG14" s="151"/>
      <c r="BH14" s="151"/>
      <c r="BI14" s="44">
        <v>0</v>
      </c>
    </row>
    <row r="15" s="44" customFormat="1" hidden="1" customHeight="1" spans="1:61">
      <c r="A15" s="590"/>
      <c r="B15" s="590"/>
      <c r="C15" s="590"/>
      <c r="D15" s="590"/>
      <c r="E15" s="1053"/>
      <c r="F15" s="1053"/>
      <c r="G15" s="1053"/>
      <c r="H15" s="1052"/>
      <c r="I15" s="590"/>
      <c r="J15" s="590"/>
      <c r="K15" s="590"/>
      <c r="L15" s="611"/>
      <c r="M15" s="283"/>
      <c r="N15" s="283"/>
      <c r="P15" s="152"/>
      <c r="Q15" s="1082"/>
      <c r="R15" s="1083"/>
      <c r="S15" s="1079"/>
      <c r="T15" s="1080"/>
      <c r="U15" s="1081"/>
      <c r="V15" s="1081"/>
      <c r="W15" s="1081"/>
      <c r="X15" s="1081"/>
      <c r="Y15" s="1081"/>
      <c r="Z15" s="1081"/>
      <c r="AA15" s="1081"/>
      <c r="AB15" s="1081"/>
      <c r="AC15" s="1081"/>
      <c r="AD15" s="1081"/>
      <c r="AE15" s="1081"/>
      <c r="AF15" s="1081"/>
      <c r="AG15" s="1081"/>
      <c r="AH15" s="1081"/>
      <c r="AI15" s="1081"/>
      <c r="AJ15" s="1081"/>
      <c r="AK15" s="1081"/>
      <c r="AL15" s="1081"/>
      <c r="AM15" s="1081"/>
      <c r="AN15" s="1081"/>
      <c r="AO15" s="1081"/>
      <c r="AP15" s="1081"/>
      <c r="AQ15" s="1081"/>
      <c r="AR15" s="1081"/>
      <c r="AS15" s="1081"/>
      <c r="AT15" s="1081"/>
      <c r="AU15" s="1081"/>
      <c r="AV15" s="1081"/>
      <c r="AW15" s="1081"/>
      <c r="AX15" s="1081"/>
      <c r="AY15" s="1081"/>
      <c r="AZ15" s="1081"/>
      <c r="BA15" s="1081"/>
      <c r="BB15" s="1081"/>
      <c r="BC15" s="1123"/>
      <c r="BE15" s="151"/>
      <c r="BF15" s="151" t="str">
        <f t="shared" si="1"/>
        <v/>
      </c>
      <c r="BG15" s="151"/>
      <c r="BH15" s="151"/>
      <c r="BI15" s="44">
        <v>0</v>
      </c>
    </row>
    <row r="16" s="44" customFormat="1" hidden="1" customHeight="1" spans="1:61">
      <c r="A16" s="590"/>
      <c r="B16" s="590"/>
      <c r="C16" s="590"/>
      <c r="D16" s="590"/>
      <c r="E16" s="1053"/>
      <c r="F16" s="1053"/>
      <c r="G16" s="1052"/>
      <c r="H16" s="590"/>
      <c r="I16" s="590"/>
      <c r="J16" s="590"/>
      <c r="K16" s="590"/>
      <c r="L16" s="611"/>
      <c r="M16" s="283"/>
      <c r="N16" s="283"/>
      <c r="P16" s="152"/>
      <c r="Q16" s="1082"/>
      <c r="R16" s="152"/>
      <c r="S16" s="1084"/>
      <c r="T16" s="1085"/>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E16" s="151"/>
      <c r="BF16" s="151" t="str">
        <f t="shared" si="1"/>
        <v/>
      </c>
      <c r="BG16" s="151"/>
      <c r="BH16" s="151"/>
      <c r="BI16" s="44">
        <v>0</v>
      </c>
    </row>
    <row r="17" s="44" customFormat="1" hidden="1" customHeight="1" spans="1:61">
      <c r="A17" s="590"/>
      <c r="B17" s="590"/>
      <c r="C17" s="590"/>
      <c r="D17" s="590"/>
      <c r="E17" s="1053"/>
      <c r="F17" s="1052"/>
      <c r="G17" s="590"/>
      <c r="H17" s="590"/>
      <c r="I17" s="590"/>
      <c r="J17" s="590"/>
      <c r="K17" s="590"/>
      <c r="L17" s="611"/>
      <c r="M17" s="1059"/>
      <c r="N17" s="1059"/>
      <c r="P17" s="152"/>
      <c r="Q17" s="1082"/>
      <c r="R17" s="152"/>
      <c r="S17" s="1084"/>
      <c r="T17" s="1085" t="s">
        <v>411</v>
      </c>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V17" s="307"/>
      <c r="AW17" s="307"/>
      <c r="AX17" s="307"/>
      <c r="AY17" s="307"/>
      <c r="AZ17" s="307"/>
      <c r="BA17" s="307"/>
      <c r="BB17" s="307"/>
      <c r="BC17" s="307"/>
      <c r="BE17" s="151"/>
      <c r="BF17" s="151" t="str">
        <f t="shared" si="1"/>
        <v>Добавить централизованную систему для дифференциации</v>
      </c>
      <c r="BG17" s="151"/>
      <c r="BH17" s="151"/>
      <c r="BI17" s="44">
        <v>0</v>
      </c>
    </row>
    <row r="18" s="44" customFormat="1" hidden="1" customHeight="1" spans="1:61">
      <c r="A18" s="590"/>
      <c r="B18" s="590"/>
      <c r="C18" s="590"/>
      <c r="D18" s="590"/>
      <c r="E18" s="1052"/>
      <c r="F18" s="590"/>
      <c r="G18" s="590"/>
      <c r="H18" s="590"/>
      <c r="I18" s="590"/>
      <c r="J18" s="590"/>
      <c r="K18" s="590"/>
      <c r="L18" s="611"/>
      <c r="M18" s="1059"/>
      <c r="N18" s="1059"/>
      <c r="P18" s="152"/>
      <c r="Q18" s="1082"/>
      <c r="R18" s="152"/>
      <c r="S18" s="1084"/>
      <c r="T18" s="1085" t="s">
        <v>412</v>
      </c>
      <c r="U18" s="307"/>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c r="AY18" s="307"/>
      <c r="AZ18" s="307"/>
      <c r="BA18" s="307"/>
      <c r="BB18" s="307"/>
      <c r="BC18" s="307"/>
      <c r="BE18" s="151"/>
      <c r="BF18" s="151" t="str">
        <f t="shared" si="1"/>
        <v>Добавить территорию для дифференциации</v>
      </c>
      <c r="BG18" s="151"/>
      <c r="BH18" s="151"/>
      <c r="BI18" s="44">
        <v>0</v>
      </c>
    </row>
    <row r="19" hidden="1" customHeight="1" spans="61:61">
      <c r="BI19" s="43">
        <v>0</v>
      </c>
    </row>
    <row r="20" hidden="1" customHeight="1" spans="30:61">
      <c r="AD20" s="307" t="s">
        <v>19</v>
      </c>
      <c r="AE20" s="1097"/>
      <c r="AF20" s="307">
        <v>1</v>
      </c>
      <c r="AG20" s="1109"/>
      <c r="AH20" s="307" t="s">
        <v>19</v>
      </c>
      <c r="AI20" s="1097"/>
      <c r="AJ20" s="307">
        <v>1</v>
      </c>
      <c r="AK20" s="1109"/>
      <c r="AL20" s="307" t="s">
        <v>19</v>
      </c>
      <c r="AM20" s="1110"/>
      <c r="AN20" s="307">
        <v>1</v>
      </c>
      <c r="AO20" s="630"/>
      <c r="AP20" s="307" t="s">
        <v>19</v>
      </c>
      <c r="AQ20" s="1110"/>
      <c r="AR20" s="307">
        <v>1</v>
      </c>
      <c r="AS20" s="630"/>
      <c r="AT20" s="103"/>
      <c r="AU20" s="1119"/>
      <c r="AV20" s="103"/>
      <c r="AW20" s="1119"/>
      <c r="AX20" s="1124"/>
      <c r="AY20" s="496" t="s">
        <v>66</v>
      </c>
      <c r="AZ20" s="1124"/>
      <c r="BA20" s="496" t="s">
        <v>66</v>
      </c>
      <c r="BI20" s="43">
        <v>0</v>
      </c>
    </row>
    <row r="21" hidden="1" customHeight="1" spans="56:61">
      <c r="BD21" s="37"/>
      <c r="BE21" s="37"/>
      <c r="BF21" s="37"/>
      <c r="BG21" s="37"/>
      <c r="BH21" s="37"/>
      <c r="BI21" s="43">
        <v>0</v>
      </c>
    </row>
    <row r="22" hidden="1" customHeight="1" spans="15:61">
      <c r="O22" s="1060" t="s">
        <v>413</v>
      </c>
      <c r="Z22" s="1098"/>
      <c r="AB22" s="1098"/>
      <c r="AX22" s="1098"/>
      <c r="AZ22" s="1098"/>
      <c r="BD22" s="37"/>
      <c r="BE22" s="37"/>
      <c r="BF22" s="37"/>
      <c r="BG22" s="37"/>
      <c r="BH22" s="37"/>
      <c r="BI22" s="43">
        <v>0</v>
      </c>
    </row>
    <row r="23" hidden="1" customHeight="1" spans="56:61">
      <c r="BD23" s="37"/>
      <c r="BE23" s="37"/>
      <c r="BF23" s="37"/>
      <c r="BG23" s="37"/>
      <c r="BH23" s="37"/>
      <c r="BI23" s="43">
        <v>0</v>
      </c>
    </row>
    <row r="24" s="1050" customFormat="1" hidden="1" customHeight="1" spans="13:61">
      <c r="M24" s="49"/>
      <c r="N24" s="49"/>
      <c r="O24" s="1050" t="s">
        <v>414</v>
      </c>
      <c r="P24" s="49"/>
      <c r="Q24" s="1086"/>
      <c r="R24" s="1086"/>
      <c r="AA24" s="1050" t="s">
        <v>416</v>
      </c>
      <c r="AC24" s="1050" t="s">
        <v>417</v>
      </c>
      <c r="AD24" s="1050" t="s">
        <v>461</v>
      </c>
      <c r="AH24" s="1050" t="s">
        <v>461</v>
      </c>
      <c r="AK24" s="1050" t="s">
        <v>498</v>
      </c>
      <c r="AL24" s="1050" t="s">
        <v>461</v>
      </c>
      <c r="AP24" s="1050" t="s">
        <v>461</v>
      </c>
      <c r="AY24" s="1050" t="s">
        <v>416</v>
      </c>
      <c r="BA24" s="1050" t="s">
        <v>417</v>
      </c>
      <c r="BD24" s="1125"/>
      <c r="BE24" s="1125"/>
      <c r="BF24" s="1125"/>
      <c r="BG24" s="1125"/>
      <c r="BH24" s="1125"/>
      <c r="BI24" s="1050">
        <v>0</v>
      </c>
    </row>
    <row r="25" hidden="1" customHeight="1" spans="15:61">
      <c r="O25" s="1054"/>
      <c r="BD25" s="37"/>
      <c r="BE25" s="37"/>
      <c r="BF25" s="37"/>
      <c r="BG25" s="37"/>
      <c r="BH25" s="37"/>
      <c r="BI25" s="43">
        <v>0</v>
      </c>
    </row>
    <row r="26" hidden="1" customHeight="1" spans="15:61">
      <c r="O26" s="1054"/>
      <c r="BD26" s="37"/>
      <c r="BE26" s="37"/>
      <c r="BF26" s="37"/>
      <c r="BG26" s="37"/>
      <c r="BH26" s="37"/>
      <c r="BI26" s="43">
        <v>0</v>
      </c>
    </row>
    <row r="27" ht="14.7" customHeight="1" spans="17:61">
      <c r="Q27" s="1087"/>
      <c r="R27" s="51"/>
      <c r="S27" s="52"/>
      <c r="T27" s="53"/>
      <c r="U27" s="53"/>
      <c r="BI27" s="43">
        <v>14</v>
      </c>
    </row>
    <row r="28" ht="14.7" customHeight="1" spans="17:61">
      <c r="Q28" s="1087"/>
      <c r="R28" s="51"/>
      <c r="S28" s="7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755"/>
      <c r="U28" s="755"/>
      <c r="V28" s="755"/>
      <c r="W28" s="755"/>
      <c r="X28" s="755"/>
      <c r="Y28" s="755"/>
      <c r="Z28" s="755"/>
      <c r="AA28" s="755"/>
      <c r="AB28" s="755"/>
      <c r="AC28" s="755"/>
      <c r="AD28" s="755"/>
      <c r="AE28" s="755"/>
      <c r="AF28" s="755"/>
      <c r="AG28" s="755"/>
      <c r="AH28" s="755"/>
      <c r="AI28" s="755"/>
      <c r="AJ28" s="755"/>
      <c r="AK28" s="755"/>
      <c r="AL28" s="755"/>
      <c r="AM28" s="755"/>
      <c r="AN28" s="755"/>
      <c r="AO28" s="755"/>
      <c r="AP28" s="755"/>
      <c r="AQ28" s="755"/>
      <c r="AR28" s="755"/>
      <c r="AS28" s="755"/>
      <c r="AT28" s="755"/>
      <c r="AU28" s="755"/>
      <c r="AV28" s="755"/>
      <c r="AW28" s="755"/>
      <c r="AX28" s="755"/>
      <c r="AY28" s="755"/>
      <c r="AZ28" s="755"/>
      <c r="BA28" s="121"/>
      <c r="BI28" s="43">
        <v>14</v>
      </c>
    </row>
    <row r="29" ht="14.7" customHeight="1" spans="17:61">
      <c r="Q29" s="1087"/>
      <c r="R29" s="51"/>
      <c r="S29" s="660" t="str">
        <f>IF(org=0,"Не определено",org)</f>
        <v>АО "Теплокоммунэнерго"</v>
      </c>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121"/>
      <c r="BI29" s="43">
        <v>14</v>
      </c>
    </row>
    <row r="30" hidden="1" customHeight="1" spans="17:61">
      <c r="Q30" s="1087"/>
      <c r="R30" s="51"/>
      <c r="S30" s="52"/>
      <c r="T30" s="53"/>
      <c r="U30" s="53"/>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I30" s="43">
        <v>0</v>
      </c>
    </row>
    <row r="31" s="36" customFormat="1" ht="25.5" hidden="1" customHeight="1" spans="1:61">
      <c r="A31" s="45"/>
      <c r="B31" s="45"/>
      <c r="C31" s="45"/>
      <c r="D31" s="45"/>
      <c r="E31" s="45"/>
      <c r="F31" s="45"/>
      <c r="G31" s="45"/>
      <c r="H31" s="45"/>
      <c r="I31" s="45"/>
      <c r="J31" s="45"/>
      <c r="K31" s="45"/>
      <c r="L31" s="1054"/>
      <c r="M31" s="45"/>
      <c r="N31" s="45"/>
      <c r="O31" s="45"/>
      <c r="P31" s="45"/>
      <c r="Q31" s="45"/>
      <c r="S31"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58"/>
      <c r="U31" s="1088"/>
      <c r="V31" s="60" t="str">
        <f>IF(TITLE_NAME_OR_PR_CHANGE="",IF(TITLE_NAME_OR_PR="","",TITLE_NAME_OR_PR),TITLE_NAME_OR_PR_CHANGE)</f>
        <v/>
      </c>
      <c r="W31" s="60"/>
      <c r="X31" s="60"/>
      <c r="Y31" s="60"/>
      <c r="Z31" s="60"/>
      <c r="AA31" s="60"/>
      <c r="AB31" s="60"/>
      <c r="AC31" s="43"/>
      <c r="AD31" s="60" t="str">
        <f>IF(TITLE_NAME_OR_PR_CHANGE="",IF(TITLE_NAME_OR_PR="","",TITLE_NAME_OR_PR),TITLE_NAME_OR_PR_CHANGE)</f>
        <v/>
      </c>
      <c r="AE31" s="60"/>
      <c r="AF31" s="60"/>
      <c r="AG31" s="60"/>
      <c r="AH31" s="60"/>
      <c r="AI31" s="60"/>
      <c r="AJ31" s="60"/>
      <c r="AK31" s="60"/>
      <c r="AL31" s="60"/>
      <c r="AM31" s="60"/>
      <c r="AN31" s="60"/>
      <c r="AO31" s="60"/>
      <c r="AP31" s="60"/>
      <c r="AQ31" s="60"/>
      <c r="AR31" s="60"/>
      <c r="AS31" s="60"/>
      <c r="AT31" s="60"/>
      <c r="AU31" s="60"/>
      <c r="AV31" s="60"/>
      <c r="AW31" s="60"/>
      <c r="AX31" s="60"/>
      <c r="AY31" s="60"/>
      <c r="AZ31" s="60"/>
      <c r="BA31" s="43"/>
      <c r="BB31" s="43"/>
      <c r="BC31" s="122"/>
      <c r="BD31" s="151"/>
      <c r="BE31" s="151"/>
      <c r="BF31" s="151"/>
      <c r="BG31" s="151"/>
      <c r="BH31" s="151"/>
      <c r="BI31" s="36">
        <v>0</v>
      </c>
    </row>
    <row r="32" s="36" customFormat="1" ht="18.75" hidden="1" customHeight="1" spans="1:61">
      <c r="A32" s="45"/>
      <c r="B32" s="45"/>
      <c r="C32" s="45"/>
      <c r="D32" s="45"/>
      <c r="E32" s="45"/>
      <c r="F32" s="45"/>
      <c r="G32" s="45"/>
      <c r="H32" s="45"/>
      <c r="I32" s="45"/>
      <c r="J32" s="45"/>
      <c r="K32" s="45"/>
      <c r="L32" s="1054"/>
      <c r="M32" s="45"/>
      <c r="N32" s="45"/>
      <c r="O32" s="45"/>
      <c r="P32" s="45"/>
      <c r="Q32" s="45"/>
      <c r="S32" s="58" t="str">
        <f>"Дата документа об "&amp;IF(TITLE_DATE_PR_CHANGE="","утверждении","изменении")&amp;" тарифов"</f>
        <v>Дата документа об утверждении тарифов</v>
      </c>
      <c r="T32" s="58"/>
      <c r="U32" s="1088"/>
      <c r="V32" s="793" t="str">
        <f>IF(TITLE_DATE_PR_CHANGE="",IF(TITLE_DATE_PR="","",TITLE_DATE_PR),TITLE_DATE_PR_CHANGE)</f>
        <v/>
      </c>
      <c r="W32" s="793"/>
      <c r="X32" s="793"/>
      <c r="Y32" s="793"/>
      <c r="Z32" s="793"/>
      <c r="AA32" s="793"/>
      <c r="AB32" s="793"/>
      <c r="AC32" s="43"/>
      <c r="AD32" s="793" t="str">
        <f>IF(TITLE_DATE_PR_CHANGE="",IF(TITLE_DATE_PR="","",TITLE_DATE_PR),TITLE_DATE_PR_CHANGE)</f>
        <v/>
      </c>
      <c r="AE32" s="793"/>
      <c r="AF32" s="793"/>
      <c r="AG32" s="793"/>
      <c r="AH32" s="793"/>
      <c r="AI32" s="793"/>
      <c r="AJ32" s="793"/>
      <c r="AK32" s="793"/>
      <c r="AL32" s="793"/>
      <c r="AM32" s="793"/>
      <c r="AN32" s="793"/>
      <c r="AO32" s="793"/>
      <c r="AP32" s="793"/>
      <c r="AQ32" s="793"/>
      <c r="AR32" s="793"/>
      <c r="AS32" s="793"/>
      <c r="AT32" s="793"/>
      <c r="AU32" s="793"/>
      <c r="AV32" s="793"/>
      <c r="AW32" s="793"/>
      <c r="AX32" s="793"/>
      <c r="AY32" s="793"/>
      <c r="AZ32" s="793"/>
      <c r="BA32" s="43"/>
      <c r="BB32" s="43"/>
      <c r="BC32" s="122"/>
      <c r="BD32" s="151"/>
      <c r="BE32" s="151"/>
      <c r="BF32" s="151"/>
      <c r="BG32" s="151"/>
      <c r="BH32" s="151"/>
      <c r="BI32" s="36">
        <v>0</v>
      </c>
    </row>
    <row r="33" s="36" customFormat="1" ht="18.75" hidden="1" customHeight="1" spans="1:61">
      <c r="A33" s="45"/>
      <c r="B33" s="45"/>
      <c r="C33" s="45"/>
      <c r="D33" s="45"/>
      <c r="E33" s="45"/>
      <c r="F33" s="45"/>
      <c r="G33" s="45"/>
      <c r="H33" s="45"/>
      <c r="I33" s="45"/>
      <c r="J33" s="45"/>
      <c r="K33" s="45"/>
      <c r="L33" s="1054"/>
      <c r="M33" s="45"/>
      <c r="N33" s="45"/>
      <c r="O33" s="45"/>
      <c r="P33" s="45"/>
      <c r="Q33" s="45"/>
      <c r="S33" s="58" t="str">
        <f>"Номер документа об "&amp;IF(TITLE_DATE_PR_CHANGE="","утверждении","изменении")&amp;" тарифов"</f>
        <v>Номер документа об утверждении тарифов</v>
      </c>
      <c r="T33" s="58"/>
      <c r="U33" s="1088"/>
      <c r="V33" s="60" t="str">
        <f>IF(TITLE_NUMBER_PR_CHANGE="",IF(TITLE_NUMBER_PR="","",TITLE_NUMBER_PR),TITLE_NUMBER_PR_CHANGE)</f>
        <v/>
      </c>
      <c r="W33" s="60"/>
      <c r="X33" s="60"/>
      <c r="Y33" s="60"/>
      <c r="Z33" s="60"/>
      <c r="AA33" s="60"/>
      <c r="AB33" s="60"/>
      <c r="AC33" s="43"/>
      <c r="AD33" s="60" t="str">
        <f>IF(TITLE_NUMBER_PR_CHANGE="",IF(TITLE_NUMBER_PR="","",TITLE_NUMBER_PR),TITLE_NUMBER_PR_CHANGE)</f>
        <v/>
      </c>
      <c r="AE33" s="60"/>
      <c r="AF33" s="60"/>
      <c r="AG33" s="60"/>
      <c r="AH33" s="60"/>
      <c r="AI33" s="60"/>
      <c r="AJ33" s="60"/>
      <c r="AK33" s="60"/>
      <c r="AL33" s="60"/>
      <c r="AM33" s="60"/>
      <c r="AN33" s="60"/>
      <c r="AO33" s="60"/>
      <c r="AP33" s="60"/>
      <c r="AQ33" s="60"/>
      <c r="AR33" s="60"/>
      <c r="AS33" s="60"/>
      <c r="AT33" s="60"/>
      <c r="AU33" s="60"/>
      <c r="AV33" s="60"/>
      <c r="AW33" s="60"/>
      <c r="AX33" s="60"/>
      <c r="AY33" s="60"/>
      <c r="AZ33" s="60"/>
      <c r="BA33" s="43"/>
      <c r="BB33" s="43"/>
      <c r="BC33" s="122"/>
      <c r="BD33" s="151"/>
      <c r="BE33" s="151"/>
      <c r="BF33" s="151"/>
      <c r="BG33" s="151"/>
      <c r="BH33" s="151"/>
      <c r="BI33" s="36">
        <v>0</v>
      </c>
    </row>
    <row r="34" s="36" customFormat="1" ht="18.75" hidden="1" customHeight="1" spans="1:61">
      <c r="A34" s="45"/>
      <c r="B34" s="45"/>
      <c r="C34" s="45"/>
      <c r="D34" s="45"/>
      <c r="E34" s="45"/>
      <c r="F34" s="45"/>
      <c r="G34" s="45"/>
      <c r="H34" s="45"/>
      <c r="I34" s="45"/>
      <c r="J34" s="45"/>
      <c r="K34" s="45"/>
      <c r="L34" s="1054"/>
      <c r="M34" s="45"/>
      <c r="N34" s="45"/>
      <c r="O34" s="45"/>
      <c r="P34" s="45"/>
      <c r="Q34" s="45"/>
      <c r="S34" s="58" t="s">
        <v>43</v>
      </c>
      <c r="T34" s="58"/>
      <c r="U34" s="1088"/>
      <c r="V34" s="60" t="str">
        <f>IF(TITLE_IST_PUB_CHANGE="",IF(TITLE_IST_PUB="","",TITLE_IST_PUB),TITLE_IST_PUB_CHANGE)</f>
        <v/>
      </c>
      <c r="W34" s="60"/>
      <c r="X34" s="60"/>
      <c r="Y34" s="60"/>
      <c r="Z34" s="60"/>
      <c r="AA34" s="60"/>
      <c r="AB34" s="60"/>
      <c r="AC34" s="43"/>
      <c r="AD34" s="60" t="str">
        <f>IF(TITLE_IST_PUB_CHANGE="",IF(TITLE_IST_PUB="","",TITLE_IST_PUB),TITLE_IST_PUB_CHANGE)</f>
        <v/>
      </c>
      <c r="AE34" s="60"/>
      <c r="AF34" s="60"/>
      <c r="AG34" s="60"/>
      <c r="AH34" s="60"/>
      <c r="AI34" s="60"/>
      <c r="AJ34" s="60"/>
      <c r="AK34" s="60"/>
      <c r="AL34" s="60"/>
      <c r="AM34" s="60"/>
      <c r="AN34" s="60"/>
      <c r="AO34" s="60"/>
      <c r="AP34" s="60"/>
      <c r="AQ34" s="60"/>
      <c r="AR34" s="60"/>
      <c r="AS34" s="60"/>
      <c r="AT34" s="60"/>
      <c r="AU34" s="60"/>
      <c r="AV34" s="60"/>
      <c r="AW34" s="60"/>
      <c r="AX34" s="60"/>
      <c r="AY34" s="60"/>
      <c r="AZ34" s="60"/>
      <c r="BA34" s="43"/>
      <c r="BB34" s="43"/>
      <c r="BC34" s="122"/>
      <c r="BD34" s="151"/>
      <c r="BE34" s="151"/>
      <c r="BF34" s="151"/>
      <c r="BG34" s="151"/>
      <c r="BH34" s="151"/>
      <c r="BI34" s="36">
        <v>0</v>
      </c>
    </row>
    <row r="35" hidden="1" customHeight="1" spans="17:61">
      <c r="Q35" s="1087"/>
      <c r="R35" s="51"/>
      <c r="S35" s="52"/>
      <c r="T35" s="53"/>
      <c r="U35" s="53"/>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I35" s="43">
        <v>0</v>
      </c>
    </row>
    <row r="36" s="36" customFormat="1" ht="18.75" hidden="1" customHeight="1" spans="1:61">
      <c r="A36" s="45"/>
      <c r="B36" s="45"/>
      <c r="C36" s="45"/>
      <c r="D36" s="45"/>
      <c r="E36" s="45"/>
      <c r="F36" s="45"/>
      <c r="G36" s="45"/>
      <c r="H36" s="45"/>
      <c r="I36" s="45"/>
      <c r="J36" s="45"/>
      <c r="K36" s="45"/>
      <c r="L36" s="1054"/>
      <c r="M36" s="45"/>
      <c r="N36" s="45"/>
      <c r="O36" s="45"/>
      <c r="P36" s="45"/>
      <c r="Q36" s="45"/>
      <c r="S36" s="58" t="str">
        <f>"Дата подачи заявления об "&amp;IF(TITLE_DATE_PR_CHANGE="","утверждении","изменении")&amp;" тарифов"</f>
        <v>Дата подачи заявления об утверждении тарифов</v>
      </c>
      <c r="T36" s="58"/>
      <c r="U36" s="1088"/>
      <c r="V36" s="793" t="str">
        <f>IF(TITLE_DATE_PR_CHANGE="",IF(TITLE_DATE_PR="","",TITLE_DATE_PR),TITLE_DATE_PR_CHANGE)</f>
        <v/>
      </c>
      <c r="W36" s="793"/>
      <c r="X36" s="793"/>
      <c r="Y36" s="793"/>
      <c r="Z36" s="793"/>
      <c r="AA36" s="793"/>
      <c r="AB36" s="793"/>
      <c r="AC36" s="43"/>
      <c r="AD36" s="793" t="str">
        <f>IF(TITLE_DATE_PR_CHANGE="",IF(TITLE_DATE_PR="","",TITLE_DATE_PR),TITLE_DATE_PR_CHANGE)</f>
        <v/>
      </c>
      <c r="AE36" s="793"/>
      <c r="AF36" s="793"/>
      <c r="AG36" s="793"/>
      <c r="AH36" s="793"/>
      <c r="AI36" s="793"/>
      <c r="AJ36" s="793"/>
      <c r="AK36" s="793"/>
      <c r="AL36" s="793"/>
      <c r="AM36" s="793"/>
      <c r="AN36" s="793"/>
      <c r="AO36" s="793"/>
      <c r="AP36" s="793"/>
      <c r="AQ36" s="793"/>
      <c r="AR36" s="793"/>
      <c r="AS36" s="793"/>
      <c r="AT36" s="793"/>
      <c r="AU36" s="793"/>
      <c r="AV36" s="793"/>
      <c r="AW36" s="793"/>
      <c r="AX36" s="793"/>
      <c r="AY36" s="793"/>
      <c r="AZ36" s="793"/>
      <c r="BA36" s="43"/>
      <c r="BB36" s="43"/>
      <c r="BC36" s="122"/>
      <c r="BD36" s="151"/>
      <c r="BE36" s="151"/>
      <c r="BF36" s="151"/>
      <c r="BG36" s="151"/>
      <c r="BH36" s="151"/>
      <c r="BI36" s="36">
        <v>0</v>
      </c>
    </row>
    <row r="37" s="36" customFormat="1" ht="18.75" hidden="1" customHeight="1" spans="1:61">
      <c r="A37" s="45"/>
      <c r="B37" s="45"/>
      <c r="C37" s="45"/>
      <c r="D37" s="45"/>
      <c r="E37" s="45"/>
      <c r="F37" s="45"/>
      <c r="G37" s="45"/>
      <c r="H37" s="45"/>
      <c r="I37" s="45"/>
      <c r="J37" s="45"/>
      <c r="K37" s="45"/>
      <c r="L37" s="1054"/>
      <c r="M37" s="45"/>
      <c r="N37" s="45"/>
      <c r="O37" s="45"/>
      <c r="P37" s="45"/>
      <c r="Q37" s="45"/>
      <c r="S37" s="58" t="str">
        <f>"Номер подачи заявления об "&amp;IF(TITLE_DATE_PR_CHANGE="","утверждении","изменении")&amp;" тарифов"</f>
        <v>Номер подачи заявления об утверждении тарифов</v>
      </c>
      <c r="T37" s="58"/>
      <c r="U37" s="1088"/>
      <c r="V37" s="60" t="str">
        <f>IF(TITLE_NUMBER_PR_CHANGE="",IF(TITLE_NUMBER_PR="","",TITLE_NUMBER_PR),TITLE_NUMBER_PR_CHANGE)</f>
        <v/>
      </c>
      <c r="W37" s="60"/>
      <c r="X37" s="60"/>
      <c r="Y37" s="60"/>
      <c r="Z37" s="60"/>
      <c r="AA37" s="60"/>
      <c r="AB37" s="60"/>
      <c r="AC37" s="43"/>
      <c r="AD37" s="60" t="str">
        <f>IF(TITLE_NUMBER_PR_CHANGE="",IF(TITLE_NUMBER_PR="","",TITLE_NUMBER_PR),TITLE_NUMBER_PR_CHANGE)</f>
        <v/>
      </c>
      <c r="AE37" s="60"/>
      <c r="AF37" s="60"/>
      <c r="AG37" s="60"/>
      <c r="AH37" s="60"/>
      <c r="AI37" s="60"/>
      <c r="AJ37" s="60"/>
      <c r="AK37" s="60"/>
      <c r="AL37" s="60"/>
      <c r="AM37" s="60"/>
      <c r="AN37" s="60"/>
      <c r="AO37" s="60"/>
      <c r="AP37" s="60"/>
      <c r="AQ37" s="60"/>
      <c r="AR37" s="60"/>
      <c r="AS37" s="60"/>
      <c r="AT37" s="60"/>
      <c r="AU37" s="60"/>
      <c r="AV37" s="60"/>
      <c r="AW37" s="60"/>
      <c r="AX37" s="60"/>
      <c r="AY37" s="60"/>
      <c r="AZ37" s="60"/>
      <c r="BA37" s="43"/>
      <c r="BB37" s="43"/>
      <c r="BC37" s="122"/>
      <c r="BD37" s="151"/>
      <c r="BE37" s="151"/>
      <c r="BF37" s="151"/>
      <c r="BG37" s="151"/>
      <c r="BH37" s="151"/>
      <c r="BI37" s="36">
        <v>0</v>
      </c>
    </row>
    <row r="38" s="36" customFormat="1" hidden="1" customHeight="1" spans="1:61">
      <c r="A38" s="45"/>
      <c r="B38" s="45"/>
      <c r="C38" s="45"/>
      <c r="D38" s="45"/>
      <c r="E38" s="45"/>
      <c r="F38" s="45"/>
      <c r="G38" s="45"/>
      <c r="H38" s="45"/>
      <c r="I38" s="45"/>
      <c r="J38" s="45"/>
      <c r="K38" s="45"/>
      <c r="L38" s="1054"/>
      <c r="M38" s="45"/>
      <c r="N38" s="45"/>
      <c r="O38" s="45"/>
      <c r="P38" s="45"/>
      <c r="Q38" s="45"/>
      <c r="S38" s="43"/>
      <c r="T38" s="43"/>
      <c r="U38" s="61"/>
      <c r="V38" s="43"/>
      <c r="W38" s="43"/>
      <c r="X38" s="43"/>
      <c r="Y38" s="43"/>
      <c r="Z38" s="43"/>
      <c r="AA38" s="43"/>
      <c r="AB38" s="43"/>
      <c r="AC38" s="44" t="s">
        <v>419</v>
      </c>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4" t="s">
        <v>419</v>
      </c>
      <c r="BD38" s="151"/>
      <c r="BE38" s="151"/>
      <c r="BF38" s="151"/>
      <c r="BG38" s="151"/>
      <c r="BH38" s="151"/>
      <c r="BI38" s="36">
        <v>0</v>
      </c>
    </row>
    <row r="39" ht="14.7" customHeight="1" spans="17:61">
      <c r="Q39" s="1087"/>
      <c r="R39" s="51"/>
      <c r="S39" s="52"/>
      <c r="T39" s="53"/>
      <c r="U39" s="62"/>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I39" s="43">
        <v>14</v>
      </c>
    </row>
    <row r="40" ht="14.7" customHeight="1" spans="17:61">
      <c r="Q40" s="1087"/>
      <c r="R40" s="51"/>
      <c r="S40" s="64" t="s">
        <v>296</v>
      </c>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t="s">
        <v>297</v>
      </c>
      <c r="BI40" s="43">
        <v>14</v>
      </c>
    </row>
    <row r="41" ht="14.7" customHeight="1" spans="17:61">
      <c r="Q41" s="1087"/>
      <c r="R41" s="51"/>
      <c r="S41" s="65" t="s">
        <v>89</v>
      </c>
      <c r="T41" s="66" t="s">
        <v>501</v>
      </c>
      <c r="U41" s="67"/>
      <c r="V41" s="68" t="s">
        <v>421</v>
      </c>
      <c r="W41" s="69"/>
      <c r="X41" s="69"/>
      <c r="Y41" s="69"/>
      <c r="Z41" s="69"/>
      <c r="AA41" s="69"/>
      <c r="AB41" s="123"/>
      <c r="AC41" s="124" t="s">
        <v>422</v>
      </c>
      <c r="AD41" s="913" t="s">
        <v>518</v>
      </c>
      <c r="AE41" s="1099"/>
      <c r="AF41" s="1099"/>
      <c r="AG41" s="1111"/>
      <c r="AH41" s="913" t="s">
        <v>519</v>
      </c>
      <c r="AI41" s="1099"/>
      <c r="AJ41" s="1099"/>
      <c r="AK41" s="1111"/>
      <c r="AL41" s="913" t="s">
        <v>520</v>
      </c>
      <c r="AM41" s="1099"/>
      <c r="AN41" s="1099"/>
      <c r="AO41" s="1111"/>
      <c r="AP41" s="913" t="s">
        <v>505</v>
      </c>
      <c r="AQ41" s="1099"/>
      <c r="AR41" s="1099"/>
      <c r="AS41" s="1111"/>
      <c r="AT41" s="68" t="s">
        <v>421</v>
      </c>
      <c r="AU41" s="69"/>
      <c r="AV41" s="69"/>
      <c r="AW41" s="69"/>
      <c r="AX41" s="69"/>
      <c r="AY41" s="69"/>
      <c r="AZ41" s="123"/>
      <c r="BA41" s="124" t="s">
        <v>422</v>
      </c>
      <c r="BB41" s="125" t="s">
        <v>424</v>
      </c>
      <c r="BC41" s="64"/>
      <c r="BI41" s="43">
        <v>14</v>
      </c>
    </row>
    <row r="42" ht="35.7" customHeight="1" spans="17:61">
      <c r="Q42" s="1087"/>
      <c r="R42" s="51"/>
      <c r="S42" s="65"/>
      <c r="T42" s="66"/>
      <c r="U42" s="70"/>
      <c r="V42" s="903" t="s">
        <v>506</v>
      </c>
      <c r="W42" s="904"/>
      <c r="X42" s="903" t="s">
        <v>507</v>
      </c>
      <c r="Y42" s="904"/>
      <c r="Z42" s="903" t="s">
        <v>508</v>
      </c>
      <c r="AA42" s="1100"/>
      <c r="AB42" s="904"/>
      <c r="AC42" s="129"/>
      <c r="AD42" s="1101"/>
      <c r="AE42" s="1102"/>
      <c r="AF42" s="1102"/>
      <c r="AG42" s="1112"/>
      <c r="AH42" s="1101"/>
      <c r="AI42" s="1102"/>
      <c r="AJ42" s="1102"/>
      <c r="AK42" s="1112"/>
      <c r="AL42" s="1101"/>
      <c r="AM42" s="1102"/>
      <c r="AN42" s="1102"/>
      <c r="AO42" s="1112"/>
      <c r="AP42" s="1101"/>
      <c r="AQ42" s="1102"/>
      <c r="AR42" s="1102"/>
      <c r="AS42" s="1112"/>
      <c r="AT42" s="903" t="s">
        <v>521</v>
      </c>
      <c r="AU42" s="904"/>
      <c r="AV42" s="903" t="s">
        <v>522</v>
      </c>
      <c r="AW42" s="904"/>
      <c r="AX42" s="903" t="s">
        <v>508</v>
      </c>
      <c r="AY42" s="1100"/>
      <c r="AZ42" s="904"/>
      <c r="BA42" s="129"/>
      <c r="BB42" s="130"/>
      <c r="BC42" s="64"/>
      <c r="BI42" s="43">
        <v>34</v>
      </c>
    </row>
    <row r="43" ht="14.7" customHeight="1" spans="17:61">
      <c r="Q43" s="1087"/>
      <c r="R43" s="51"/>
      <c r="S43" s="65"/>
      <c r="T43" s="66"/>
      <c r="U43" s="70"/>
      <c r="V43" s="907"/>
      <c r="W43" s="908"/>
      <c r="X43" s="907"/>
      <c r="Y43" s="908"/>
      <c r="Z43" s="907"/>
      <c r="AA43" s="1103"/>
      <c r="AB43" s="908"/>
      <c r="AC43" s="129"/>
      <c r="AD43" s="1101"/>
      <c r="AE43" s="1102"/>
      <c r="AF43" s="1102"/>
      <c r="AG43" s="1112"/>
      <c r="AH43" s="1101"/>
      <c r="AI43" s="1102"/>
      <c r="AJ43" s="1102"/>
      <c r="AK43" s="1112"/>
      <c r="AL43" s="1101"/>
      <c r="AM43" s="1102"/>
      <c r="AN43" s="1102"/>
      <c r="AO43" s="1112"/>
      <c r="AP43" s="1101"/>
      <c r="AQ43" s="1102"/>
      <c r="AR43" s="1102"/>
      <c r="AS43" s="1112"/>
      <c r="AT43" s="907"/>
      <c r="AU43" s="908"/>
      <c r="AV43" s="907"/>
      <c r="AW43" s="908"/>
      <c r="AX43" s="907"/>
      <c r="AY43" s="1103"/>
      <c r="AZ43" s="908"/>
      <c r="BA43" s="129"/>
      <c r="BB43" s="130"/>
      <c r="BC43" s="64"/>
      <c r="BI43" s="43">
        <v>14</v>
      </c>
    </row>
    <row r="44" ht="14.7" customHeight="1" spans="1:61">
      <c r="A44" s="45"/>
      <c r="B44" s="45" t="s">
        <v>133</v>
      </c>
      <c r="C44" s="45" t="s">
        <v>134</v>
      </c>
      <c r="D44" s="45" t="s">
        <v>135</v>
      </c>
      <c r="E44" s="1054" t="s">
        <v>429</v>
      </c>
      <c r="F44" s="1054" t="s">
        <v>430</v>
      </c>
      <c r="G44" s="1054" t="s">
        <v>431</v>
      </c>
      <c r="H44" s="1054" t="s">
        <v>432</v>
      </c>
      <c r="I44" s="1054" t="s">
        <v>433</v>
      </c>
      <c r="J44" s="1054" t="s">
        <v>434</v>
      </c>
      <c r="K44" s="1054" t="s">
        <v>435</v>
      </c>
      <c r="L44" s="1054" t="s">
        <v>414</v>
      </c>
      <c r="Q44" s="1087"/>
      <c r="R44" s="51"/>
      <c r="S44" s="65"/>
      <c r="T44" s="66"/>
      <c r="U44" s="72"/>
      <c r="V44" s="66" t="s">
        <v>470</v>
      </c>
      <c r="W44" s="66" t="s">
        <v>471</v>
      </c>
      <c r="X44" s="66" t="s">
        <v>470</v>
      </c>
      <c r="Y44" s="66" t="s">
        <v>471</v>
      </c>
      <c r="Z44" s="131" t="s">
        <v>438</v>
      </c>
      <c r="AA44" s="132" t="s">
        <v>439</v>
      </c>
      <c r="AB44" s="133"/>
      <c r="AC44" s="134"/>
      <c r="AD44" s="1104"/>
      <c r="AE44" s="1105"/>
      <c r="AF44" s="1105"/>
      <c r="AG44" s="1113"/>
      <c r="AH44" s="1104"/>
      <c r="AI44" s="1105"/>
      <c r="AJ44" s="1105"/>
      <c r="AK44" s="1113"/>
      <c r="AL44" s="1104"/>
      <c r="AM44" s="1105"/>
      <c r="AN44" s="1105"/>
      <c r="AO44" s="1113"/>
      <c r="AP44" s="1104"/>
      <c r="AQ44" s="1105"/>
      <c r="AR44" s="1105"/>
      <c r="AS44" s="1113"/>
      <c r="AT44" s="66" t="s">
        <v>470</v>
      </c>
      <c r="AU44" s="66" t="s">
        <v>471</v>
      </c>
      <c r="AV44" s="66" t="s">
        <v>470</v>
      </c>
      <c r="AW44" s="66" t="s">
        <v>471</v>
      </c>
      <c r="AX44" s="131" t="s">
        <v>438</v>
      </c>
      <c r="AY44" s="132" t="s">
        <v>439</v>
      </c>
      <c r="AZ44" s="133"/>
      <c r="BA44" s="134"/>
      <c r="BB44" s="135"/>
      <c r="BC44" s="64"/>
      <c r="BI44" s="43">
        <v>14</v>
      </c>
    </row>
    <row r="45" s="37" customFormat="1" ht="11.25" hidden="1" customHeight="1" spans="1:61">
      <c r="A45" s="45"/>
      <c r="B45" s="45"/>
      <c r="C45" s="45"/>
      <c r="D45" s="45"/>
      <c r="E45" s="45"/>
      <c r="F45" s="45"/>
      <c r="G45" s="45"/>
      <c r="H45" s="45"/>
      <c r="I45" s="45"/>
      <c r="J45" s="45"/>
      <c r="K45" s="45"/>
      <c r="L45" s="1054"/>
      <c r="M45" s="39"/>
      <c r="N45" s="39"/>
      <c r="O45" s="39"/>
      <c r="P45" s="1057"/>
      <c r="Q45" s="76"/>
      <c r="R45" s="76">
        <v>1</v>
      </c>
      <c r="S45" s="77" t="s">
        <v>107</v>
      </c>
      <c r="T45" s="78" t="s">
        <v>108</v>
      </c>
      <c r="U45" s="79" t="str">
        <f ca="1">OFFSET(U45,0,-1)</f>
        <v>2</v>
      </c>
      <c r="V45" s="80">
        <f ca="1" t="shared" ref="V45:AA45" si="2">OFFSET(V45,0,-1)+1</f>
        <v>3</v>
      </c>
      <c r="W45" s="80">
        <f ca="1" t="shared" si="2"/>
        <v>4</v>
      </c>
      <c r="X45" s="80">
        <f ca="1" t="shared" si="2"/>
        <v>5</v>
      </c>
      <c r="Y45" s="80">
        <f ca="1" t="shared" si="2"/>
        <v>6</v>
      </c>
      <c r="Z45" s="80">
        <f ca="1" t="shared" si="2"/>
        <v>7</v>
      </c>
      <c r="AA45" s="80">
        <f ca="1" t="shared" si="2"/>
        <v>8</v>
      </c>
      <c r="AB45" s="80"/>
      <c r="AC45" s="80">
        <f ca="1">OFFSET(AC45,0,-2)+1</f>
        <v>9</v>
      </c>
      <c r="AD45" s="80">
        <f ca="1">OFFSET(AD45,0,-1)+1</f>
        <v>10</v>
      </c>
      <c r="AE45" s="80"/>
      <c r="AF45" s="80"/>
      <c r="AG45" s="80"/>
      <c r="AH45" s="80"/>
      <c r="AI45" s="80"/>
      <c r="AJ45" s="80"/>
      <c r="AK45" s="80"/>
      <c r="AL45" s="80"/>
      <c r="AM45" s="80"/>
      <c r="AN45" s="80"/>
      <c r="AO45" s="80"/>
      <c r="AP45" s="80"/>
      <c r="AQ45" s="80"/>
      <c r="AR45" s="80"/>
      <c r="AS45" s="80"/>
      <c r="AT45" s="80"/>
      <c r="AU45" s="80"/>
      <c r="AV45" s="80"/>
      <c r="AW45" s="80">
        <f ca="1">OFFSET(AW45,0,-1)+1</f>
        <v>1</v>
      </c>
      <c r="AX45" s="80">
        <f ca="1">OFFSET(AX45,0,-1)+1</f>
        <v>2</v>
      </c>
      <c r="AY45" s="80">
        <f ca="1">OFFSET(AY45,0,-1)+1</f>
        <v>3</v>
      </c>
      <c r="AZ45" s="80"/>
      <c r="BA45" s="80">
        <f ca="1">OFFSET(BA45,0,-2)+1</f>
        <v>4</v>
      </c>
      <c r="BB45" s="79">
        <f ca="1">OFFSET(BB45,0,-1)</f>
        <v>4</v>
      </c>
      <c r="BC45" s="80">
        <f ca="1">OFFSET(BC45,0,-1)+1</f>
        <v>5</v>
      </c>
      <c r="BD45" s="44"/>
      <c r="BE45" s="44"/>
      <c r="BF45" s="44"/>
      <c r="BG45" s="44"/>
      <c r="BH45" s="44"/>
      <c r="BI45" s="37">
        <v>0</v>
      </c>
    </row>
    <row r="46" ht="22.05" customHeight="1" spans="1:61">
      <c r="A46" s="46" t="s">
        <v>272</v>
      </c>
      <c r="B46" s="46"/>
      <c r="C46" s="46"/>
      <c r="D46" s="46"/>
      <c r="E46" s="1052">
        <v>1</v>
      </c>
      <c r="F46" s="46"/>
      <c r="G46" s="46"/>
      <c r="H46" s="46"/>
      <c r="I46" s="46"/>
      <c r="J46" s="46"/>
      <c r="K46" s="46"/>
      <c r="L46" s="1054"/>
      <c r="M46" s="47"/>
      <c r="N46" s="47"/>
      <c r="O46" s="47"/>
      <c r="Q46" s="264"/>
      <c r="R46" s="82"/>
      <c r="S46" s="65">
        <f>INDEX(PT_DIFFERENTIATION_NUM_NTAR,MATCH(A46,PT_DIFFERENTIATION_NTAR_ID,0))</f>
        <v>0</v>
      </c>
      <c r="T46" s="83" t="s">
        <v>121</v>
      </c>
      <c r="U46" s="84"/>
      <c r="V46" s="1061"/>
      <c r="W46" s="1061"/>
      <c r="X46" s="1061"/>
      <c r="Y46" s="1061"/>
      <c r="Z46" s="1061"/>
      <c r="AA46" s="1061"/>
      <c r="AB46" s="1061"/>
      <c r="AC46" s="1089"/>
      <c r="AD46" s="1090" t="str">
        <f>INDEX(PT_DIFFERENTIATION_NTAR,MATCH(A46,PT_DIFFERENTIATION_NTAR_ID,0))</f>
        <v/>
      </c>
      <c r="AE46" s="1061"/>
      <c r="AF46" s="1061"/>
      <c r="AG46" s="1061"/>
      <c r="AH46" s="1061"/>
      <c r="AI46" s="1061"/>
      <c r="AJ46" s="1061"/>
      <c r="AK46" s="1061"/>
      <c r="AL46" s="1061"/>
      <c r="AM46" s="1061"/>
      <c r="AN46" s="1061"/>
      <c r="AO46" s="1061"/>
      <c r="AP46" s="1061"/>
      <c r="AQ46" s="1061"/>
      <c r="AR46" s="1061"/>
      <c r="AS46" s="1061"/>
      <c r="AT46" s="1061"/>
      <c r="AU46" s="1061"/>
      <c r="AV46" s="1061"/>
      <c r="AW46" s="1061"/>
      <c r="AX46" s="1061"/>
      <c r="AY46" s="1061"/>
      <c r="AZ46" s="1061"/>
      <c r="BA46" s="1061"/>
      <c r="BB46" s="1089"/>
      <c r="BC46"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51"/>
      <c r="BF46" s="151" t="str">
        <f t="shared" ref="BF46:BF52" si="3">IF(T46="","",T46)</f>
        <v>Наименование тарифа</v>
      </c>
      <c r="BG46" s="151"/>
      <c r="BH46" s="151"/>
      <c r="BI46" s="43">
        <v>21</v>
      </c>
    </row>
    <row r="47" ht="22.05" customHeight="1" spans="1:61">
      <c r="A47" s="46" t="s">
        <v>272</v>
      </c>
      <c r="B47" s="46" t="s">
        <v>273</v>
      </c>
      <c r="C47" s="46"/>
      <c r="D47" s="46"/>
      <c r="E47" s="1053"/>
      <c r="F47" s="1052">
        <v>1</v>
      </c>
      <c r="G47" s="46"/>
      <c r="H47" s="46"/>
      <c r="I47" s="46"/>
      <c r="J47" s="46"/>
      <c r="K47" s="46"/>
      <c r="L47" s="1054"/>
      <c r="M47" s="47"/>
      <c r="N47" s="47"/>
      <c r="O47" s="47"/>
      <c r="P47" s="48"/>
      <c r="Q47" s="1062"/>
      <c r="R47" s="88"/>
      <c r="S47" s="65" t="str">
        <f>INDEX(PT_DIFFERENTIATION_NUM_TER,MATCH(B47,PT_DIFFERENTIATION_TER_ID,0))</f>
        <v>.</v>
      </c>
      <c r="T47" s="89" t="s">
        <v>393</v>
      </c>
      <c r="U47" s="84"/>
      <c r="V47" s="1061"/>
      <c r="W47" s="1061"/>
      <c r="X47" s="1061"/>
      <c r="Y47" s="1061"/>
      <c r="Z47" s="1061"/>
      <c r="AA47" s="1061"/>
      <c r="AB47" s="1061"/>
      <c r="AC47" s="1089"/>
      <c r="AD47" s="1090" t="str">
        <f>INDEX(PT_DIFFERENTIATION_TER,MATCH(B47,PT_DIFFERENTIATION_TER_ID,0))</f>
        <v/>
      </c>
      <c r="AE47" s="1061"/>
      <c r="AF47" s="1061"/>
      <c r="AG47" s="1061"/>
      <c r="AH47" s="1061"/>
      <c r="AI47" s="1061"/>
      <c r="AJ47" s="1061"/>
      <c r="AK47" s="1061"/>
      <c r="AL47" s="1061"/>
      <c r="AM47" s="1061"/>
      <c r="AN47" s="1061"/>
      <c r="AO47" s="1061"/>
      <c r="AP47" s="1061"/>
      <c r="AQ47" s="1061"/>
      <c r="AR47" s="1061"/>
      <c r="AS47" s="1061"/>
      <c r="AT47" s="1061"/>
      <c r="AU47" s="1061"/>
      <c r="AV47" s="1061"/>
      <c r="AW47" s="1061"/>
      <c r="AX47" s="1061"/>
      <c r="AY47" s="1061"/>
      <c r="AZ47" s="1061"/>
      <c r="BA47" s="1061"/>
      <c r="BB47" s="1089"/>
      <c r="BC47" s="136" t="s">
        <v>394</v>
      </c>
      <c r="BE47" s="151"/>
      <c r="BF47" s="151" t="str">
        <f t="shared" si="3"/>
        <v>Территория действия тарифа</v>
      </c>
      <c r="BG47" s="151"/>
      <c r="BH47" s="151"/>
      <c r="BI47" s="43">
        <v>21</v>
      </c>
    </row>
    <row r="48" ht="35.7" customHeight="1" spans="1:61">
      <c r="A48" s="46" t="s">
        <v>272</v>
      </c>
      <c r="B48" s="46" t="s">
        <v>273</v>
      </c>
      <c r="C48" s="46" t="s">
        <v>274</v>
      </c>
      <c r="D48" s="46"/>
      <c r="E48" s="1053"/>
      <c r="F48" s="1053"/>
      <c r="G48" s="1052">
        <v>1</v>
      </c>
      <c r="H48" s="46"/>
      <c r="I48" s="46"/>
      <c r="J48" s="46"/>
      <c r="K48" s="46"/>
      <c r="L48" s="1054"/>
      <c r="M48" s="47"/>
      <c r="N48" s="47"/>
      <c r="O48" s="47"/>
      <c r="P48" s="1055"/>
      <c r="Q48" s="1062"/>
      <c r="R48" s="88"/>
      <c r="S48" s="65" t="str">
        <f>INDEX(PT_DIFFERENTIATION_NUM_CS,MATCH(C48,PT_DIFFERENTIATION_CS_ID,0))</f>
        <v>..</v>
      </c>
      <c r="T48" s="91" t="s">
        <v>510</v>
      </c>
      <c r="U48" s="84"/>
      <c r="V48" s="1061"/>
      <c r="W48" s="1061"/>
      <c r="X48" s="1061"/>
      <c r="Y48" s="1061"/>
      <c r="Z48" s="1061"/>
      <c r="AA48" s="1061"/>
      <c r="AB48" s="1061"/>
      <c r="AC48" s="1089"/>
      <c r="AD48" s="1090" t="str">
        <f>INDEX(PT_DIFFERENTIATION_CS,MATCH(C48,PT_DIFFERENTIATION_CS_ID,0))</f>
        <v/>
      </c>
      <c r="AE48" s="1061"/>
      <c r="AF48" s="1061"/>
      <c r="AG48" s="1061"/>
      <c r="AH48" s="1061"/>
      <c r="AI48" s="1061"/>
      <c r="AJ48" s="1061"/>
      <c r="AK48" s="1061"/>
      <c r="AL48" s="1061"/>
      <c r="AM48" s="1061"/>
      <c r="AN48" s="1061"/>
      <c r="AO48" s="1061"/>
      <c r="AP48" s="1061"/>
      <c r="AQ48" s="1061"/>
      <c r="AR48" s="1061"/>
      <c r="AS48" s="1061"/>
      <c r="AT48" s="1061"/>
      <c r="AU48" s="1061"/>
      <c r="AV48" s="1061"/>
      <c r="AW48" s="1061"/>
      <c r="AX48" s="1061"/>
      <c r="AY48" s="1061"/>
      <c r="AZ48" s="1061"/>
      <c r="BA48" s="1061"/>
      <c r="BB48" s="1089"/>
      <c r="BC48" s="136" t="s">
        <v>511</v>
      </c>
      <c r="BE48" s="151"/>
      <c r="BF48" s="151" t="str">
        <f t="shared" si="3"/>
        <v>Наименование централизованной системы водоотведения</v>
      </c>
      <c r="BG48" s="151"/>
      <c r="BH48" s="151"/>
      <c r="BI48" s="43">
        <v>34</v>
      </c>
    </row>
    <row r="49" s="44" customFormat="1" hidden="1" customHeight="1" spans="1:61">
      <c r="A49" s="590" t="s">
        <v>272</v>
      </c>
      <c r="B49" s="590" t="s">
        <v>273</v>
      </c>
      <c r="C49" s="590" t="s">
        <v>274</v>
      </c>
      <c r="D49" s="590" t="s">
        <v>523</v>
      </c>
      <c r="E49" s="1053"/>
      <c r="F49" s="1053"/>
      <c r="G49" s="1053"/>
      <c r="H49" s="1052">
        <v>1</v>
      </c>
      <c r="I49" s="590"/>
      <c r="J49" s="590"/>
      <c r="K49" s="590"/>
      <c r="L49" s="611"/>
      <c r="M49" s="283"/>
      <c r="N49" s="283"/>
      <c r="O49" s="283"/>
      <c r="P49" s="1056"/>
      <c r="Q49" s="1063"/>
      <c r="R49" s="97"/>
      <c r="S49" s="330"/>
      <c r="T49" s="1064"/>
      <c r="U49" s="1065"/>
      <c r="V49" s="1066"/>
      <c r="W49" s="1066"/>
      <c r="X49" s="1066"/>
      <c r="Y49" s="1066"/>
      <c r="Z49" s="1066"/>
      <c r="AA49" s="1066"/>
      <c r="AB49" s="1066"/>
      <c r="AC49" s="1091"/>
      <c r="AD49" s="1092"/>
      <c r="AE49" s="1066"/>
      <c r="AF49" s="1066"/>
      <c r="AG49" s="1066"/>
      <c r="AH49" s="1066"/>
      <c r="AI49" s="1066"/>
      <c r="AJ49" s="1066"/>
      <c r="AK49" s="1066"/>
      <c r="AL49" s="1066"/>
      <c r="AM49" s="1066"/>
      <c r="AN49" s="1066"/>
      <c r="AO49" s="1066"/>
      <c r="AP49" s="1066"/>
      <c r="AQ49" s="1066"/>
      <c r="AR49" s="1066"/>
      <c r="AS49" s="1066"/>
      <c r="AT49" s="1066"/>
      <c r="AU49" s="1066"/>
      <c r="AV49" s="1066"/>
      <c r="AW49" s="1066"/>
      <c r="AX49" s="1066"/>
      <c r="AY49" s="1066"/>
      <c r="AZ49" s="1066"/>
      <c r="BA49" s="1066"/>
      <c r="BB49" s="1091"/>
      <c r="BC49" s="995" t="s">
        <v>398</v>
      </c>
      <c r="BE49" s="151"/>
      <c r="BF49" s="151" t="str">
        <f t="shared" si="3"/>
        <v/>
      </c>
      <c r="BG49" s="151"/>
      <c r="BH49" s="151"/>
      <c r="BI49" s="44">
        <v>0</v>
      </c>
    </row>
    <row r="50" s="44" customFormat="1" hidden="1" customHeight="1" spans="1:61">
      <c r="A50" s="590" t="s">
        <v>272</v>
      </c>
      <c r="B50" s="590" t="s">
        <v>273</v>
      </c>
      <c r="C50" s="590" t="s">
        <v>274</v>
      </c>
      <c r="D50" s="590" t="s">
        <v>523</v>
      </c>
      <c r="E50" s="1053"/>
      <c r="F50" s="1053"/>
      <c r="G50" s="1053"/>
      <c r="H50" s="1053"/>
      <c r="I50" s="229" t="str">
        <f>S49&amp;".1"</f>
        <v>.1</v>
      </c>
      <c r="J50" s="590"/>
      <c r="K50" s="590"/>
      <c r="L50" s="611" t="s">
        <v>399</v>
      </c>
      <c r="M50" s="1057"/>
      <c r="N50" s="1057"/>
      <c r="O50" s="1057"/>
      <c r="P50" s="93">
        <v>1</v>
      </c>
      <c r="Q50" s="93"/>
      <c r="R50" s="94"/>
      <c r="S50" s="330"/>
      <c r="T50" s="1067"/>
      <c r="U50" s="1065"/>
      <c r="V50" s="1066"/>
      <c r="W50" s="1066"/>
      <c r="X50" s="1066"/>
      <c r="Y50" s="1066"/>
      <c r="Z50" s="1066"/>
      <c r="AA50" s="1066"/>
      <c r="AB50" s="1066"/>
      <c r="AC50" s="1091"/>
      <c r="AD50" s="1092"/>
      <c r="AE50" s="1066"/>
      <c r="AF50" s="1066"/>
      <c r="AG50" s="1066"/>
      <c r="AH50" s="1066"/>
      <c r="AI50" s="1066"/>
      <c r="AJ50" s="1066"/>
      <c r="AK50" s="1066"/>
      <c r="AL50" s="1066"/>
      <c r="AM50" s="1066"/>
      <c r="AN50" s="1066"/>
      <c r="AO50" s="1066"/>
      <c r="AP50" s="1066"/>
      <c r="AQ50" s="1066"/>
      <c r="AR50" s="1066"/>
      <c r="AS50" s="1066"/>
      <c r="AT50" s="1066"/>
      <c r="AU50" s="1066"/>
      <c r="AV50" s="1066"/>
      <c r="AW50" s="1066"/>
      <c r="AX50" s="1066"/>
      <c r="AY50" s="1066"/>
      <c r="AZ50" s="1066"/>
      <c r="BA50" s="1066"/>
      <c r="BB50" s="1091"/>
      <c r="BC50" s="995"/>
      <c r="BE50" s="151"/>
      <c r="BF50" s="151" t="str">
        <f t="shared" si="3"/>
        <v/>
      </c>
      <c r="BG50" s="151"/>
      <c r="BH50" s="151"/>
      <c r="BI50" s="44">
        <v>0</v>
      </c>
    </row>
    <row r="51" s="44" customFormat="1" hidden="1" customHeight="1" spans="1:61">
      <c r="A51" s="590" t="s">
        <v>272</v>
      </c>
      <c r="B51" s="590" t="s">
        <v>273</v>
      </c>
      <c r="C51" s="590" t="s">
        <v>274</v>
      </c>
      <c r="D51" s="590" t="s">
        <v>523</v>
      </c>
      <c r="E51" s="1053"/>
      <c r="F51" s="1053"/>
      <c r="G51" s="1053"/>
      <c r="H51" s="1053"/>
      <c r="I51" s="1058"/>
      <c r="J51" s="229" t="str">
        <f>S49&amp;".1"</f>
        <v>.1</v>
      </c>
      <c r="K51" s="590"/>
      <c r="L51" s="611"/>
      <c r="M51" s="1057"/>
      <c r="N51" s="1057"/>
      <c r="O51" s="1057"/>
      <c r="P51" s="93"/>
      <c r="Q51" s="93">
        <v>1</v>
      </c>
      <c r="R51" s="97"/>
      <c r="S51" s="330"/>
      <c r="T51" s="1068"/>
      <c r="U51" s="1065"/>
      <c r="V51" s="1066"/>
      <c r="W51" s="1066"/>
      <c r="X51" s="1066"/>
      <c r="Y51" s="1066"/>
      <c r="Z51" s="1066"/>
      <c r="AA51" s="1066"/>
      <c r="AB51" s="1066"/>
      <c r="AC51" s="1091"/>
      <c r="AD51" s="1092"/>
      <c r="AE51" s="1066"/>
      <c r="AF51" s="1066"/>
      <c r="AG51" s="1066"/>
      <c r="AH51" s="1066"/>
      <c r="AI51" s="1066"/>
      <c r="AJ51" s="1066"/>
      <c r="AK51" s="1066"/>
      <c r="AL51" s="1066"/>
      <c r="AM51" s="1066"/>
      <c r="AN51" s="1114"/>
      <c r="AO51" s="1114"/>
      <c r="AP51" s="1066"/>
      <c r="AQ51" s="1066"/>
      <c r="AR51" s="1066"/>
      <c r="AS51" s="1066"/>
      <c r="AT51" s="1066"/>
      <c r="AU51" s="1066"/>
      <c r="AV51" s="1066"/>
      <c r="AW51" s="1066"/>
      <c r="AX51" s="1066"/>
      <c r="AY51" s="1066"/>
      <c r="AZ51" s="1066"/>
      <c r="BA51" s="1066"/>
      <c r="BB51" s="1091"/>
      <c r="BC51" s="995"/>
      <c r="BE51" s="151"/>
      <c r="BF51" s="151" t="str">
        <f t="shared" si="3"/>
        <v/>
      </c>
      <c r="BG51" s="151"/>
      <c r="BH51" s="151"/>
      <c r="BI51" s="44">
        <v>0</v>
      </c>
    </row>
    <row r="52" ht="11.55" customHeight="1" spans="1:61">
      <c r="A52" s="46" t="s">
        <v>272</v>
      </c>
      <c r="B52" s="46" t="s">
        <v>273</v>
      </c>
      <c r="C52" s="46" t="s">
        <v>274</v>
      </c>
      <c r="D52" s="46" t="s">
        <v>523</v>
      </c>
      <c r="E52" s="1053"/>
      <c r="F52" s="1053"/>
      <c r="G52" s="1053"/>
      <c r="H52" s="1053"/>
      <c r="I52" s="1058"/>
      <c r="J52" s="1058"/>
      <c r="K52" s="229" t="str">
        <f>S48&amp;".1"</f>
        <v>...1</v>
      </c>
      <c r="L52" s="1054"/>
      <c r="P52" s="93"/>
      <c r="Q52" s="93"/>
      <c r="R52" s="97">
        <v>1</v>
      </c>
      <c r="S52" s="1070" t="str">
        <f>$K52</f>
        <v>...1</v>
      </c>
      <c r="T52" s="1071"/>
      <c r="U52" s="84"/>
      <c r="V52" s="102"/>
      <c r="W52" s="138"/>
      <c r="X52" s="102"/>
      <c r="Y52" s="138"/>
      <c r="Z52" s="139"/>
      <c r="AA52" s="140" t="s">
        <v>66</v>
      </c>
      <c r="AB52" s="139"/>
      <c r="AC52" s="140" t="s">
        <v>66</v>
      </c>
      <c r="AD52" s="475" t="s">
        <v>66</v>
      </c>
      <c r="AE52" s="1093"/>
      <c r="AF52" s="664">
        <v>1</v>
      </c>
      <c r="AG52" s="1106"/>
      <c r="AH52" s="140" t="s">
        <v>66</v>
      </c>
      <c r="AI52" s="1093"/>
      <c r="AJ52" s="664">
        <v>1</v>
      </c>
      <c r="AK52" s="1107" t="s">
        <v>22</v>
      </c>
      <c r="AL52" s="140" t="s">
        <v>66</v>
      </c>
      <c r="AM52" s="903"/>
      <c r="AN52" s="664">
        <v>1</v>
      </c>
      <c r="AO52" s="1115"/>
      <c r="AP52" s="1116" t="s">
        <v>66</v>
      </c>
      <c r="AQ52" s="1117"/>
      <c r="AR52" s="664">
        <v>1</v>
      </c>
      <c r="AS52" s="449" t="s">
        <v>22</v>
      </c>
      <c r="AT52" s="102"/>
      <c r="AU52" s="138"/>
      <c r="AV52" s="102"/>
      <c r="AW52" s="138"/>
      <c r="AX52" s="139"/>
      <c r="AY52" s="140" t="s">
        <v>66</v>
      </c>
      <c r="AZ52" s="139"/>
      <c r="BA52" s="140" t="s">
        <v>66</v>
      </c>
      <c r="BB52" s="1120"/>
      <c r="BC52" s="141" t="s">
        <v>493</v>
      </c>
      <c r="BE52" s="151"/>
      <c r="BF52" s="151" t="str">
        <f t="shared" si="3"/>
        <v/>
      </c>
      <c r="BG52" s="151"/>
      <c r="BH52" s="151"/>
      <c r="BI52" s="43">
        <v>11</v>
      </c>
    </row>
    <row r="53" ht="11.55" customHeight="1" spans="1:61">
      <c r="A53" s="46"/>
      <c r="B53" s="46"/>
      <c r="C53" s="46"/>
      <c r="D53" s="46"/>
      <c r="E53" s="1053"/>
      <c r="F53" s="1053"/>
      <c r="G53" s="1053"/>
      <c r="H53" s="1053"/>
      <c r="I53" s="1058"/>
      <c r="J53" s="1058"/>
      <c r="K53" s="229"/>
      <c r="L53" s="1054"/>
      <c r="P53" s="93"/>
      <c r="Q53" s="93"/>
      <c r="R53" s="97"/>
      <c r="S53" s="1072"/>
      <c r="T53" s="1073"/>
      <c r="U53" s="84"/>
      <c r="V53" s="1074"/>
      <c r="W53" s="1075"/>
      <c r="X53" s="1074"/>
      <c r="Y53" s="1075"/>
      <c r="Z53" s="1074"/>
      <c r="AA53" s="1074"/>
      <c r="AB53" s="1074"/>
      <c r="AC53" s="1074"/>
      <c r="AD53" s="477"/>
      <c r="AE53" s="1093"/>
      <c r="AF53" s="664"/>
      <c r="AG53" s="1106"/>
      <c r="AH53" s="140"/>
      <c r="AI53" s="1093"/>
      <c r="AJ53" s="664"/>
      <c r="AK53" s="1107"/>
      <c r="AL53" s="140"/>
      <c r="AM53" s="907"/>
      <c r="AN53" s="664"/>
      <c r="AO53" s="1115"/>
      <c r="AP53" s="1118"/>
      <c r="AQ53" s="331"/>
      <c r="AR53" s="332"/>
      <c r="AS53" s="332" t="s">
        <v>494</v>
      </c>
      <c r="AT53" s="1074"/>
      <c r="AU53" s="1075"/>
      <c r="AV53" s="1074"/>
      <c r="AW53" s="1075"/>
      <c r="AX53" s="1074"/>
      <c r="AY53" s="1074"/>
      <c r="AZ53" s="1074"/>
      <c r="BA53" s="1074"/>
      <c r="BB53" s="1121"/>
      <c r="BC53" s="144"/>
      <c r="BE53" s="151"/>
      <c r="BF53" s="151"/>
      <c r="BG53" s="151"/>
      <c r="BH53" s="151"/>
      <c r="BI53" s="43">
        <v>11</v>
      </c>
    </row>
    <row r="54" ht="11.55" customHeight="1" spans="1:61">
      <c r="A54" s="46" t="s">
        <v>272</v>
      </c>
      <c r="B54" s="46"/>
      <c r="C54" s="46"/>
      <c r="D54" s="46"/>
      <c r="E54" s="1053"/>
      <c r="F54" s="1053"/>
      <c r="G54" s="1053"/>
      <c r="H54" s="1053"/>
      <c r="I54" s="1058"/>
      <c r="J54" s="1058"/>
      <c r="K54" s="229"/>
      <c r="L54" s="1054"/>
      <c r="P54" s="93"/>
      <c r="Q54" s="93"/>
      <c r="R54" s="97"/>
      <c r="S54" s="1072"/>
      <c r="T54" s="1073"/>
      <c r="U54" s="84"/>
      <c r="V54" s="1074"/>
      <c r="W54" s="1075"/>
      <c r="X54" s="1074"/>
      <c r="Y54" s="1075"/>
      <c r="Z54" s="1074"/>
      <c r="AA54" s="1074"/>
      <c r="AB54" s="1074"/>
      <c r="AC54" s="1074"/>
      <c r="AD54" s="477"/>
      <c r="AE54" s="1093"/>
      <c r="AF54" s="664"/>
      <c r="AG54" s="1106"/>
      <c r="AH54" s="140"/>
      <c r="AI54" s="1093"/>
      <c r="AJ54" s="664"/>
      <c r="AK54" s="1107"/>
      <c r="AL54" s="140"/>
      <c r="AM54" s="331"/>
      <c r="AN54" s="601"/>
      <c r="AO54" s="601" t="s">
        <v>516</v>
      </c>
      <c r="AP54" s="332"/>
      <c r="AQ54" s="332"/>
      <c r="AR54" s="332"/>
      <c r="AS54" s="1074"/>
      <c r="AT54" s="1074"/>
      <c r="AU54" s="1075"/>
      <c r="AV54" s="1074"/>
      <c r="AW54" s="1075"/>
      <c r="AX54" s="1074"/>
      <c r="AY54" s="1074"/>
      <c r="AZ54" s="1074"/>
      <c r="BA54" s="1074"/>
      <c r="BB54" s="1121"/>
      <c r="BC54" s="144"/>
      <c r="BE54" s="151"/>
      <c r="BF54" s="151"/>
      <c r="BG54" s="151"/>
      <c r="BH54" s="151"/>
      <c r="BI54" s="43">
        <v>11</v>
      </c>
    </row>
    <row r="55" ht="11.55" customHeight="1" spans="1:61">
      <c r="A55" s="46" t="s">
        <v>272</v>
      </c>
      <c r="B55" s="46"/>
      <c r="C55" s="46"/>
      <c r="D55" s="46"/>
      <c r="E55" s="1053"/>
      <c r="F55" s="1053"/>
      <c r="G55" s="1053"/>
      <c r="H55" s="1053"/>
      <c r="I55" s="1058"/>
      <c r="J55" s="1058"/>
      <c r="K55" s="229"/>
      <c r="L55" s="1054"/>
      <c r="P55" s="93"/>
      <c r="Q55" s="93"/>
      <c r="R55" s="97"/>
      <c r="S55" s="1072"/>
      <c r="T55" s="1073"/>
      <c r="U55" s="84"/>
      <c r="V55" s="1074"/>
      <c r="W55" s="1075"/>
      <c r="X55" s="1074"/>
      <c r="Y55" s="1075"/>
      <c r="Z55" s="1074"/>
      <c r="AA55" s="1074"/>
      <c r="AB55" s="1074"/>
      <c r="AC55" s="1074"/>
      <c r="AD55" s="477"/>
      <c r="AE55" s="1093"/>
      <c r="AF55" s="664"/>
      <c r="AG55" s="1106"/>
      <c r="AH55" s="140"/>
      <c r="AI55" s="911"/>
      <c r="AJ55" s="227"/>
      <c r="AK55" s="1108" t="s">
        <v>517</v>
      </c>
      <c r="AL55" s="1074"/>
      <c r="AM55" s="1074"/>
      <c r="AN55" s="1074"/>
      <c r="AO55" s="1074"/>
      <c r="AP55" s="1074"/>
      <c r="AQ55" s="1074"/>
      <c r="AR55" s="1074"/>
      <c r="AS55" s="1074"/>
      <c r="AT55" s="1074"/>
      <c r="AU55" s="1075"/>
      <c r="AV55" s="1074"/>
      <c r="AW55" s="1075"/>
      <c r="AX55" s="1074"/>
      <c r="AY55" s="1074"/>
      <c r="AZ55" s="1074"/>
      <c r="BA55" s="1074"/>
      <c r="BB55" s="1121"/>
      <c r="BC55" s="144"/>
      <c r="BE55" s="151"/>
      <c r="BF55" s="151"/>
      <c r="BG55" s="151"/>
      <c r="BH55" s="151"/>
      <c r="BI55" s="43">
        <v>11</v>
      </c>
    </row>
    <row r="56" ht="11.55" customHeight="1" spans="1:61">
      <c r="A56" s="46" t="s">
        <v>272</v>
      </c>
      <c r="B56" s="46" t="s">
        <v>273</v>
      </c>
      <c r="C56" s="46" t="s">
        <v>274</v>
      </c>
      <c r="D56" s="46" t="s">
        <v>523</v>
      </c>
      <c r="E56" s="1053"/>
      <c r="F56" s="1053"/>
      <c r="G56" s="1053"/>
      <c r="H56" s="1053"/>
      <c r="I56" s="1058"/>
      <c r="J56" s="1058"/>
      <c r="K56" s="229"/>
      <c r="L56" s="1054"/>
      <c r="P56" s="93"/>
      <c r="Q56" s="93"/>
      <c r="R56" s="97"/>
      <c r="S56" s="1076"/>
      <c r="T56" s="1077"/>
      <c r="U56" s="84"/>
      <c r="V56" s="1074"/>
      <c r="W56" s="1078" t="str">
        <f>Z52&amp;"-"&amp;AB52</f>
        <v>-</v>
      </c>
      <c r="X56" s="1074"/>
      <c r="Y56" s="1078" t="str">
        <f>AB52&amp;"-"&amp;AD52</f>
        <v>-да</v>
      </c>
      <c r="Z56" s="1074"/>
      <c r="AA56" s="1074"/>
      <c r="AB56" s="1074"/>
      <c r="AC56" s="1074"/>
      <c r="AD56" s="480"/>
      <c r="AE56" s="1094"/>
      <c r="AF56" s="1095"/>
      <c r="AG56" s="332" t="s">
        <v>497</v>
      </c>
      <c r="AH56" s="1074"/>
      <c r="AI56" s="1074"/>
      <c r="AJ56" s="1074"/>
      <c r="AK56" s="1074"/>
      <c r="AL56" s="1074"/>
      <c r="AM56" s="1074"/>
      <c r="AN56" s="1074"/>
      <c r="AO56" s="1074"/>
      <c r="AP56" s="1074"/>
      <c r="AQ56" s="1074"/>
      <c r="AR56" s="1074"/>
      <c r="AS56" s="1074"/>
      <c r="AT56" s="1074"/>
      <c r="AU56" s="1078" t="str">
        <f>AX52&amp;"-"&amp;AZ52</f>
        <v>-</v>
      </c>
      <c r="AV56" s="1074"/>
      <c r="AW56" s="1078" t="str">
        <f>AZ52&amp;"-"&amp;BB52</f>
        <v>-</v>
      </c>
      <c r="AX56" s="1074"/>
      <c r="AY56" s="1074"/>
      <c r="AZ56" s="1074"/>
      <c r="BA56" s="1074"/>
      <c r="BB56" s="1122" t="str">
        <f>BE52&amp;"-"&amp;BG52</f>
        <v>-</v>
      </c>
      <c r="BC56" s="144"/>
      <c r="BE56" s="151"/>
      <c r="BF56" s="151" t="str">
        <f t="shared" ref="BF56:BF63" si="4">IF(T56="","",T56)</f>
        <v/>
      </c>
      <c r="BG56" s="151"/>
      <c r="BH56" s="151"/>
      <c r="BI56" s="43">
        <v>11</v>
      </c>
    </row>
    <row r="57" ht="11.55" customHeight="1" spans="1:61">
      <c r="A57" s="46" t="s">
        <v>272</v>
      </c>
      <c r="B57" s="46" t="s">
        <v>273</v>
      </c>
      <c r="C57" s="46" t="s">
        <v>274</v>
      </c>
      <c r="D57" s="46" t="s">
        <v>523</v>
      </c>
      <c r="E57" s="1053"/>
      <c r="F57" s="1053"/>
      <c r="G57" s="1053"/>
      <c r="H57" s="1053"/>
      <c r="I57" s="1058"/>
      <c r="J57" s="229"/>
      <c r="K57" s="46"/>
      <c r="L57" s="1054"/>
      <c r="P57" s="93"/>
      <c r="Q57" s="93"/>
      <c r="R57" s="94"/>
      <c r="S57" s="105"/>
      <c r="T57" s="108" t="s">
        <v>460</v>
      </c>
      <c r="U57" s="107"/>
      <c r="V57" s="107"/>
      <c r="W57" s="107"/>
      <c r="X57" s="107"/>
      <c r="Y57" s="107"/>
      <c r="Z57" s="107"/>
      <c r="AA57" s="107"/>
      <c r="AB57" s="107"/>
      <c r="AC57" s="145"/>
      <c r="AD57" s="1096"/>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45"/>
      <c r="BC57" s="146"/>
      <c r="BE57" s="151"/>
      <c r="BF57" s="151" t="str">
        <f t="shared" si="4"/>
        <v>Добавить строку</v>
      </c>
      <c r="BG57" s="151"/>
      <c r="BH57" s="151"/>
      <c r="BI57" s="43">
        <v>11</v>
      </c>
    </row>
    <row r="58" s="44" customFormat="1" hidden="1" customHeight="1" spans="1:61">
      <c r="A58" s="590" t="s">
        <v>272</v>
      </c>
      <c r="B58" s="590" t="s">
        <v>273</v>
      </c>
      <c r="C58" s="590" t="s">
        <v>274</v>
      </c>
      <c r="D58" s="590" t="s">
        <v>523</v>
      </c>
      <c r="E58" s="1053"/>
      <c r="F58" s="1053"/>
      <c r="G58" s="1053"/>
      <c r="H58" s="1053"/>
      <c r="I58" s="229"/>
      <c r="J58" s="590"/>
      <c r="K58" s="590"/>
      <c r="L58" s="611"/>
      <c r="M58" s="1057"/>
      <c r="N58" s="1057"/>
      <c r="O58" s="1057"/>
      <c r="P58" s="93"/>
      <c r="Q58" s="93"/>
      <c r="R58" s="94"/>
      <c r="S58" s="1079"/>
      <c r="T58" s="1080"/>
      <c r="U58" s="1081"/>
      <c r="V58" s="1081"/>
      <c r="W58" s="1081"/>
      <c r="X58" s="1081"/>
      <c r="Y58" s="1081"/>
      <c r="Z58" s="1081"/>
      <c r="AA58" s="1081"/>
      <c r="AB58" s="1081"/>
      <c r="AC58" s="1081"/>
      <c r="AD58" s="1081"/>
      <c r="AE58" s="1081"/>
      <c r="AF58" s="1081"/>
      <c r="AG58" s="1081"/>
      <c r="AH58" s="1081"/>
      <c r="AI58" s="1081"/>
      <c r="AJ58" s="1081"/>
      <c r="AK58" s="1081"/>
      <c r="AL58" s="1081"/>
      <c r="AM58" s="1081"/>
      <c r="AN58" s="1081"/>
      <c r="AO58" s="1081"/>
      <c r="AP58" s="1081"/>
      <c r="AQ58" s="1081"/>
      <c r="AR58" s="1081"/>
      <c r="AS58" s="1081"/>
      <c r="AT58" s="1081"/>
      <c r="AU58" s="1081"/>
      <c r="AV58" s="1081"/>
      <c r="AW58" s="1081"/>
      <c r="AX58" s="1081"/>
      <c r="AY58" s="1081"/>
      <c r="AZ58" s="1081"/>
      <c r="BA58" s="1081"/>
      <c r="BB58" s="1081"/>
      <c r="BC58" s="1123"/>
      <c r="BE58" s="151"/>
      <c r="BF58" s="151" t="str">
        <f t="shared" si="4"/>
        <v/>
      </c>
      <c r="BG58" s="151"/>
      <c r="BH58" s="151"/>
      <c r="BI58" s="44">
        <v>0</v>
      </c>
    </row>
    <row r="59" s="44" customFormat="1" hidden="1" customHeight="1" spans="1:61">
      <c r="A59" s="590" t="s">
        <v>272</v>
      </c>
      <c r="B59" s="590" t="s">
        <v>273</v>
      </c>
      <c r="C59" s="590" t="s">
        <v>274</v>
      </c>
      <c r="D59" s="590" t="s">
        <v>523</v>
      </c>
      <c r="E59" s="1053"/>
      <c r="F59" s="1053"/>
      <c r="G59" s="1053"/>
      <c r="H59" s="1052"/>
      <c r="I59" s="590"/>
      <c r="J59" s="590"/>
      <c r="K59" s="590"/>
      <c r="L59" s="611"/>
      <c r="M59" s="283"/>
      <c r="N59" s="283"/>
      <c r="P59" s="152"/>
      <c r="Q59" s="1082"/>
      <c r="R59" s="1083"/>
      <c r="S59" s="1079"/>
      <c r="T59" s="1080"/>
      <c r="U59" s="1081"/>
      <c r="V59" s="1081"/>
      <c r="W59" s="1081"/>
      <c r="X59" s="1081"/>
      <c r="Y59" s="1081"/>
      <c r="Z59" s="1081"/>
      <c r="AA59" s="1081"/>
      <c r="AB59" s="1081"/>
      <c r="AC59" s="1081"/>
      <c r="AD59" s="1081"/>
      <c r="AE59" s="1081"/>
      <c r="AF59" s="1081"/>
      <c r="AG59" s="1081"/>
      <c r="AH59" s="1081"/>
      <c r="AI59" s="1081"/>
      <c r="AJ59" s="1081"/>
      <c r="AK59" s="1081"/>
      <c r="AL59" s="1081"/>
      <c r="AM59" s="1081"/>
      <c r="AN59" s="1081"/>
      <c r="AO59" s="1081"/>
      <c r="AP59" s="1081"/>
      <c r="AQ59" s="1081"/>
      <c r="AR59" s="1081"/>
      <c r="AS59" s="1081"/>
      <c r="AT59" s="1081"/>
      <c r="AU59" s="1081"/>
      <c r="AV59" s="1081"/>
      <c r="AW59" s="1081"/>
      <c r="AX59" s="1081"/>
      <c r="AY59" s="1081"/>
      <c r="AZ59" s="1081"/>
      <c r="BA59" s="1081"/>
      <c r="BB59" s="1081"/>
      <c r="BC59" s="1123"/>
      <c r="BE59" s="151"/>
      <c r="BF59" s="151" t="str">
        <f t="shared" si="4"/>
        <v/>
      </c>
      <c r="BG59" s="151"/>
      <c r="BH59" s="151"/>
      <c r="BI59" s="44">
        <v>0</v>
      </c>
    </row>
    <row r="60" s="44" customFormat="1" hidden="1" customHeight="1" spans="1:61">
      <c r="A60" s="590" t="s">
        <v>272</v>
      </c>
      <c r="B60" s="590" t="s">
        <v>273</v>
      </c>
      <c r="C60" s="590" t="s">
        <v>274</v>
      </c>
      <c r="D60" s="590"/>
      <c r="E60" s="1053"/>
      <c r="F60" s="1053"/>
      <c r="G60" s="1052"/>
      <c r="H60" s="590"/>
      <c r="I60" s="590"/>
      <c r="J60" s="590"/>
      <c r="K60" s="590"/>
      <c r="L60" s="611"/>
      <c r="M60" s="283"/>
      <c r="N60" s="283"/>
      <c r="P60" s="152"/>
      <c r="Q60" s="1082"/>
      <c r="R60" s="152"/>
      <c r="S60" s="1084"/>
      <c r="T60" s="1085"/>
      <c r="U60" s="307"/>
      <c r="V60" s="307"/>
      <c r="W60" s="307"/>
      <c r="X60" s="307"/>
      <c r="Y60" s="307"/>
      <c r="Z60" s="307"/>
      <c r="AA60" s="307"/>
      <c r="AB60" s="307"/>
      <c r="AC60" s="307"/>
      <c r="AD60" s="307"/>
      <c r="AE60" s="307"/>
      <c r="AF60" s="307"/>
      <c r="AG60" s="307"/>
      <c r="AH60" s="307"/>
      <c r="AI60" s="307"/>
      <c r="AJ60" s="307"/>
      <c r="AK60" s="307"/>
      <c r="AL60" s="307"/>
      <c r="AM60" s="307"/>
      <c r="AN60" s="307"/>
      <c r="AO60" s="307"/>
      <c r="AP60" s="307"/>
      <c r="AQ60" s="307"/>
      <c r="AR60" s="307"/>
      <c r="AS60" s="307"/>
      <c r="AT60" s="307"/>
      <c r="AU60" s="307"/>
      <c r="AV60" s="307"/>
      <c r="AW60" s="307"/>
      <c r="AX60" s="307"/>
      <c r="AY60" s="307"/>
      <c r="AZ60" s="307"/>
      <c r="BA60" s="307"/>
      <c r="BB60" s="307"/>
      <c r="BC60" s="307"/>
      <c r="BE60" s="151"/>
      <c r="BF60" s="151" t="str">
        <f t="shared" si="4"/>
        <v/>
      </c>
      <c r="BG60" s="151"/>
      <c r="BH60" s="151"/>
      <c r="BI60" s="44">
        <v>0</v>
      </c>
    </row>
    <row r="61" s="44" customFormat="1" hidden="1" customHeight="1" spans="1:61">
      <c r="A61" s="590" t="s">
        <v>272</v>
      </c>
      <c r="B61" s="590" t="s">
        <v>273</v>
      </c>
      <c r="C61" s="590"/>
      <c r="D61" s="590"/>
      <c r="E61" s="1053"/>
      <c r="F61" s="1052"/>
      <c r="G61" s="590"/>
      <c r="H61" s="590"/>
      <c r="I61" s="590"/>
      <c r="J61" s="590"/>
      <c r="K61" s="590"/>
      <c r="L61" s="611"/>
      <c r="M61" s="1059"/>
      <c r="N61" s="1059"/>
      <c r="P61" s="152"/>
      <c r="Q61" s="1082"/>
      <c r="R61" s="152"/>
      <c r="S61" s="1084"/>
      <c r="T61" s="1085" t="s">
        <v>411</v>
      </c>
      <c r="U61" s="307"/>
      <c r="V61" s="307"/>
      <c r="W61" s="307"/>
      <c r="X61" s="307"/>
      <c r="Y61" s="307"/>
      <c r="Z61" s="307"/>
      <c r="AA61" s="307"/>
      <c r="AB61" s="307"/>
      <c r="AC61" s="307"/>
      <c r="AD61" s="307"/>
      <c r="AE61" s="307"/>
      <c r="AF61" s="307"/>
      <c r="AG61" s="307"/>
      <c r="AH61" s="307"/>
      <c r="AI61" s="307"/>
      <c r="AJ61" s="307"/>
      <c r="AK61" s="307"/>
      <c r="AL61" s="307"/>
      <c r="AM61" s="307"/>
      <c r="AN61" s="307"/>
      <c r="AO61" s="307"/>
      <c r="AP61" s="307"/>
      <c r="AQ61" s="307"/>
      <c r="AR61" s="307"/>
      <c r="AS61" s="307"/>
      <c r="AT61" s="307"/>
      <c r="AU61" s="307"/>
      <c r="AV61" s="307"/>
      <c r="AW61" s="307"/>
      <c r="AX61" s="307"/>
      <c r="AY61" s="307"/>
      <c r="AZ61" s="307"/>
      <c r="BA61" s="307"/>
      <c r="BB61" s="307"/>
      <c r="BC61" s="307"/>
      <c r="BE61" s="151"/>
      <c r="BF61" s="151" t="str">
        <f t="shared" si="4"/>
        <v>Добавить централизованную систему для дифференциации</v>
      </c>
      <c r="BG61" s="151"/>
      <c r="BH61" s="151"/>
      <c r="BI61" s="44">
        <v>0</v>
      </c>
    </row>
    <row r="62" s="44" customFormat="1" hidden="1" customHeight="1" spans="1:61">
      <c r="A62" s="590" t="s">
        <v>272</v>
      </c>
      <c r="B62" s="590"/>
      <c r="C62" s="590"/>
      <c r="D62" s="590"/>
      <c r="E62" s="1052"/>
      <c r="F62" s="590"/>
      <c r="G62" s="590"/>
      <c r="H62" s="590"/>
      <c r="I62" s="590"/>
      <c r="J62" s="590"/>
      <c r="K62" s="590"/>
      <c r="L62" s="611"/>
      <c r="M62" s="1059"/>
      <c r="N62" s="1059"/>
      <c r="P62" s="152"/>
      <c r="Q62" s="1082"/>
      <c r="R62" s="152"/>
      <c r="S62" s="1084"/>
      <c r="T62" s="1085" t="s">
        <v>412</v>
      </c>
      <c r="U62" s="307"/>
      <c r="V62" s="307"/>
      <c r="W62" s="307"/>
      <c r="X62" s="307"/>
      <c r="Y62" s="307"/>
      <c r="Z62" s="307"/>
      <c r="AA62" s="307"/>
      <c r="AB62" s="307"/>
      <c r="AC62" s="307"/>
      <c r="AD62" s="307"/>
      <c r="AE62" s="307"/>
      <c r="AF62" s="307"/>
      <c r="AG62" s="307"/>
      <c r="AH62" s="307"/>
      <c r="AI62" s="307"/>
      <c r="AJ62" s="307"/>
      <c r="AK62" s="307"/>
      <c r="AL62" s="307"/>
      <c r="AM62" s="307"/>
      <c r="AN62" s="307"/>
      <c r="AO62" s="307"/>
      <c r="AP62" s="307"/>
      <c r="AQ62" s="307"/>
      <c r="AR62" s="307"/>
      <c r="AS62" s="307"/>
      <c r="AT62" s="307"/>
      <c r="AU62" s="307"/>
      <c r="AV62" s="307"/>
      <c r="AW62" s="307"/>
      <c r="AX62" s="307"/>
      <c r="AY62" s="307"/>
      <c r="AZ62" s="307"/>
      <c r="BA62" s="307"/>
      <c r="BB62" s="307"/>
      <c r="BC62" s="307"/>
      <c r="BE62" s="151"/>
      <c r="BF62" s="151" t="str">
        <f t="shared" si="4"/>
        <v>Добавить территорию для дифференциации</v>
      </c>
      <c r="BG62" s="151"/>
      <c r="BH62" s="151"/>
      <c r="BI62" s="44">
        <v>0</v>
      </c>
    </row>
    <row r="63" s="44" customFormat="1" hidden="1" customHeight="1" spans="1:61">
      <c r="A63" s="590"/>
      <c r="B63" s="590"/>
      <c r="C63" s="590"/>
      <c r="D63" s="590"/>
      <c r="E63" s="590"/>
      <c r="F63" s="590"/>
      <c r="G63" s="590"/>
      <c r="H63" s="590"/>
      <c r="I63" s="590"/>
      <c r="J63" s="590"/>
      <c r="K63" s="590"/>
      <c r="L63" s="611"/>
      <c r="M63" s="1059"/>
      <c r="N63" s="1059"/>
      <c r="P63" s="152"/>
      <c r="Q63" s="1082"/>
      <c r="R63" s="152"/>
      <c r="S63" s="1084"/>
      <c r="T63" s="1085" t="s">
        <v>440</v>
      </c>
      <c r="U63" s="307"/>
      <c r="V63" s="307"/>
      <c r="W63" s="307"/>
      <c r="X63" s="307"/>
      <c r="Y63" s="307"/>
      <c r="Z63" s="307"/>
      <c r="AA63" s="307"/>
      <c r="AB63" s="307"/>
      <c r="AC63" s="307"/>
      <c r="AD63" s="307"/>
      <c r="AE63" s="307"/>
      <c r="AF63" s="307"/>
      <c r="AG63" s="307"/>
      <c r="AH63" s="307"/>
      <c r="AI63" s="307"/>
      <c r="AJ63" s="307"/>
      <c r="AK63" s="307"/>
      <c r="AL63" s="307"/>
      <c r="AM63" s="307"/>
      <c r="AN63" s="307"/>
      <c r="AO63" s="307"/>
      <c r="AP63" s="307"/>
      <c r="AQ63" s="307"/>
      <c r="AR63" s="307"/>
      <c r="AS63" s="307"/>
      <c r="AT63" s="307"/>
      <c r="AU63" s="307"/>
      <c r="AV63" s="307"/>
      <c r="AW63" s="307"/>
      <c r="AX63" s="307"/>
      <c r="AY63" s="307"/>
      <c r="AZ63" s="307"/>
      <c r="BA63" s="307"/>
      <c r="BB63" s="307"/>
      <c r="BC63" s="307"/>
      <c r="BE63" s="151"/>
      <c r="BF63" s="151" t="str">
        <f t="shared" si="4"/>
        <v>Добавить наименование тарифа</v>
      </c>
      <c r="BG63" s="151"/>
      <c r="BH63" s="151"/>
      <c r="BI63" s="44">
        <v>0</v>
      </c>
    </row>
    <row r="64" ht="11.55" customHeight="1" spans="13:61">
      <c r="M64" s="38"/>
      <c r="N64" s="38"/>
      <c r="O64" s="38"/>
      <c r="P64" s="38"/>
      <c r="Q64" s="38"/>
      <c r="R64" s="43"/>
      <c r="S64" s="43"/>
      <c r="BD64" s="43"/>
      <c r="BE64" s="43"/>
      <c r="BF64" s="43"/>
      <c r="BG64" s="43"/>
      <c r="BH64" s="43"/>
      <c r="BI64" s="43">
        <v>11</v>
      </c>
    </row>
    <row r="65" ht="14.7" customHeight="1" spans="15:61">
      <c r="O65" s="38"/>
      <c r="S65" s="786"/>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I65" s="43">
        <v>14</v>
      </c>
    </row>
    <row r="66" ht="14.7" customHeight="1" spans="15:61">
      <c r="O66" s="38"/>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I66" s="43">
        <v>14</v>
      </c>
    </row>
    <row r="67" ht="14.7" customHeight="1" spans="15:61">
      <c r="O67" s="38"/>
      <c r="S67" s="786"/>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I67" s="43">
        <v>14</v>
      </c>
    </row>
    <row r="68" ht="14.7" customHeight="1" spans="15:61">
      <c r="O68" s="38"/>
      <c r="BI68" s="43">
        <v>14</v>
      </c>
    </row>
    <row r="69" hidden="1" customHeight="1" spans="1:61">
      <c r="A69" s="38" t="s">
        <v>83</v>
      </c>
      <c r="B69" s="38">
        <v>0</v>
      </c>
      <c r="C69" s="38">
        <v>0</v>
      </c>
      <c r="D69" s="38">
        <v>0</v>
      </c>
      <c r="E69" s="38">
        <v>0</v>
      </c>
      <c r="F69" s="38">
        <v>0</v>
      </c>
      <c r="G69" s="38">
        <v>0</v>
      </c>
      <c r="H69" s="38">
        <v>0</v>
      </c>
      <c r="I69" s="38">
        <v>0</v>
      </c>
      <c r="J69" s="38">
        <v>0</v>
      </c>
      <c r="K69" s="38">
        <v>0</v>
      </c>
      <c r="L69" s="48">
        <v>0</v>
      </c>
      <c r="M69" s="39">
        <v>0</v>
      </c>
      <c r="N69" s="39">
        <v>0</v>
      </c>
      <c r="O69" s="39">
        <v>0</v>
      </c>
      <c r="P69" s="39">
        <v>0</v>
      </c>
      <c r="Q69" s="1051">
        <v>0</v>
      </c>
      <c r="R69" s="41">
        <v>3</v>
      </c>
      <c r="S69" s="42">
        <v>12</v>
      </c>
      <c r="T69" s="43">
        <v>31</v>
      </c>
      <c r="U69" s="43">
        <v>0</v>
      </c>
      <c r="V69" s="43">
        <v>0</v>
      </c>
      <c r="W69" s="43">
        <v>0</v>
      </c>
      <c r="X69" s="43">
        <v>0</v>
      </c>
      <c r="Y69" s="43">
        <v>0</v>
      </c>
      <c r="Z69" s="43">
        <v>0</v>
      </c>
      <c r="AA69" s="43">
        <v>0</v>
      </c>
      <c r="AB69" s="43">
        <v>0</v>
      </c>
      <c r="AC69" s="43">
        <v>0</v>
      </c>
      <c r="AD69" s="43">
        <v>3</v>
      </c>
      <c r="AE69" s="43">
        <v>3</v>
      </c>
      <c r="AF69" s="43">
        <v>3</v>
      </c>
      <c r="AG69" s="43">
        <v>24</v>
      </c>
      <c r="AH69" s="43">
        <v>3</v>
      </c>
      <c r="AI69" s="43">
        <v>3</v>
      </c>
      <c r="AJ69" s="43">
        <v>3</v>
      </c>
      <c r="AK69" s="43">
        <v>24</v>
      </c>
      <c r="AL69" s="43">
        <v>3</v>
      </c>
      <c r="AM69" s="43">
        <v>3</v>
      </c>
      <c r="AN69" s="43">
        <v>3</v>
      </c>
      <c r="AO69" s="43">
        <v>18</v>
      </c>
      <c r="AP69" s="43">
        <v>3</v>
      </c>
      <c r="AQ69" s="43">
        <v>3</v>
      </c>
      <c r="AR69" s="43">
        <v>3</v>
      </c>
      <c r="AS69" s="43">
        <v>18</v>
      </c>
      <c r="AT69" s="43">
        <v>21</v>
      </c>
      <c r="AU69" s="43">
        <v>21</v>
      </c>
      <c r="AV69" s="43">
        <v>21</v>
      </c>
      <c r="AW69" s="43">
        <v>21</v>
      </c>
      <c r="AX69" s="43">
        <v>11</v>
      </c>
      <c r="AY69" s="43">
        <v>3</v>
      </c>
      <c r="AZ69" s="43">
        <v>11</v>
      </c>
      <c r="BA69" s="43">
        <v>0</v>
      </c>
      <c r="BB69" s="43">
        <v>4</v>
      </c>
      <c r="BC69" s="43">
        <v>115</v>
      </c>
      <c r="BD69" s="44">
        <v>10</v>
      </c>
      <c r="BE69" s="44">
        <v>10</v>
      </c>
      <c r="BF69" s="44">
        <v>10</v>
      </c>
      <c r="BG69" s="44">
        <v>10</v>
      </c>
      <c r="BH69" s="44">
        <v>10</v>
      </c>
      <c r="BI69" s="43">
        <v>23</v>
      </c>
    </row>
  </sheetData>
  <sheetProtection formatColumns="0" formatRows="0" insertRows="0" deleteColumns="0" deleteRows="0" sort="0" autoFilter="0"/>
  <mergeCells count="122">
    <mergeCell ref="V2:AC2"/>
    <mergeCell ref="AD2:BB2"/>
    <mergeCell ref="V3:AC3"/>
    <mergeCell ref="AD3:BB3"/>
    <mergeCell ref="V4:AC4"/>
    <mergeCell ref="AD4:BB4"/>
    <mergeCell ref="V5:AC5"/>
    <mergeCell ref="AD5:BB5"/>
    <mergeCell ref="V6:AC6"/>
    <mergeCell ref="AD6:BB6"/>
    <mergeCell ref="V7:AC7"/>
    <mergeCell ref="AD7:BB7"/>
    <mergeCell ref="S28:AZ28"/>
    <mergeCell ref="S29:AZ29"/>
    <mergeCell ref="S31:T31"/>
    <mergeCell ref="V31:AB31"/>
    <mergeCell ref="AD31:AZ31"/>
    <mergeCell ref="S32:T32"/>
    <mergeCell ref="V32:AB32"/>
    <mergeCell ref="AD32:AZ32"/>
    <mergeCell ref="S33:T33"/>
    <mergeCell ref="V33:AB33"/>
    <mergeCell ref="AD33:AZ33"/>
    <mergeCell ref="S34:T34"/>
    <mergeCell ref="V34:AB34"/>
    <mergeCell ref="AD34:AZ34"/>
    <mergeCell ref="S36:T36"/>
    <mergeCell ref="V36:AB36"/>
    <mergeCell ref="AD36:AZ36"/>
    <mergeCell ref="S37:T37"/>
    <mergeCell ref="V37:AB37"/>
    <mergeCell ref="AD37:AZ37"/>
    <mergeCell ref="V39:AC39"/>
    <mergeCell ref="AD39:BA39"/>
    <mergeCell ref="S40:BB40"/>
    <mergeCell ref="V41:AB41"/>
    <mergeCell ref="AT41:AZ41"/>
    <mergeCell ref="AA44:AB44"/>
    <mergeCell ref="AY44:AZ44"/>
    <mergeCell ref="AA45:AB45"/>
    <mergeCell ref="AY45:AZ45"/>
    <mergeCell ref="V46:AC46"/>
    <mergeCell ref="AD46:BB46"/>
    <mergeCell ref="V47:AC47"/>
    <mergeCell ref="AD47:BB47"/>
    <mergeCell ref="V48:AC48"/>
    <mergeCell ref="AD48:BB48"/>
    <mergeCell ref="V49:AC49"/>
    <mergeCell ref="AD49:BB49"/>
    <mergeCell ref="V50:AC50"/>
    <mergeCell ref="AD50:BB50"/>
    <mergeCell ref="V51:AC51"/>
    <mergeCell ref="AD51:BB51"/>
    <mergeCell ref="T65:BC65"/>
    <mergeCell ref="T67:BC67"/>
    <mergeCell ref="E2:E18"/>
    <mergeCell ref="E46:E62"/>
    <mergeCell ref="F3:F17"/>
    <mergeCell ref="F47:F61"/>
    <mergeCell ref="G4:G16"/>
    <mergeCell ref="G48:G60"/>
    <mergeCell ref="H5:H15"/>
    <mergeCell ref="H49:H59"/>
    <mergeCell ref="I6:I14"/>
    <mergeCell ref="I50:I58"/>
    <mergeCell ref="J7:J13"/>
    <mergeCell ref="J51:J57"/>
    <mergeCell ref="K8:K12"/>
    <mergeCell ref="K52:K56"/>
    <mergeCell ref="P6:P14"/>
    <mergeCell ref="P50:P58"/>
    <mergeCell ref="Q7:Q13"/>
    <mergeCell ref="Q51:Q57"/>
    <mergeCell ref="R8:R12"/>
    <mergeCell ref="S8:S12"/>
    <mergeCell ref="S41:S44"/>
    <mergeCell ref="S52:S56"/>
    <mergeCell ref="T8:T12"/>
    <mergeCell ref="T41:T44"/>
    <mergeCell ref="T52:T56"/>
    <mergeCell ref="AC41:AC44"/>
    <mergeCell ref="AD8:AD12"/>
    <mergeCell ref="AD52:AD56"/>
    <mergeCell ref="AE8:AE11"/>
    <mergeCell ref="AE52:AE55"/>
    <mergeCell ref="AF8:AF11"/>
    <mergeCell ref="AF52:AF55"/>
    <mergeCell ref="AG8:AG11"/>
    <mergeCell ref="AG52:AG55"/>
    <mergeCell ref="AH8:AH11"/>
    <mergeCell ref="AH52:AH55"/>
    <mergeCell ref="AI8:AI10"/>
    <mergeCell ref="AI52:AI54"/>
    <mergeCell ref="AJ8:AJ10"/>
    <mergeCell ref="AJ52:AJ54"/>
    <mergeCell ref="AK8:AK10"/>
    <mergeCell ref="AK52:AK54"/>
    <mergeCell ref="AL8:AL10"/>
    <mergeCell ref="AL52:AL54"/>
    <mergeCell ref="AM8:AM9"/>
    <mergeCell ref="AM52:AM53"/>
    <mergeCell ref="AN8:AN9"/>
    <mergeCell ref="AN52:AN53"/>
    <mergeCell ref="AO8:AO9"/>
    <mergeCell ref="AO52:AO53"/>
    <mergeCell ref="AP8:AP9"/>
    <mergeCell ref="AP52:AP53"/>
    <mergeCell ref="BA41:BA44"/>
    <mergeCell ref="BB41:BB44"/>
    <mergeCell ref="BC8:BC13"/>
    <mergeCell ref="BC40:BC44"/>
    <mergeCell ref="BC52:BC57"/>
    <mergeCell ref="AD41:AG44"/>
    <mergeCell ref="AH41:AK44"/>
    <mergeCell ref="AL41:AO44"/>
    <mergeCell ref="AP41:AS44"/>
    <mergeCell ref="Z42:AB43"/>
    <mergeCell ref="AX42:AZ43"/>
    <mergeCell ref="V42:W43"/>
    <mergeCell ref="X42:Y43"/>
    <mergeCell ref="AT42:AU43"/>
    <mergeCell ref="AV42:AW43"/>
  </mergeCells>
  <dataValidations count="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X8 AZ8 AX20 AZ20 Z52 AB52 AX52 AZ52 Z65589 AB65589 AX65589 AZ65589 Z131125 AB131125 AX131125 AZ131125 Z196661 AB196661 AX196661 AZ196661 Z262197 AB262197 AX262197 AZ262197 Z327733 AB327733 AX327733 AZ327733 Z393269 AB393269 AX393269 AZ393269 Z458805 AB458805 AX458805 AZ458805 Z524341 AB524341 AX524341 AZ524341 Z589877 AB589877 AX589877 AZ589877 Z655413 AB655413 AX655413 AZ655413 Z720949 AB720949 AX720949 AZ720949 Z786485 AB786485 AX786485 AZ786485 Z852021 AB852021 AX852021 AZ852021 Z917557 AB917557 AX917557 AZ917557 Z983093 AB983093 AX983093 AZ983093"/>
    <dataValidation allowBlank="1" showInputMessage="1" showErrorMessage="1" prompt="Для выбора выполните двойной щелчок левой клавиши мыши по соответствующей ячейке." sqref="AA8 AC8:AD8 AP8 AY8 BA8 AD20 AG20:AH20 AK20:AL20 AP20 AY20 BA20 AA52 AC52:AD52 AP52 AY52 BA52 AA65589 AC65589 AY65589 BA65589 AA131125 AC131125 AY131125 BA131125 AA196661 AC196661 AY196661 BA196661 AA262197 AC262197 AY262197 BA262197 AA327733 AC327733 AY327733 BA327733 AA393269 AC393269 AY393269 BA393269 AA458805 AC458805 AY458805 BA458805 AA524341 AC524341 AY524341 BA524341 AA589877 AC589877 AY589877 BA589877 AA655413 AC655413 AY655413 BA655413 AA720949 AC720949 AY720949 BA720949 AA786485 AC786485 AY786485 BA786485 AA852021 AC852021 AY852021 BA852021 AA917557 AC917557 AY917557 BA917557 AA983093 AC983093 AY983093 BA983093 AH8:AH9 AH52:AH53 AK8:AL9 AK52:AL53"/>
    <dataValidation type="textLength" operator="lessThanOrEqual" allowBlank="1" showInputMessage="1" showErrorMessage="1" errorTitle="Ошибка" error="Допускается ввод не более 900 символов!" sqref="AS8 AS52 T8:T12 T52:T56 BC65583:BC65590 BC131119:BC131126 BC196655:BC196662 BC262191:BC262198 BC327727:BC327734 BC393263:BC393270 BC458799:BC458806 BC524335:BC524342 BC589871:BC589878 BC655407:BC655414 BC720943:BC720950 BC786479:BC786486 BC852015:BC852022 BC917551:BC917558 BC983087:BC983094">
      <formula1>900</formula1>
    </dataValidation>
    <dataValidation allowBlank="1" promptTitle="checkPeriodRange" sqref="W12 Y12 AU12 AW12 BB12 W56 Y56 AU56 AW56 BB56 W65590 Y65590 AW65590 W131126 Y131126 AW131126 W196662 Y196662 AW196662 W262198 Y262198 AW262198 W327734 Y327734 AW327734 W393270 Y393270 AW393270 W458806 Y458806 AW458806 W524342 Y524342 AW524342 W589878 Y589878 AW589878 W655414 Y655414 AW655414 W720950 Y720950 AW720950 W786486 Y786486 AW786486 W852022 Y852022 AW852022 W917558 Y917558 AW917558 W983094 Y983094 AW983094"/>
    <dataValidation type="list" allowBlank="1" showInputMessage="1" showErrorMessage="1" errorTitle="Ошибка" error="Выберите значение из списка" sqref="AD65587:AS65587 AD131123:AS131123 AD196659:AS196659 AD262195:AS262195 AD327731:AS327731 AD393267:AS393267 AD458803:AS458803 AD524339:AS524339 AD589875:AS589875 AD655411:AS655411 AD720947:AS720947 AD786483:AS786483 AD852019:AS852019 AD917555:AS917555 AD983091:AS983091">
      <formula1>kind_of_scheme_in</formula1>
    </dataValidation>
    <dataValidation type="list" allowBlank="1" showInputMessage="1" errorTitle="Ошибка" error="Выберите значение из списка" prompt="Выберите значение из списка" sqref="V65588:BB65588 V131124:BB131124 V196660:BB196660 V262196:BB262196 V327732:BB327732 V393268:BB393268 V458804:BB458804 V524340:BB524340 V589876:BB589876 V655412:BB655412 V720948:BB720948 V786484:BB786484 V852020:BB852020 V917556:BB917556 V983092:BB983092">
      <formula1>kind_of_cons</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decimal" operator="between" allowBlank="1" showErrorMessage="1" errorTitle="Ошибка" error="Допускается ввод только действительных чисел!" sqref="AG8:AG11 AG52:AG55 AO8:AO9 AO52:AO53">
      <formula1>-9.99999999999999E+23</formula1>
      <formula2>9.99999999999999E+23</formula2>
    </dataValidation>
    <dataValidation allowBlank="1" sqref="S65591:BC65597 S524343:BC524349 S983095:BC983101 S458807:BC458813 S917559:BC917565 S393271:BC393277 S852023:BC852029 S327735:BC327741 S786487:BC786493 S262199:BC262205 S720951:BC720957 S196663:BC196669 S655415:BC655421 S131127:BC131133 S589879:BC589885"/>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pageSetUpPr fitToPage="1"/>
  </sheetPr>
  <dimension ref="A1:AC29"/>
  <sheetViews>
    <sheetView showGridLines="0" zoomScale="90" zoomScaleNormal="90" workbookViewId="0">
      <pane xSplit="6" ySplit="11" topLeftCell="G12" activePane="bottomRight" state="frozen"/>
      <selection/>
      <selection pane="topRight"/>
      <selection pane="bottomLeft"/>
      <selection pane="bottomRight" activeCell="A1" sqref="A1"/>
    </sheetView>
  </sheetViews>
  <sheetFormatPr defaultColWidth="9.14285714285714" defaultRowHeight="14.25" customHeight="1"/>
  <cols>
    <col min="1" max="1" width="8" style="43" hidden="1" customWidth="1"/>
    <col min="2" max="2" width="6" style="38" hidden="1" customWidth="1"/>
    <col min="3" max="3" width="3" style="43" customWidth="1"/>
    <col min="4" max="4" width="3" style="217" customWidth="1"/>
    <col min="5" max="5" width="6" style="43" customWidth="1"/>
    <col min="6" max="6" width="2.71428571428571" style="43" hidden="1" customWidth="1"/>
    <col min="7" max="7" width="46.7142857142857" style="43" customWidth="1"/>
    <col min="8" max="8" width="42" style="43" customWidth="1"/>
    <col min="9" max="9" width="14" style="43" customWidth="1"/>
    <col min="10" max="10" width="3" style="151" customWidth="1"/>
    <col min="11" max="13" width="9.14285714285714" style="151" hidden="1"/>
    <col min="14" max="14" width="25.7142857142857" style="151" hidden="1" customWidth="1"/>
    <col min="15" max="15" width="14.4190476190476" style="151" hidden="1" customWidth="1"/>
    <col min="16" max="19" width="9.14285714285714" style="267" hidden="1"/>
    <col min="20" max="27" width="9.14285714285714" style="43" hidden="1"/>
    <col min="28" max="28" width="8" style="43" customWidth="1"/>
    <col min="29" max="29" width="9.14285714285714" style="43" hidden="1"/>
  </cols>
  <sheetData>
    <row r="1" s="44" customFormat="1" ht="5.25" hidden="1" customHeight="1" spans="1:29">
      <c r="A1" s="37"/>
      <c r="D1" s="93"/>
      <c r="G1" s="590" t="s">
        <v>84</v>
      </c>
      <c r="H1" s="93" t="s">
        <v>85</v>
      </c>
      <c r="I1" s="630" t="s">
        <v>86</v>
      </c>
      <c r="J1" s="590" t="s">
        <v>84</v>
      </c>
      <c r="K1" s="590"/>
      <c r="L1" s="590"/>
      <c r="M1" s="590"/>
      <c r="N1" s="590"/>
      <c r="O1" s="590"/>
      <c r="P1" s="590"/>
      <c r="Q1" s="590"/>
      <c r="R1" s="590"/>
      <c r="S1" s="590"/>
      <c r="T1" s="630"/>
      <c r="U1" s="630"/>
      <c r="V1" s="630"/>
      <c r="W1" s="630"/>
      <c r="X1" s="630"/>
      <c r="Y1" s="630"/>
      <c r="Z1" s="630"/>
      <c r="AA1" s="630"/>
      <c r="AB1" s="630"/>
      <c r="AC1" s="44" t="s">
        <v>14</v>
      </c>
    </row>
    <row r="2" s="1055" customFormat="1" ht="11.25" customHeight="1" spans="1:29">
      <c r="A2" s="589"/>
      <c r="B2" s="629"/>
      <c r="C2" s="629"/>
      <c r="D2" s="1317"/>
      <c r="E2" s="629"/>
      <c r="F2" s="629"/>
      <c r="G2" s="629"/>
      <c r="H2" s="629"/>
      <c r="I2" s="629"/>
      <c r="J2" s="590"/>
      <c r="K2" s="590"/>
      <c r="L2" s="590"/>
      <c r="M2" s="590"/>
      <c r="N2" s="590"/>
      <c r="O2" s="590"/>
      <c r="P2" s="1324"/>
      <c r="Q2" s="1324"/>
      <c r="R2" s="1324"/>
      <c r="S2" s="1324"/>
      <c r="T2" s="1317"/>
      <c r="U2" s="1317"/>
      <c r="V2" s="1317"/>
      <c r="W2" s="1317"/>
      <c r="X2" s="1317"/>
      <c r="Y2" s="1317"/>
      <c r="Z2" s="1317"/>
      <c r="AA2" s="1317"/>
      <c r="AB2" s="1317"/>
      <c r="AC2" s="1055">
        <v>11</v>
      </c>
    </row>
    <row r="3" s="206" customFormat="1" ht="3" customHeight="1" spans="1:29">
      <c r="A3" s="43"/>
      <c r="B3" s="38"/>
      <c r="C3" s="43"/>
      <c r="D3" s="217"/>
      <c r="E3" s="43"/>
      <c r="F3" s="43"/>
      <c r="G3" s="43"/>
      <c r="H3" s="43"/>
      <c r="I3" s="61"/>
      <c r="J3" s="590"/>
      <c r="K3" s="151"/>
      <c r="L3" s="151"/>
      <c r="M3" s="151"/>
      <c r="N3" s="151"/>
      <c r="O3" s="151"/>
      <c r="P3" s="267"/>
      <c r="Q3" s="267"/>
      <c r="R3" s="267"/>
      <c r="S3" s="267"/>
      <c r="AC3" s="206">
        <v>3</v>
      </c>
    </row>
    <row r="4" s="206" customFormat="1" ht="27.3" customHeight="1" spans="1:29">
      <c r="A4" s="43"/>
      <c r="B4" s="38"/>
      <c r="C4" s="43"/>
      <c r="D4" s="217"/>
      <c r="E4" s="565" t="str">
        <f>NameTemplatesInListMO</f>
        <v>Перечень муниципальных районов и муниципальных образований (территорий оказания услуг)</v>
      </c>
      <c r="F4" s="565"/>
      <c r="G4" s="565"/>
      <c r="H4" s="565"/>
      <c r="I4" s="565"/>
      <c r="J4" s="590"/>
      <c r="K4" s="151"/>
      <c r="L4" s="151"/>
      <c r="M4" s="151"/>
      <c r="N4" s="151"/>
      <c r="O4" s="151"/>
      <c r="P4" s="267"/>
      <c r="Q4" s="267"/>
      <c r="R4" s="267"/>
      <c r="S4" s="267"/>
      <c r="AC4" s="206">
        <v>26</v>
      </c>
    </row>
    <row r="5" s="206" customFormat="1" ht="3" customHeight="1" spans="1:29">
      <c r="A5" s="43"/>
      <c r="B5" s="38"/>
      <c r="C5" s="43"/>
      <c r="D5" s="217"/>
      <c r="E5" s="43"/>
      <c r="F5" s="43"/>
      <c r="G5" s="594"/>
      <c r="H5" s="594"/>
      <c r="I5" s="589"/>
      <c r="J5" s="151"/>
      <c r="K5" s="151"/>
      <c r="L5" s="151"/>
      <c r="M5" s="151"/>
      <c r="N5" s="151"/>
      <c r="O5" s="151"/>
      <c r="P5" s="267"/>
      <c r="Q5" s="267"/>
      <c r="R5" s="267"/>
      <c r="S5" s="267"/>
      <c r="AC5" s="206">
        <v>3</v>
      </c>
    </row>
    <row r="6" s="206" customFormat="1" ht="20.25" hidden="1" customHeight="1" spans="1:29">
      <c r="A6" s="81"/>
      <c r="B6" s="264"/>
      <c r="C6" s="81"/>
      <c r="D6" s="217"/>
      <c r="E6" s="522"/>
      <c r="F6" s="522"/>
      <c r="G6" s="594"/>
      <c r="H6" s="1318"/>
      <c r="I6" s="1318"/>
      <c r="J6" s="151"/>
      <c r="K6" s="151"/>
      <c r="L6" s="151"/>
      <c r="M6" s="151"/>
      <c r="N6" s="151"/>
      <c r="O6" s="151"/>
      <c r="P6" s="267"/>
      <c r="Q6" s="267"/>
      <c r="R6" s="267"/>
      <c r="S6" s="267"/>
      <c r="AC6" s="206">
        <v>0</v>
      </c>
    </row>
    <row r="7" ht="25.5" hidden="1" customHeight="1" spans="29:29">
      <c r="AC7" s="43">
        <v>0</v>
      </c>
    </row>
    <row r="8" s="206" customFormat="1" ht="14.7" customHeight="1" spans="1:29">
      <c r="A8" s="43"/>
      <c r="B8" s="38"/>
      <c r="C8" s="43"/>
      <c r="D8" s="217"/>
      <c r="E8" s="126" t="s">
        <v>87</v>
      </c>
      <c r="F8" s="128"/>
      <c r="G8" s="127"/>
      <c r="H8" s="927" t="s">
        <v>88</v>
      </c>
      <c r="I8" s="927"/>
      <c r="J8" s="151"/>
      <c r="K8" s="151"/>
      <c r="L8" s="151"/>
      <c r="M8" s="151"/>
      <c r="N8" s="151"/>
      <c r="O8" s="151"/>
      <c r="P8" s="267"/>
      <c r="Q8" s="267"/>
      <c r="R8" s="267"/>
      <c r="S8" s="267"/>
      <c r="AC8" s="206">
        <v>14</v>
      </c>
    </row>
    <row r="9" s="206" customFormat="1" ht="21" customHeight="1" spans="1:29">
      <c r="A9" s="43"/>
      <c r="B9" s="38"/>
      <c r="C9" s="43"/>
      <c r="D9" s="217"/>
      <c r="E9" s="612" t="s">
        <v>89</v>
      </c>
      <c r="F9" s="612"/>
      <c r="G9" s="596" t="s">
        <v>90</v>
      </c>
      <c r="H9" s="596" t="s">
        <v>90</v>
      </c>
      <c r="I9" s="596" t="s">
        <v>86</v>
      </c>
      <c r="J9" s="151"/>
      <c r="K9" s="151"/>
      <c r="L9" s="151"/>
      <c r="M9" s="151"/>
      <c r="N9" s="151"/>
      <c r="O9" s="151"/>
      <c r="P9" s="267"/>
      <c r="Q9" s="267"/>
      <c r="R9" s="267"/>
      <c r="S9" s="267"/>
      <c r="AC9" s="206">
        <v>20</v>
      </c>
    </row>
    <row r="10" ht="11.55" customHeight="1" spans="4:29">
      <c r="D10" s="235"/>
      <c r="E10" s="1319" t="s">
        <v>91</v>
      </c>
      <c r="F10" s="1319"/>
      <c r="G10" s="1319" t="s">
        <v>92</v>
      </c>
      <c r="H10" s="1319" t="s">
        <v>93</v>
      </c>
      <c r="I10" s="1319" t="s">
        <v>94</v>
      </c>
      <c r="J10" s="45"/>
      <c r="K10" s="45"/>
      <c r="L10" s="45"/>
      <c r="M10" s="45"/>
      <c r="N10" s="45"/>
      <c r="O10" s="45"/>
      <c r="P10" s="1049"/>
      <c r="Q10" s="1049"/>
      <c r="R10" s="1049"/>
      <c r="S10" s="1049"/>
      <c r="AC10" s="43">
        <v>11</v>
      </c>
    </row>
    <row r="11" s="206" customFormat="1" ht="1.05" customHeight="1" spans="1:29">
      <c r="A11" s="43"/>
      <c r="B11" s="38"/>
      <c r="C11" s="43"/>
      <c r="D11" s="217"/>
      <c r="E11" s="1320"/>
      <c r="F11" s="1320"/>
      <c r="G11" s="1321"/>
      <c r="H11" s="1321"/>
      <c r="I11" s="1325"/>
      <c r="J11" s="1326" t="s">
        <v>95</v>
      </c>
      <c r="K11" s="151"/>
      <c r="L11" s="151"/>
      <c r="M11" s="151" t="s">
        <v>96</v>
      </c>
      <c r="N11" s="151" t="s">
        <v>97</v>
      </c>
      <c r="O11" s="151" t="s">
        <v>98</v>
      </c>
      <c r="P11" s="267"/>
      <c r="Q11" s="267"/>
      <c r="R11" s="267"/>
      <c r="S11" s="267"/>
      <c r="AC11" s="206">
        <v>1</v>
      </c>
    </row>
    <row r="12" s="206" customFormat="1" ht="15" customHeight="1" spans="1:29">
      <c r="A12" s="86">
        <v>1</v>
      </c>
      <c r="B12" s="38"/>
      <c r="C12" s="43"/>
      <c r="D12" s="217"/>
      <c r="E12" s="64">
        <f>A12</f>
        <v>1</v>
      </c>
      <c r="F12" s="675" t="s">
        <v>99</v>
      </c>
      <c r="G12" s="219" t="str">
        <f>"Территория "&amp;E12</f>
        <v>Территория 1</v>
      </c>
      <c r="H12" s="220"/>
      <c r="I12" s="220"/>
      <c r="J12" s="151"/>
      <c r="K12" s="151"/>
      <c r="L12" s="151"/>
      <c r="M12" s="151"/>
      <c r="N12" s="151"/>
      <c r="O12" s="151"/>
      <c r="P12" s="267"/>
      <c r="Q12" s="267"/>
      <c r="R12" s="267"/>
      <c r="S12" s="267"/>
      <c r="AC12" s="206">
        <v>14</v>
      </c>
    </row>
    <row r="13" customFormat="1" ht="15.75" customHeight="1" spans="1:29">
      <c r="A13" s="86"/>
      <c r="B13" s="38">
        <v>1</v>
      </c>
      <c r="C13" s="38"/>
      <c r="D13" s="221"/>
      <c r="E13" s="73" t="str">
        <f>A12&amp;"."&amp;B13</f>
        <v>1.1</v>
      </c>
      <c r="F13" s="623">
        <v>1</v>
      </c>
      <c r="G13" s="223"/>
      <c r="H13" s="223"/>
      <c r="I13" s="268"/>
      <c r="J13" s="151" t="e">
        <f>MERGEVALUE(G13)</f>
        <v>#NAME?</v>
      </c>
      <c r="K13" s="44"/>
      <c r="L13" s="44"/>
      <c r="M13" s="151" t="str">
        <f t="array" ref="M13">IF(ISERROR(MATCH(MID(N13,1,250),MID(note_ter,1,250),0)),"n","y")</f>
        <v>n</v>
      </c>
      <c r="N13" s="44"/>
      <c r="O13" s="151" t="str">
        <f>H13&amp;"("&amp;I13&amp;")"</f>
        <v>()</v>
      </c>
      <c r="P13" s="38"/>
      <c r="Q13" s="38"/>
      <c r="R13" s="288"/>
      <c r="S13" s="38"/>
      <c r="T13" s="38"/>
      <c r="U13" s="38"/>
      <c r="V13" s="264"/>
      <c r="W13" s="264"/>
      <c r="X13" s="152"/>
      <c r="Y13" s="152"/>
      <c r="Z13" s="152"/>
      <c r="AA13" s="152"/>
      <c r="AB13" s="152"/>
      <c r="AC13">
        <v>15</v>
      </c>
    </row>
    <row r="14" customFormat="1" ht="15.75" customHeight="1" spans="1:29">
      <c r="A14" s="86"/>
      <c r="B14" s="38"/>
      <c r="C14" s="224"/>
      <c r="D14" s="216"/>
      <c r="E14" s="225"/>
      <c r="F14" s="226"/>
      <c r="G14" s="227" t="s">
        <v>100</v>
      </c>
      <c r="H14" s="228"/>
      <c r="I14" s="269"/>
      <c r="J14" s="44"/>
      <c r="K14" s="44"/>
      <c r="L14" s="44"/>
      <c r="M14" s="44"/>
      <c r="N14" s="151"/>
      <c r="O14" s="44"/>
      <c r="P14" s="38"/>
      <c r="Q14" s="38"/>
      <c r="R14" s="288"/>
      <c r="S14" s="38"/>
      <c r="T14" s="38"/>
      <c r="U14" s="38"/>
      <c r="V14" s="264"/>
      <c r="W14" s="264"/>
      <c r="X14" s="152"/>
      <c r="Y14" s="152"/>
      <c r="Z14" s="152"/>
      <c r="AA14" s="152"/>
      <c r="AB14" s="152"/>
      <c r="AC14">
        <v>15</v>
      </c>
    </row>
    <row r="15" s="206" customFormat="1" ht="14.7" customHeight="1" spans="1:29">
      <c r="A15" s="43"/>
      <c r="B15" s="38"/>
      <c r="C15" s="43"/>
      <c r="D15" s="217"/>
      <c r="E15" s="1322"/>
      <c r="F15" s="1323"/>
      <c r="G15" s="332" t="s">
        <v>101</v>
      </c>
      <c r="H15" s="1323"/>
      <c r="I15" s="1327"/>
      <c r="J15" s="1326"/>
      <c r="K15" s="151"/>
      <c r="L15" s="151"/>
      <c r="M15" s="151"/>
      <c r="N15" s="151" t="s">
        <v>102</v>
      </c>
      <c r="O15" s="151"/>
      <c r="P15" s="267"/>
      <c r="Q15" s="267"/>
      <c r="R15" s="267"/>
      <c r="S15" s="267"/>
      <c r="AC15" s="206">
        <v>14</v>
      </c>
    </row>
    <row r="16" s="206" customFormat="1" ht="22.05" customHeight="1" spans="1:29">
      <c r="A16" s="43"/>
      <c r="B16" s="38"/>
      <c r="C16" s="43"/>
      <c r="D16" s="217"/>
      <c r="E16" s="603"/>
      <c r="F16" s="603"/>
      <c r="G16" s="603"/>
      <c r="H16" s="603"/>
      <c r="I16" s="603"/>
      <c r="J16" s="151"/>
      <c r="K16" s="151"/>
      <c r="L16" s="151"/>
      <c r="M16" s="151"/>
      <c r="N16" s="151"/>
      <c r="O16" s="151"/>
      <c r="P16" s="267"/>
      <c r="Q16" s="267"/>
      <c r="R16" s="267"/>
      <c r="S16" s="267"/>
      <c r="AC16" s="206">
        <v>21</v>
      </c>
    </row>
    <row r="17" s="206" customFormat="1" ht="14.7" customHeight="1" spans="1:29">
      <c r="A17" s="43"/>
      <c r="B17" s="38"/>
      <c r="C17" s="43"/>
      <c r="D17" s="217"/>
      <c r="E17" s="43"/>
      <c r="F17" s="43"/>
      <c r="G17" s="43"/>
      <c r="H17" s="43"/>
      <c r="I17" s="43"/>
      <c r="J17" s="151"/>
      <c r="K17" s="151"/>
      <c r="L17" s="151"/>
      <c r="M17" s="151"/>
      <c r="N17" s="151"/>
      <c r="O17" s="151"/>
      <c r="P17" s="267"/>
      <c r="Q17" s="267"/>
      <c r="R17" s="267"/>
      <c r="S17" s="267"/>
      <c r="AC17" s="206">
        <v>14</v>
      </c>
    </row>
    <row r="18" s="206" customFormat="1" ht="1.05" customHeight="1" spans="1:29">
      <c r="A18" s="43"/>
      <c r="B18" s="38"/>
      <c r="C18" s="43"/>
      <c r="D18" s="217"/>
      <c r="E18" s="43"/>
      <c r="F18" s="43"/>
      <c r="G18" s="43"/>
      <c r="H18" s="43"/>
      <c r="I18" s="43"/>
      <c r="J18" s="151"/>
      <c r="K18" s="151"/>
      <c r="L18" s="151"/>
      <c r="M18" s="151"/>
      <c r="N18" s="151"/>
      <c r="O18" s="151"/>
      <c r="P18" s="267"/>
      <c r="Q18" s="267"/>
      <c r="R18" s="267"/>
      <c r="S18" s="267"/>
      <c r="AC18" s="206">
        <v>1</v>
      </c>
    </row>
    <row r="19" s="641" customFormat="1" ht="10.5" customHeight="1" spans="2:29">
      <c r="B19" s="644"/>
      <c r="D19" s="645"/>
      <c r="J19" s="151"/>
      <c r="K19" s="151"/>
      <c r="L19" s="151"/>
      <c r="M19" s="151"/>
      <c r="N19" s="151"/>
      <c r="O19" s="151"/>
      <c r="P19" s="267"/>
      <c r="Q19" s="267"/>
      <c r="R19" s="267"/>
      <c r="S19" s="267"/>
      <c r="AC19" s="641">
        <v>10</v>
      </c>
    </row>
    <row r="20" s="641" customFormat="1" ht="10.5" customHeight="1" spans="2:29">
      <c r="B20" s="644"/>
      <c r="D20" s="645"/>
      <c r="J20" s="151"/>
      <c r="K20" s="151"/>
      <c r="L20" s="151"/>
      <c r="M20" s="151"/>
      <c r="N20" s="151"/>
      <c r="O20" s="151"/>
      <c r="P20" s="267"/>
      <c r="Q20" s="267"/>
      <c r="R20" s="267"/>
      <c r="S20" s="267"/>
      <c r="AC20" s="641">
        <v>10</v>
      </c>
    </row>
    <row r="21" ht="14.7" customHeight="1" spans="29:29">
      <c r="AC21" s="43">
        <v>14</v>
      </c>
    </row>
    <row r="22" ht="14.7" customHeight="1" spans="29:29">
      <c r="AC22" s="43">
        <v>14</v>
      </c>
    </row>
    <row r="23" ht="14.7" customHeight="1" spans="29:29">
      <c r="AC23" s="43">
        <v>14</v>
      </c>
    </row>
    <row r="24" ht="14.7" customHeight="1" spans="8:29">
      <c r="H24" s="12"/>
      <c r="AC24" s="43">
        <v>14</v>
      </c>
    </row>
    <row r="25" ht="14.7" customHeight="1" spans="29:29">
      <c r="AC25" s="43">
        <v>14</v>
      </c>
    </row>
    <row r="26" ht="14.7" customHeight="1" spans="29:29">
      <c r="AC26" s="43">
        <v>14</v>
      </c>
    </row>
    <row r="27" ht="14.7" customHeight="1" spans="29:29">
      <c r="AC27" s="43">
        <v>14</v>
      </c>
    </row>
    <row r="28" ht="14.7" customHeight="1" spans="10:29">
      <c r="J28" s="43"/>
      <c r="K28" s="43"/>
      <c r="L28" s="43"/>
      <c r="AC28" s="43">
        <v>14</v>
      </c>
    </row>
    <row r="29" ht="22.5" hidden="1" customHeight="1" spans="1:29">
      <c r="A29" s="43" t="s">
        <v>83</v>
      </c>
      <c r="B29" s="38">
        <v>0</v>
      </c>
      <c r="C29" s="43">
        <v>3</v>
      </c>
      <c r="D29" s="217">
        <v>3</v>
      </c>
      <c r="E29" s="43">
        <v>6</v>
      </c>
      <c r="F29" s="43">
        <v>0</v>
      </c>
      <c r="G29" s="43">
        <v>46</v>
      </c>
      <c r="H29" s="43">
        <v>42</v>
      </c>
      <c r="I29" s="43">
        <v>14</v>
      </c>
      <c r="J29" s="151">
        <v>3</v>
      </c>
      <c r="K29" s="151">
        <v>0</v>
      </c>
      <c r="L29" s="151">
        <v>0</v>
      </c>
      <c r="M29" s="151">
        <v>0</v>
      </c>
      <c r="N29" s="151">
        <v>0</v>
      </c>
      <c r="O29" s="151">
        <v>0</v>
      </c>
      <c r="P29" s="267">
        <v>0</v>
      </c>
      <c r="Q29" s="267">
        <v>0</v>
      </c>
      <c r="R29" s="267">
        <v>0</v>
      </c>
      <c r="S29" s="267">
        <v>0</v>
      </c>
      <c r="T29" s="43">
        <v>0</v>
      </c>
      <c r="U29" s="43">
        <v>0</v>
      </c>
      <c r="V29" s="43">
        <v>0</v>
      </c>
      <c r="W29" s="43">
        <v>0</v>
      </c>
      <c r="X29" s="43">
        <v>0</v>
      </c>
      <c r="Y29" s="43">
        <v>0</v>
      </c>
      <c r="Z29" s="43">
        <v>0</v>
      </c>
      <c r="AA29" s="43">
        <v>0</v>
      </c>
      <c r="AB29" s="43">
        <v>8</v>
      </c>
      <c r="AC29" s="43">
        <v>23</v>
      </c>
    </row>
  </sheetData>
  <sheetProtection formatColumns="0" formatRows="0" insertRows="0" deleteColumns="0" deleteRows="0" sort="0" autoFilter="0"/>
  <mergeCells count="4">
    <mergeCell ref="E4:I4"/>
    <mergeCell ref="E8:G8"/>
    <mergeCell ref="H8:I8"/>
    <mergeCell ref="A12:A14"/>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Y59"/>
  <sheetViews>
    <sheetView showGridLines="0" zoomScale="90" zoomScaleNormal="90" workbookViewId="0">
      <pane xSplit="32" ySplit="41" topLeftCell="AG42"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4.1428571428571" style="38" hidden="1" customWidth="1"/>
    <col min="10" max="10" width="9.84761904761905" style="38" hidden="1" customWidth="1"/>
    <col min="11" max="11" width="14.7142857142857"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5" style="43" customWidth="1"/>
    <col min="21" max="21" width="0.142857142857143" style="43" customWidth="1"/>
    <col min="22" max="28" width="19.7142857142857" style="43" hidden="1" customWidth="1"/>
    <col min="29" max="29" width="11.7142857142857" style="43" hidden="1" customWidth="1"/>
    <col min="30" max="30" width="3.71428571428571" style="43" hidden="1" customWidth="1"/>
    <col min="31" max="31" width="11.7142857142857" style="43" hidden="1" customWidth="1"/>
    <col min="32" max="32" width="8.57142857142857" style="43" hidden="1" customWidth="1"/>
    <col min="33" max="33" width="19.7142857142857" style="43" customWidth="1"/>
    <col min="34" max="39" width="19" style="43" customWidth="1"/>
    <col min="40" max="40" width="11" style="43" customWidth="1"/>
    <col min="41" max="41" width="3.71428571428571" style="43" customWidth="1"/>
    <col min="42" max="42" width="11" style="43" customWidth="1"/>
    <col min="43" max="43" width="8.57142857142857" style="43" hidden="1" customWidth="1"/>
    <col min="44" max="44" width="4" style="43" customWidth="1"/>
    <col min="45" max="45" width="115" style="43" customWidth="1"/>
    <col min="46" max="50" width="10" style="44" customWidth="1"/>
    <col min="51" max="51" width="10.5714285714286" style="43" hidden="1"/>
  </cols>
  <sheetData>
    <row r="1" ht="22.5" hidden="1" customHeight="1" spans="51:51">
      <c r="AY1" s="43" t="s">
        <v>14</v>
      </c>
    </row>
    <row r="2" ht="23.25" hidden="1" customHeight="1" spans="1:51">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61"/>
      <c r="AC2" s="1061"/>
      <c r="AD2" s="1061"/>
      <c r="AE2" s="1061"/>
      <c r="AF2" s="1089"/>
      <c r="AG2" s="1090" t="e">
        <f>INDEX(PT_DIFFERENTIATION_NTAR,MATCH(A2,PT_DIFFERENTIATION_NTAR_ID,0))</f>
        <v>#N/A</v>
      </c>
      <c r="AH2" s="1061"/>
      <c r="AI2" s="1061"/>
      <c r="AJ2" s="1061"/>
      <c r="AK2" s="1061"/>
      <c r="AL2" s="1061"/>
      <c r="AM2" s="1061"/>
      <c r="AN2" s="1061"/>
      <c r="AO2" s="1061"/>
      <c r="AP2" s="1061"/>
      <c r="AQ2" s="1061"/>
      <c r="AR2" s="1089"/>
      <c r="AS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51"/>
      <c r="AV2" s="151" t="str">
        <f t="shared" ref="AV2:AV13" si="0">IF(T2="","",T2)</f>
        <v>Наименование тарифа</v>
      </c>
      <c r="AW2" s="151"/>
      <c r="AX2" s="151"/>
      <c r="AY2" s="43">
        <v>0</v>
      </c>
    </row>
    <row r="3" ht="23.25" hidden="1" customHeight="1" spans="1:51">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61"/>
      <c r="AC3" s="1061"/>
      <c r="AD3" s="1061"/>
      <c r="AE3" s="1061"/>
      <c r="AF3" s="1089"/>
      <c r="AG3" s="1090" t="e">
        <f>INDEX(PT_DIFFERENTIATION_TER,MATCH(B3,PT_DIFFERENTIATION_TER_ID,0))</f>
        <v>#N/A</v>
      </c>
      <c r="AH3" s="1061"/>
      <c r="AI3" s="1061"/>
      <c r="AJ3" s="1061"/>
      <c r="AK3" s="1061"/>
      <c r="AL3" s="1061"/>
      <c r="AM3" s="1061"/>
      <c r="AN3" s="1061"/>
      <c r="AO3" s="1061"/>
      <c r="AP3" s="1061"/>
      <c r="AQ3" s="1061"/>
      <c r="AR3" s="1089"/>
      <c r="AS3" s="136" t="s">
        <v>394</v>
      </c>
      <c r="AU3" s="151"/>
      <c r="AV3" s="151" t="str">
        <f t="shared" si="0"/>
        <v>Территория действия тарифа</v>
      </c>
      <c r="AW3" s="151"/>
      <c r="AX3" s="151"/>
      <c r="AY3" s="43">
        <v>0</v>
      </c>
    </row>
    <row r="4" ht="23.25" hidden="1" customHeight="1" spans="1:51">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524</v>
      </c>
      <c r="U4" s="84"/>
      <c r="V4" s="1090"/>
      <c r="W4" s="1061"/>
      <c r="X4" s="1061"/>
      <c r="Y4" s="1061"/>
      <c r="Z4" s="1061"/>
      <c r="AA4" s="1061"/>
      <c r="AB4" s="1061"/>
      <c r="AC4" s="1061"/>
      <c r="AD4" s="1061"/>
      <c r="AE4" s="1061"/>
      <c r="AF4" s="1089"/>
      <c r="AG4" s="1090" t="e">
        <f>INDEX(PT_DIFFERENTIATION_CS,MATCH(C4,PT_DIFFERENTIATION_CS_ID,0))</f>
        <v>#N/A</v>
      </c>
      <c r="AH4" s="1061"/>
      <c r="AI4" s="1061"/>
      <c r="AJ4" s="1061"/>
      <c r="AK4" s="1061"/>
      <c r="AL4" s="1061"/>
      <c r="AM4" s="1061"/>
      <c r="AN4" s="1061"/>
      <c r="AO4" s="1061"/>
      <c r="AP4" s="1061"/>
      <c r="AQ4" s="1061"/>
      <c r="AR4" s="1089"/>
      <c r="AS4" s="136" t="s">
        <v>525</v>
      </c>
      <c r="AU4" s="151"/>
      <c r="AV4" s="151" t="str">
        <f t="shared" si="0"/>
        <v>Наименование централизованной системы горячего водоснабжения</v>
      </c>
      <c r="AW4" s="151"/>
      <c r="AX4" s="151"/>
      <c r="AY4" s="43">
        <v>0</v>
      </c>
    </row>
    <row r="5" ht="23.25" hidden="1" customHeight="1" spans="1:51">
      <c r="A5" s="46"/>
      <c r="B5" s="46"/>
      <c r="C5" s="46"/>
      <c r="D5" s="46"/>
      <c r="E5" s="1053"/>
      <c r="F5" s="1053"/>
      <c r="G5" s="1053"/>
      <c r="H5" s="1053"/>
      <c r="I5" s="229" t="e">
        <f>S4&amp;".1"</f>
        <v>#N/A</v>
      </c>
      <c r="J5" s="46"/>
      <c r="K5" s="46"/>
      <c r="L5" s="1054"/>
      <c r="P5" s="93">
        <v>1</v>
      </c>
      <c r="Q5" s="93"/>
      <c r="R5" s="94"/>
      <c r="S5" s="65" t="e">
        <f>$I5</f>
        <v>#N/A</v>
      </c>
      <c r="T5" s="95" t="s">
        <v>477</v>
      </c>
      <c r="U5" s="84"/>
      <c r="V5" s="1126"/>
      <c r="W5" s="1127"/>
      <c r="X5" s="1127"/>
      <c r="Y5" s="1127"/>
      <c r="Z5" s="1127"/>
      <c r="AA5" s="1127"/>
      <c r="AB5" s="1127"/>
      <c r="AC5" s="1127"/>
      <c r="AD5" s="1127"/>
      <c r="AE5" s="1127"/>
      <c r="AF5" s="1131"/>
      <c r="AG5" s="831"/>
      <c r="AH5" s="1134"/>
      <c r="AI5" s="1134"/>
      <c r="AJ5" s="1134"/>
      <c r="AK5" s="1134"/>
      <c r="AL5" s="1134"/>
      <c r="AM5" s="1134"/>
      <c r="AN5" s="1134"/>
      <c r="AO5" s="1134"/>
      <c r="AP5" s="1134"/>
      <c r="AQ5" s="1134"/>
      <c r="AR5" s="1135"/>
      <c r="AS5" s="136" t="s">
        <v>478</v>
      </c>
      <c r="AU5" s="151"/>
      <c r="AV5" s="151" t="str">
        <f t="shared" si="0"/>
        <v>Наименование признака дифференциации</v>
      </c>
      <c r="AW5" s="151"/>
      <c r="AX5" s="151"/>
      <c r="AY5" s="43">
        <v>0</v>
      </c>
    </row>
    <row r="6" ht="23.25" hidden="1" customHeight="1" spans="1:51">
      <c r="A6" s="46"/>
      <c r="B6" s="46"/>
      <c r="C6" s="46"/>
      <c r="D6" s="46"/>
      <c r="E6" s="1053"/>
      <c r="F6" s="1053"/>
      <c r="G6" s="1053"/>
      <c r="H6" s="1053"/>
      <c r="I6" s="1058"/>
      <c r="J6" s="229" t="e">
        <f>I5&amp;".1"</f>
        <v>#N/A</v>
      </c>
      <c r="K6" s="46"/>
      <c r="L6" s="1054" t="s">
        <v>402</v>
      </c>
      <c r="P6" s="93"/>
      <c r="Q6" s="93">
        <v>1</v>
      </c>
      <c r="R6" s="97"/>
      <c r="S6" s="65" t="e">
        <f>$J6</f>
        <v>#N/A</v>
      </c>
      <c r="T6" s="98" t="s">
        <v>403</v>
      </c>
      <c r="U6" s="84"/>
      <c r="V6" s="99"/>
      <c r="W6" s="100"/>
      <c r="X6" s="100"/>
      <c r="Y6" s="100"/>
      <c r="Z6" s="100"/>
      <c r="AA6" s="100"/>
      <c r="AB6" s="100"/>
      <c r="AC6" s="100"/>
      <c r="AD6" s="100"/>
      <c r="AE6" s="100"/>
      <c r="AF6" s="137"/>
      <c r="AG6" s="99"/>
      <c r="AH6" s="100"/>
      <c r="AI6" s="100"/>
      <c r="AJ6" s="100"/>
      <c r="AK6" s="100"/>
      <c r="AL6" s="100"/>
      <c r="AM6" s="100"/>
      <c r="AN6" s="100"/>
      <c r="AO6" s="100"/>
      <c r="AP6" s="100"/>
      <c r="AQ6" s="100"/>
      <c r="AR6" s="137"/>
      <c r="AS6" s="1136" t="s">
        <v>479</v>
      </c>
      <c r="AU6" s="151"/>
      <c r="AV6" s="151" t="str">
        <f t="shared" si="0"/>
        <v>Группа потребителей</v>
      </c>
      <c r="AW6" s="151"/>
      <c r="AX6" s="151"/>
      <c r="AY6" s="43">
        <v>0</v>
      </c>
    </row>
    <row r="7" ht="23.25" hidden="1" customHeight="1" spans="1:51">
      <c r="A7" s="46"/>
      <c r="B7" s="46"/>
      <c r="C7" s="46"/>
      <c r="D7" s="46"/>
      <c r="E7" s="1053"/>
      <c r="F7" s="1053"/>
      <c r="G7" s="1053"/>
      <c r="H7" s="1053"/>
      <c r="I7" s="1058"/>
      <c r="J7" s="1058"/>
      <c r="K7" s="229" t="e">
        <f>J6&amp;".1"</f>
        <v>#N/A</v>
      </c>
      <c r="L7" s="1054"/>
      <c r="P7" s="93"/>
      <c r="Q7" s="93"/>
      <c r="R7" s="97">
        <v>1</v>
      </c>
      <c r="S7" s="65" t="e">
        <f>$K7</f>
        <v>#N/A</v>
      </c>
      <c r="T7" s="1128"/>
      <c r="U7" s="84"/>
      <c r="V7" s="102"/>
      <c r="W7" s="102"/>
      <c r="X7" s="102"/>
      <c r="Y7" s="102"/>
      <c r="Z7" s="102"/>
      <c r="AA7" s="102"/>
      <c r="AB7" s="102"/>
      <c r="AC7" s="139"/>
      <c r="AD7" s="140" t="s">
        <v>66</v>
      </c>
      <c r="AE7" s="139"/>
      <c r="AF7" s="140" t="s">
        <v>66</v>
      </c>
      <c r="AG7" s="102"/>
      <c r="AH7" s="102"/>
      <c r="AI7" s="102"/>
      <c r="AJ7" s="102"/>
      <c r="AK7" s="102"/>
      <c r="AL7" s="102"/>
      <c r="AM7" s="102"/>
      <c r="AN7" s="139"/>
      <c r="AO7" s="140" t="s">
        <v>66</v>
      </c>
      <c r="AP7" s="1137"/>
      <c r="AQ7" s="140" t="s">
        <v>66</v>
      </c>
      <c r="AR7" s="1138"/>
      <c r="AS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 t="e">
        <f>STRCHECKDATE(V8:AR8)</f>
        <v>#NAME?</v>
      </c>
      <c r="AU7" s="151"/>
      <c r="AV7" s="151" t="str">
        <f t="shared" si="0"/>
        <v/>
      </c>
      <c r="AW7" s="151"/>
      <c r="AX7" s="151"/>
      <c r="AY7" s="43">
        <v>0</v>
      </c>
    </row>
    <row r="8" hidden="1" customHeight="1" spans="1:51">
      <c r="A8" s="46"/>
      <c r="B8" s="46"/>
      <c r="C8" s="46"/>
      <c r="D8" s="46"/>
      <c r="E8" s="1053"/>
      <c r="F8" s="1053"/>
      <c r="G8" s="1053"/>
      <c r="H8" s="1053"/>
      <c r="I8" s="1058"/>
      <c r="J8" s="1058"/>
      <c r="K8" s="229"/>
      <c r="L8" s="1054"/>
      <c r="P8" s="93"/>
      <c r="Q8" s="93"/>
      <c r="R8" s="97"/>
      <c r="S8" s="104"/>
      <c r="T8" s="84"/>
      <c r="U8" s="84"/>
      <c r="V8" s="103"/>
      <c r="W8" s="103"/>
      <c r="X8" s="103"/>
      <c r="Y8" s="103"/>
      <c r="Z8" s="103"/>
      <c r="AA8" s="103"/>
      <c r="AB8" s="103"/>
      <c r="AC8" s="143"/>
      <c r="AD8" s="140"/>
      <c r="AE8" s="143"/>
      <c r="AF8" s="140"/>
      <c r="AG8" s="103"/>
      <c r="AH8" s="103"/>
      <c r="AI8" s="103"/>
      <c r="AJ8" s="103"/>
      <c r="AK8" s="103"/>
      <c r="AL8" s="103"/>
      <c r="AM8" s="103"/>
      <c r="AN8" s="143"/>
      <c r="AO8" s="140"/>
      <c r="AP8" s="1140"/>
      <c r="AQ8" s="140"/>
      <c r="AR8" s="768"/>
      <c r="AS8" s="1139"/>
      <c r="AU8" s="151"/>
      <c r="AV8" s="151" t="str">
        <f t="shared" si="0"/>
        <v/>
      </c>
      <c r="AW8" s="151"/>
      <c r="AX8" s="151"/>
      <c r="AY8" s="43">
        <v>0</v>
      </c>
    </row>
    <row r="9" ht="21" hidden="1" customHeight="1" spans="1:51">
      <c r="A9" s="46"/>
      <c r="B9" s="46"/>
      <c r="C9" s="46"/>
      <c r="D9" s="46"/>
      <c r="E9" s="1053"/>
      <c r="F9" s="1053"/>
      <c r="G9" s="1053"/>
      <c r="H9" s="1053"/>
      <c r="I9" s="1058"/>
      <c r="J9" s="229"/>
      <c r="K9" s="46"/>
      <c r="L9" s="1054"/>
      <c r="P9" s="93"/>
      <c r="Q9" s="93"/>
      <c r="R9" s="94"/>
      <c r="S9" s="105"/>
      <c r="T9" s="108" t="s">
        <v>480</v>
      </c>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36" t="s">
        <v>481</v>
      </c>
      <c r="AU9" s="151"/>
      <c r="AV9" s="151" t="str">
        <f t="shared" si="0"/>
        <v>Добавить значение признака дифференциации</v>
      </c>
      <c r="AW9" s="151"/>
      <c r="AX9" s="151"/>
      <c r="AY9" s="43">
        <v>0</v>
      </c>
    </row>
    <row r="10" ht="21" hidden="1" customHeight="1" spans="1:51">
      <c r="A10" s="46"/>
      <c r="B10" s="46"/>
      <c r="C10" s="46"/>
      <c r="D10" s="46"/>
      <c r="E10" s="1053"/>
      <c r="F10" s="1053"/>
      <c r="G10" s="1053"/>
      <c r="H10" s="1053"/>
      <c r="I10" s="229"/>
      <c r="J10" s="46"/>
      <c r="K10" s="46"/>
      <c r="L10" s="1054"/>
      <c r="P10" s="93"/>
      <c r="Q10" s="93"/>
      <c r="R10" s="94"/>
      <c r="S10" s="105"/>
      <c r="T10" s="110" t="s">
        <v>408</v>
      </c>
      <c r="U10" s="107"/>
      <c r="V10" s="107"/>
      <c r="W10" s="107"/>
      <c r="X10" s="107"/>
      <c r="Y10" s="107"/>
      <c r="Z10" s="107"/>
      <c r="AA10" s="107"/>
      <c r="AB10" s="107"/>
      <c r="AC10" s="107"/>
      <c r="AD10" s="107"/>
      <c r="AE10" s="107"/>
      <c r="AF10" s="147"/>
      <c r="AG10" s="107"/>
      <c r="AH10" s="107"/>
      <c r="AI10" s="107"/>
      <c r="AJ10" s="107"/>
      <c r="AK10" s="107"/>
      <c r="AL10" s="107"/>
      <c r="AM10" s="107"/>
      <c r="AN10" s="107"/>
      <c r="AO10" s="107"/>
      <c r="AP10" s="107"/>
      <c r="AQ10" s="147"/>
      <c r="AR10" s="107"/>
      <c r="AS10" s="1141"/>
      <c r="AU10" s="151"/>
      <c r="AV10" s="151" t="str">
        <f t="shared" si="0"/>
        <v>Добавить группу потребителей</v>
      </c>
      <c r="AW10" s="151"/>
      <c r="AX10" s="151"/>
      <c r="AY10" s="43">
        <v>0</v>
      </c>
    </row>
    <row r="11" ht="21" hidden="1" customHeight="1" spans="1:51">
      <c r="A11" s="46"/>
      <c r="B11" s="46"/>
      <c r="C11" s="46"/>
      <c r="D11" s="46"/>
      <c r="E11" s="1053"/>
      <c r="F11" s="1053"/>
      <c r="G11" s="1053"/>
      <c r="H11" s="1052"/>
      <c r="I11" s="46"/>
      <c r="J11" s="46"/>
      <c r="K11" s="46"/>
      <c r="L11" s="1054"/>
      <c r="M11" s="47"/>
      <c r="N11" s="47"/>
      <c r="O11" s="38"/>
      <c r="P11" s="81"/>
      <c r="Q11" s="109"/>
      <c r="R11" s="82"/>
      <c r="S11" s="105"/>
      <c r="T11" s="821" t="s">
        <v>482</v>
      </c>
      <c r="U11" s="107"/>
      <c r="V11" s="107"/>
      <c r="W11" s="107"/>
      <c r="X11" s="107"/>
      <c r="Y11" s="107"/>
      <c r="Z11" s="107"/>
      <c r="AA11" s="107"/>
      <c r="AB11" s="107"/>
      <c r="AC11" s="107"/>
      <c r="AD11" s="107"/>
      <c r="AE11" s="107"/>
      <c r="AF11" s="147"/>
      <c r="AG11" s="107"/>
      <c r="AH11" s="107"/>
      <c r="AI11" s="107"/>
      <c r="AJ11" s="107"/>
      <c r="AK11" s="107"/>
      <c r="AL11" s="107"/>
      <c r="AM11" s="107"/>
      <c r="AN11" s="107"/>
      <c r="AO11" s="107"/>
      <c r="AP11" s="107"/>
      <c r="AQ11" s="147"/>
      <c r="AR11" s="107"/>
      <c r="AS11" s="148"/>
      <c r="AU11" s="151"/>
      <c r="AV11" s="151" t="str">
        <f t="shared" si="0"/>
        <v>Добавить наименование признака дифференциации</v>
      </c>
      <c r="AW11" s="151"/>
      <c r="AX11" s="151"/>
      <c r="AY11" s="43">
        <v>0</v>
      </c>
    </row>
    <row r="12" s="44" customFormat="1" hidden="1" customHeight="1" spans="1:51">
      <c r="A12" s="590"/>
      <c r="B12" s="590"/>
      <c r="C12" s="590"/>
      <c r="D12" s="590"/>
      <c r="E12" s="1053"/>
      <c r="F12" s="1052"/>
      <c r="G12" s="590"/>
      <c r="H12" s="590"/>
      <c r="I12" s="590"/>
      <c r="J12" s="590"/>
      <c r="K12" s="590"/>
      <c r="L12" s="611"/>
      <c r="M12" s="1059"/>
      <c r="N12" s="1059"/>
      <c r="P12" s="152"/>
      <c r="Q12" s="1082"/>
      <c r="R12" s="152"/>
      <c r="S12" s="1084"/>
      <c r="T12" s="1085" t="s">
        <v>411</v>
      </c>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U12" s="151"/>
      <c r="AV12" s="151" t="str">
        <f t="shared" si="0"/>
        <v>Добавить централизованную систему для дифференциации</v>
      </c>
      <c r="AW12" s="151"/>
      <c r="AX12" s="151"/>
      <c r="AY12" s="44">
        <v>0</v>
      </c>
    </row>
    <row r="13" s="44" customFormat="1" hidden="1" customHeight="1" spans="1:51">
      <c r="A13" s="590"/>
      <c r="B13" s="590"/>
      <c r="C13" s="590"/>
      <c r="D13" s="590"/>
      <c r="E13" s="1052"/>
      <c r="F13" s="590"/>
      <c r="G13" s="590"/>
      <c r="H13" s="590"/>
      <c r="I13" s="590"/>
      <c r="J13" s="590"/>
      <c r="K13" s="590"/>
      <c r="L13" s="611"/>
      <c r="M13" s="1059"/>
      <c r="N13" s="1059"/>
      <c r="P13" s="152"/>
      <c r="Q13" s="1082"/>
      <c r="R13" s="152"/>
      <c r="S13" s="1084"/>
      <c r="T13" s="1085" t="s">
        <v>412</v>
      </c>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U13" s="151"/>
      <c r="AV13" s="151" t="str">
        <f t="shared" si="0"/>
        <v>Добавить территорию для дифференциации</v>
      </c>
      <c r="AW13" s="151"/>
      <c r="AX13" s="151"/>
      <c r="AY13" s="44">
        <v>0</v>
      </c>
    </row>
    <row r="14" hidden="1" customHeight="1" spans="51:51">
      <c r="AY14" s="43">
        <v>0</v>
      </c>
    </row>
    <row r="15" hidden="1" customHeight="1" spans="33:51">
      <c r="AG15" s="492"/>
      <c r="AH15" s="492"/>
      <c r="AI15" s="492"/>
      <c r="AJ15" s="492"/>
      <c r="AK15" s="492"/>
      <c r="AL15" s="492"/>
      <c r="AM15" s="492"/>
      <c r="AN15" s="1133"/>
      <c r="AO15" s="353" t="s">
        <v>66</v>
      </c>
      <c r="AP15" s="1133"/>
      <c r="AQ15" s="353" t="s">
        <v>66</v>
      </c>
      <c r="AY15" s="43">
        <v>0</v>
      </c>
    </row>
    <row r="16" hidden="1" customHeight="1" spans="33:51">
      <c r="AG16" s="492"/>
      <c r="AH16" s="492"/>
      <c r="AI16" s="492"/>
      <c r="AJ16" s="492"/>
      <c r="AK16" s="492"/>
      <c r="AL16" s="492"/>
      <c r="AM16" s="492"/>
      <c r="AN16" s="353"/>
      <c r="AO16" s="353"/>
      <c r="AP16" s="353"/>
      <c r="AQ16" s="353"/>
      <c r="AY16" s="43">
        <v>0</v>
      </c>
    </row>
    <row r="17" hidden="1" customHeight="1" spans="51:51">
      <c r="AY17" s="43">
        <v>0</v>
      </c>
    </row>
    <row r="18" s="38" customFormat="1" ht="22.5" hidden="1" customHeight="1" spans="12:51">
      <c r="L18" s="48"/>
      <c r="M18" s="39"/>
      <c r="N18" s="39"/>
      <c r="O18" s="1060" t="s">
        <v>413</v>
      </c>
      <c r="P18" s="39"/>
      <c r="Q18" s="1051"/>
      <c r="R18" s="1051"/>
      <c r="S18" s="47"/>
      <c r="AC18" s="1060"/>
      <c r="AE18" s="1060"/>
      <c r="AN18" s="1060"/>
      <c r="AP18" s="1060"/>
      <c r="AT18" s="44"/>
      <c r="AU18" s="44"/>
      <c r="AV18" s="44"/>
      <c r="AW18" s="44"/>
      <c r="AX18" s="44"/>
      <c r="AY18" s="38">
        <v>0</v>
      </c>
    </row>
    <row r="19" s="38" customFormat="1" hidden="1" customHeight="1" spans="12:51">
      <c r="L19" s="48"/>
      <c r="M19" s="39"/>
      <c r="N19" s="39"/>
      <c r="O19" s="39"/>
      <c r="P19" s="39"/>
      <c r="Q19" s="1051"/>
      <c r="R19" s="1051"/>
      <c r="S19" s="47"/>
      <c r="AT19" s="44"/>
      <c r="AU19" s="44"/>
      <c r="AV19" s="44"/>
      <c r="AW19" s="44"/>
      <c r="AX19" s="44"/>
      <c r="AY19" s="38">
        <v>0</v>
      </c>
    </row>
    <row r="20" s="38" customFormat="1" ht="12" hidden="1" customHeight="1" spans="12:51">
      <c r="L20" s="48"/>
      <c r="M20" s="39"/>
      <c r="N20" s="39"/>
      <c r="O20" s="1054" t="s">
        <v>414</v>
      </c>
      <c r="P20" s="39"/>
      <c r="Q20" s="1129"/>
      <c r="R20" s="1129"/>
      <c r="S20" s="47"/>
      <c r="T20" s="38" t="s">
        <v>415</v>
      </c>
      <c r="AD20" s="45" t="s">
        <v>416</v>
      </c>
      <c r="AF20" s="45" t="s">
        <v>417</v>
      </c>
      <c r="AG20" s="38" t="s">
        <v>415</v>
      </c>
      <c r="AO20" s="45" t="s">
        <v>418</v>
      </c>
      <c r="AQ20" s="45" t="s">
        <v>417</v>
      </c>
      <c r="AY20" s="38">
        <v>0</v>
      </c>
    </row>
    <row r="21" hidden="1" customHeight="1" spans="15:51">
      <c r="O21" s="1054"/>
      <c r="AY21" s="43">
        <v>0</v>
      </c>
    </row>
    <row r="22" hidden="1" customHeight="1" spans="15:51">
      <c r="O22" s="1054"/>
      <c r="AY22" s="43">
        <v>0</v>
      </c>
    </row>
    <row r="23" ht="14.7" customHeight="1" spans="17:51">
      <c r="Q23" s="51"/>
      <c r="R23" s="51"/>
      <c r="S23" s="52"/>
      <c r="T23" s="53"/>
      <c r="U23" s="53"/>
      <c r="AY23" s="43">
        <v>14</v>
      </c>
    </row>
    <row r="24" ht="26.25" customHeight="1" spans="17:51">
      <c r="Q24" s="51"/>
      <c r="R24" s="51"/>
      <c r="S24" s="7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121"/>
      <c r="AY24" s="43">
        <v>25</v>
      </c>
    </row>
    <row r="25" ht="14.7" customHeight="1" spans="17:51">
      <c r="Q25" s="51"/>
      <c r="R25" s="51"/>
      <c r="S25" s="660" t="str">
        <f>IF(org=0,"Не определено",org)</f>
        <v>АО "Теплокоммунэнерго"</v>
      </c>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121"/>
      <c r="AY25" s="43">
        <v>14</v>
      </c>
    </row>
    <row r="26" hidden="1" customHeight="1" spans="17:51">
      <c r="Q26" s="51"/>
      <c r="R26" s="51"/>
      <c r="S26" s="52"/>
      <c r="T26" s="53"/>
      <c r="U26" s="53"/>
      <c r="V26" s="56"/>
      <c r="W26" s="56"/>
      <c r="X26" s="56"/>
      <c r="Y26" s="56"/>
      <c r="Z26" s="56"/>
      <c r="AA26" s="56"/>
      <c r="AB26" s="56"/>
      <c r="AC26" s="56"/>
      <c r="AD26" s="56"/>
      <c r="AE26" s="56"/>
      <c r="AF26" s="56"/>
      <c r="AG26" s="56"/>
      <c r="AH26" s="56"/>
      <c r="AI26" s="56"/>
      <c r="AJ26" s="56"/>
      <c r="AK26" s="56"/>
      <c r="AL26" s="56"/>
      <c r="AM26" s="56"/>
      <c r="AN26" s="56"/>
      <c r="AO26" s="56"/>
      <c r="AP26" s="56"/>
      <c r="AQ26" s="56"/>
      <c r="AY26" s="43">
        <v>0</v>
      </c>
    </row>
    <row r="27" s="36" customFormat="1" ht="25.5" hidden="1" customHeight="1" spans="1:51">
      <c r="A27" s="45"/>
      <c r="B27" s="45"/>
      <c r="C27" s="45"/>
      <c r="D27" s="45"/>
      <c r="E27" s="45"/>
      <c r="F27" s="45"/>
      <c r="G27" s="45"/>
      <c r="H27" s="45"/>
      <c r="I27" s="45"/>
      <c r="J27" s="45"/>
      <c r="K27" s="45"/>
      <c r="L27" s="1054"/>
      <c r="M27" s="45"/>
      <c r="N27" s="45"/>
      <c r="O27" s="45"/>
      <c r="S27"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58"/>
      <c r="U27" s="1088"/>
      <c r="V27" s="60" t="str">
        <f>IF(TITLE_NAME_OR_PR_CHANGE="",IF(TITLE_NAME_OR_PR="","",TITLE_NAME_OR_PR),TITLE_NAME_OR_PR_CHANGE)</f>
        <v/>
      </c>
      <c r="W27" s="60"/>
      <c r="X27" s="60"/>
      <c r="Y27" s="60"/>
      <c r="Z27" s="60"/>
      <c r="AA27" s="60"/>
      <c r="AB27" s="60"/>
      <c r="AC27" s="60"/>
      <c r="AD27" s="60"/>
      <c r="AE27" s="60"/>
      <c r="AF27" s="43"/>
      <c r="AG27" s="60" t="str">
        <f>IF(TITLE_NAME_OR_PR_CHANGE="",IF(TITLE_NAME_OR_PR="","",TITLE_NAME_OR_PR),TITLE_NAME_OR_PR_CHANGE)</f>
        <v/>
      </c>
      <c r="AH27" s="60"/>
      <c r="AI27" s="60"/>
      <c r="AJ27" s="60"/>
      <c r="AK27" s="60"/>
      <c r="AL27" s="60"/>
      <c r="AM27" s="60"/>
      <c r="AN27" s="60"/>
      <c r="AO27" s="60"/>
      <c r="AP27" s="60"/>
      <c r="AQ27" s="43"/>
      <c r="AR27" s="43"/>
      <c r="AS27" s="122"/>
      <c r="AT27" s="151"/>
      <c r="AU27" s="151"/>
      <c r="AV27" s="151"/>
      <c r="AW27" s="151"/>
      <c r="AX27" s="151"/>
      <c r="AY27" s="36">
        <v>0</v>
      </c>
    </row>
    <row r="28" s="36" customFormat="1" ht="18.75" hidden="1" customHeight="1" spans="1:51">
      <c r="A28" s="45"/>
      <c r="B28" s="45"/>
      <c r="C28" s="45"/>
      <c r="D28" s="45"/>
      <c r="E28" s="45"/>
      <c r="F28" s="45"/>
      <c r="G28" s="45"/>
      <c r="H28" s="45"/>
      <c r="I28" s="45"/>
      <c r="J28" s="45"/>
      <c r="K28" s="45"/>
      <c r="L28" s="1054"/>
      <c r="M28" s="45"/>
      <c r="N28" s="45"/>
      <c r="O28" s="45"/>
      <c r="S28" s="58" t="str">
        <f>"Дата документа об "&amp;IF(TITLE_DATE_PR_CHANGE="","утверждении","изменении")&amp;" тарифов"</f>
        <v>Дата документа об утверждении тарифов</v>
      </c>
      <c r="T28" s="58"/>
      <c r="U28" s="1088"/>
      <c r="V28" s="793" t="str">
        <f>IF(TITLE_DATE_PR_CHANGE="",IF(TITLE_DATE_PR="","",TITLE_DATE_PR),TITLE_DATE_PR_CHANGE)</f>
        <v/>
      </c>
      <c r="W28" s="793"/>
      <c r="X28" s="793"/>
      <c r="Y28" s="793"/>
      <c r="Z28" s="793"/>
      <c r="AA28" s="793"/>
      <c r="AB28" s="793"/>
      <c r="AC28" s="793"/>
      <c r="AD28" s="793"/>
      <c r="AE28" s="793"/>
      <c r="AF28" s="43"/>
      <c r="AG28" s="793" t="str">
        <f>IF(TITLE_DATE_PR_CHANGE="",IF(TITLE_DATE_PR="","",TITLE_DATE_PR),TITLE_DATE_PR_CHANGE)</f>
        <v/>
      </c>
      <c r="AH28" s="793"/>
      <c r="AI28" s="793"/>
      <c r="AJ28" s="793"/>
      <c r="AK28" s="793"/>
      <c r="AL28" s="793"/>
      <c r="AM28" s="793"/>
      <c r="AN28" s="793"/>
      <c r="AO28" s="793"/>
      <c r="AP28" s="793"/>
      <c r="AQ28" s="43"/>
      <c r="AR28" s="43"/>
      <c r="AS28" s="122"/>
      <c r="AT28" s="151"/>
      <c r="AU28" s="151"/>
      <c r="AV28" s="151"/>
      <c r="AW28" s="151"/>
      <c r="AX28" s="151"/>
      <c r="AY28" s="36">
        <v>0</v>
      </c>
    </row>
    <row r="29" s="36" customFormat="1" ht="18.75" hidden="1" customHeight="1" spans="1:51">
      <c r="A29" s="45"/>
      <c r="B29" s="45"/>
      <c r="C29" s="45"/>
      <c r="D29" s="45"/>
      <c r="E29" s="45"/>
      <c r="F29" s="45"/>
      <c r="G29" s="45"/>
      <c r="H29" s="45"/>
      <c r="I29" s="45"/>
      <c r="J29" s="45"/>
      <c r="K29" s="45"/>
      <c r="L29" s="1054"/>
      <c r="M29" s="45"/>
      <c r="N29" s="45"/>
      <c r="O29" s="45"/>
      <c r="S29" s="58" t="str">
        <f>"Номер документа об "&amp;IF(TITLE_DATE_PR_CHANGE="","утверждении","изменении")&amp;" тарифов"</f>
        <v>Номер документа об утверждении тарифов</v>
      </c>
      <c r="T29" s="58"/>
      <c r="U29" s="1088"/>
      <c r="V29" s="60" t="str">
        <f>IF(TITLE_NUMBER_PR_CHANGE="",IF(TITLE_NUMBER_PR="","",TITLE_NUMBER_PR),TITLE_NUMBER_PR_CHANGE)</f>
        <v/>
      </c>
      <c r="W29" s="60"/>
      <c r="X29" s="60"/>
      <c r="Y29" s="60"/>
      <c r="Z29" s="60"/>
      <c r="AA29" s="60"/>
      <c r="AB29" s="60"/>
      <c r="AC29" s="60"/>
      <c r="AD29" s="60"/>
      <c r="AE29" s="60"/>
      <c r="AF29" s="43"/>
      <c r="AG29" s="60" t="str">
        <f>IF(TITLE_NUMBER_PR_CHANGE="",IF(TITLE_NUMBER_PR="","",TITLE_NUMBER_PR),TITLE_NUMBER_PR_CHANGE)</f>
        <v/>
      </c>
      <c r="AH29" s="60"/>
      <c r="AI29" s="60"/>
      <c r="AJ29" s="60"/>
      <c r="AK29" s="60"/>
      <c r="AL29" s="60"/>
      <c r="AM29" s="60"/>
      <c r="AN29" s="60"/>
      <c r="AO29" s="60"/>
      <c r="AP29" s="60"/>
      <c r="AQ29" s="43"/>
      <c r="AR29" s="43"/>
      <c r="AS29" s="122"/>
      <c r="AT29" s="151"/>
      <c r="AU29" s="151"/>
      <c r="AV29" s="151"/>
      <c r="AW29" s="151"/>
      <c r="AX29" s="151"/>
      <c r="AY29" s="36">
        <v>0</v>
      </c>
    </row>
    <row r="30" s="36" customFormat="1" ht="18.75" hidden="1" customHeight="1" spans="1:51">
      <c r="A30" s="45"/>
      <c r="B30" s="45"/>
      <c r="C30" s="45"/>
      <c r="D30" s="45"/>
      <c r="E30" s="45"/>
      <c r="F30" s="45"/>
      <c r="G30" s="45"/>
      <c r="H30" s="45"/>
      <c r="I30" s="45"/>
      <c r="J30" s="45"/>
      <c r="K30" s="45"/>
      <c r="L30" s="1054"/>
      <c r="M30" s="45"/>
      <c r="N30" s="45"/>
      <c r="O30" s="45"/>
      <c r="S30" s="58" t="s">
        <v>43</v>
      </c>
      <c r="T30" s="58"/>
      <c r="U30" s="1088"/>
      <c r="V30" s="60" t="str">
        <f>IF(TITLE_IST_PUB_CHANGE="",IF(TITLE_IST_PUB="","",TITLE_IST_PUB),TITLE_IST_PUB_CHANGE)</f>
        <v/>
      </c>
      <c r="W30" s="60"/>
      <c r="X30" s="60"/>
      <c r="Y30" s="60"/>
      <c r="Z30" s="60"/>
      <c r="AA30" s="60"/>
      <c r="AB30" s="60"/>
      <c r="AC30" s="60"/>
      <c r="AD30" s="60"/>
      <c r="AE30" s="60"/>
      <c r="AF30" s="43"/>
      <c r="AG30" s="60" t="str">
        <f>IF(TITLE_IST_PUB_CHANGE="",IF(TITLE_IST_PUB="","",TITLE_IST_PUB),TITLE_IST_PUB_CHANGE)</f>
        <v/>
      </c>
      <c r="AH30" s="60"/>
      <c r="AI30" s="60"/>
      <c r="AJ30" s="60"/>
      <c r="AK30" s="60"/>
      <c r="AL30" s="60"/>
      <c r="AM30" s="60"/>
      <c r="AN30" s="60"/>
      <c r="AO30" s="60"/>
      <c r="AP30" s="60"/>
      <c r="AQ30" s="43"/>
      <c r="AR30" s="43"/>
      <c r="AS30" s="122"/>
      <c r="AT30" s="151"/>
      <c r="AU30" s="151"/>
      <c r="AV30" s="151"/>
      <c r="AW30" s="151"/>
      <c r="AX30" s="151"/>
      <c r="AY30" s="36">
        <v>0</v>
      </c>
    </row>
    <row r="31" hidden="1" customHeight="1" spans="17:51">
      <c r="Q31" s="51"/>
      <c r="R31" s="51"/>
      <c r="S31" s="52"/>
      <c r="T31" s="53"/>
      <c r="U31" s="53"/>
      <c r="V31" s="56"/>
      <c r="W31" s="56"/>
      <c r="X31" s="56"/>
      <c r="Y31" s="56"/>
      <c r="Z31" s="56"/>
      <c r="AA31" s="56"/>
      <c r="AB31" s="56"/>
      <c r="AC31" s="56"/>
      <c r="AD31" s="56"/>
      <c r="AE31" s="56"/>
      <c r="AF31" s="56"/>
      <c r="AG31" s="56"/>
      <c r="AH31" s="56"/>
      <c r="AI31" s="56"/>
      <c r="AJ31" s="56"/>
      <c r="AK31" s="56"/>
      <c r="AL31" s="56"/>
      <c r="AM31" s="56"/>
      <c r="AN31" s="56"/>
      <c r="AO31" s="56"/>
      <c r="AP31" s="56"/>
      <c r="AQ31" s="56"/>
      <c r="AY31" s="43">
        <v>0</v>
      </c>
    </row>
    <row r="32" s="36" customFormat="1" ht="18.75" hidden="1" customHeight="1" spans="1:51">
      <c r="A32" s="45"/>
      <c r="B32" s="45"/>
      <c r="C32" s="45"/>
      <c r="D32" s="45"/>
      <c r="E32" s="45"/>
      <c r="F32" s="45"/>
      <c r="G32" s="45"/>
      <c r="H32" s="45"/>
      <c r="I32" s="45"/>
      <c r="J32" s="45"/>
      <c r="K32" s="45"/>
      <c r="L32" s="1054"/>
      <c r="M32" s="45"/>
      <c r="N32" s="45"/>
      <c r="O32" s="45"/>
      <c r="S32" s="58" t="str">
        <f>"Дата подачи заявления об "&amp;IF(TITLE_DATE_PR_CHANGE="","утверждении","изменении")&amp;" тарифов"</f>
        <v>Дата подачи заявления об утверждении тарифов</v>
      </c>
      <c r="T32" s="58"/>
      <c r="U32" s="1088"/>
      <c r="V32" s="793" t="str">
        <f>IF(TITLE_DATE_PR_CHANGE="",IF(TITLE_DATE_PR="","",TITLE_DATE_PR),TITLE_DATE_PR_CHANGE)</f>
        <v/>
      </c>
      <c r="W32" s="793"/>
      <c r="X32" s="793"/>
      <c r="Y32" s="793"/>
      <c r="Z32" s="793"/>
      <c r="AA32" s="793"/>
      <c r="AB32" s="793"/>
      <c r="AC32" s="793"/>
      <c r="AD32" s="793"/>
      <c r="AE32" s="793"/>
      <c r="AF32" s="43"/>
      <c r="AG32" s="793" t="str">
        <f>IF(TITLE_DATE_PR_CHANGE="",IF(TITLE_DATE_PR="","",TITLE_DATE_PR),TITLE_DATE_PR_CHANGE)</f>
        <v/>
      </c>
      <c r="AH32" s="793"/>
      <c r="AI32" s="793"/>
      <c r="AJ32" s="793"/>
      <c r="AK32" s="793"/>
      <c r="AL32" s="793"/>
      <c r="AM32" s="793"/>
      <c r="AN32" s="793"/>
      <c r="AO32" s="793"/>
      <c r="AP32" s="793"/>
      <c r="AQ32" s="43"/>
      <c r="AR32" s="43"/>
      <c r="AS32" s="122"/>
      <c r="AT32" s="151"/>
      <c r="AU32" s="151"/>
      <c r="AV32" s="151"/>
      <c r="AW32" s="151"/>
      <c r="AX32" s="151"/>
      <c r="AY32" s="36">
        <v>0</v>
      </c>
    </row>
    <row r="33" s="36" customFormat="1" ht="18.75" hidden="1" customHeight="1" spans="1:51">
      <c r="A33" s="45"/>
      <c r="B33" s="45"/>
      <c r="C33" s="45"/>
      <c r="D33" s="45"/>
      <c r="E33" s="45"/>
      <c r="F33" s="45"/>
      <c r="G33" s="45"/>
      <c r="H33" s="45"/>
      <c r="I33" s="45"/>
      <c r="J33" s="45"/>
      <c r="K33" s="45"/>
      <c r="L33" s="1054"/>
      <c r="M33" s="45"/>
      <c r="N33" s="45"/>
      <c r="O33" s="45"/>
      <c r="S33" s="58" t="str">
        <f>"Номер подачи заявления об "&amp;IF(TITLE_DATE_PR_CHANGE="","утверждении","изменении")&amp;" тарифов"</f>
        <v>Номер подачи заявления об утверждении тарифов</v>
      </c>
      <c r="T33" s="58"/>
      <c r="U33" s="1088"/>
      <c r="V33" s="60" t="str">
        <f>IF(TITLE_NUMBER_PR_CHANGE="",IF(TITLE_NUMBER_PR="","",TITLE_NUMBER_PR),TITLE_NUMBER_PR_CHANGE)</f>
        <v/>
      </c>
      <c r="W33" s="60"/>
      <c r="X33" s="60"/>
      <c r="Y33" s="60"/>
      <c r="Z33" s="60"/>
      <c r="AA33" s="60"/>
      <c r="AB33" s="60"/>
      <c r="AC33" s="60"/>
      <c r="AD33" s="60"/>
      <c r="AE33" s="60"/>
      <c r="AF33" s="43"/>
      <c r="AG33" s="60" t="str">
        <f>IF(TITLE_NUMBER_PR_CHANGE="",IF(TITLE_NUMBER_PR="","",TITLE_NUMBER_PR),TITLE_NUMBER_PR_CHANGE)</f>
        <v/>
      </c>
      <c r="AH33" s="60"/>
      <c r="AI33" s="60"/>
      <c r="AJ33" s="60"/>
      <c r="AK33" s="60"/>
      <c r="AL33" s="60"/>
      <c r="AM33" s="60"/>
      <c r="AN33" s="60"/>
      <c r="AO33" s="60"/>
      <c r="AP33" s="60"/>
      <c r="AQ33" s="43"/>
      <c r="AR33" s="43"/>
      <c r="AS33" s="122"/>
      <c r="AT33" s="151"/>
      <c r="AU33" s="151"/>
      <c r="AV33" s="151"/>
      <c r="AW33" s="151"/>
      <c r="AX33" s="151"/>
      <c r="AY33" s="36">
        <v>0</v>
      </c>
    </row>
    <row r="34" s="36" customFormat="1" ht="1.05" customHeight="1" spans="1:51">
      <c r="A34" s="45"/>
      <c r="B34" s="45"/>
      <c r="C34" s="45"/>
      <c r="D34" s="45"/>
      <c r="E34" s="45"/>
      <c r="F34" s="45"/>
      <c r="G34" s="45"/>
      <c r="H34" s="45"/>
      <c r="I34" s="45"/>
      <c r="J34" s="45"/>
      <c r="K34" s="45"/>
      <c r="L34" s="1054"/>
      <c r="M34" s="45"/>
      <c r="N34" s="45"/>
      <c r="O34" s="45"/>
      <c r="S34" s="43"/>
      <c r="T34" s="43"/>
      <c r="U34" s="61"/>
      <c r="V34" s="43"/>
      <c r="W34" s="43"/>
      <c r="X34" s="43"/>
      <c r="Y34" s="43"/>
      <c r="Z34" s="43"/>
      <c r="AA34" s="43"/>
      <c r="AB34" s="43"/>
      <c r="AC34" s="43"/>
      <c r="AD34" s="43"/>
      <c r="AE34" s="43"/>
      <c r="AF34" s="44" t="s">
        <v>419</v>
      </c>
      <c r="AG34" s="43"/>
      <c r="AH34" s="43"/>
      <c r="AI34" s="43"/>
      <c r="AJ34" s="43"/>
      <c r="AK34" s="43"/>
      <c r="AL34" s="43"/>
      <c r="AM34" s="43"/>
      <c r="AN34" s="43"/>
      <c r="AO34" s="43"/>
      <c r="AP34" s="43"/>
      <c r="AQ34" s="44" t="s">
        <v>419</v>
      </c>
      <c r="AT34" s="151"/>
      <c r="AU34" s="151"/>
      <c r="AV34" s="151"/>
      <c r="AW34" s="151"/>
      <c r="AX34" s="151"/>
      <c r="AY34" s="36">
        <v>1</v>
      </c>
    </row>
    <row r="35" ht="14.7" customHeight="1" spans="17:51">
      <c r="Q35" s="51"/>
      <c r="R35" s="51"/>
      <c r="S35" s="52"/>
      <c r="T35" s="53"/>
      <c r="U35" s="62"/>
      <c r="V35" s="63"/>
      <c r="W35" s="63"/>
      <c r="X35" s="63"/>
      <c r="Y35" s="63"/>
      <c r="Z35" s="63"/>
      <c r="AA35" s="63"/>
      <c r="AB35" s="63"/>
      <c r="AC35" s="63"/>
      <c r="AD35" s="63"/>
      <c r="AE35" s="63"/>
      <c r="AF35" s="63"/>
      <c r="AG35" s="63"/>
      <c r="AH35" s="63"/>
      <c r="AI35" s="63"/>
      <c r="AJ35" s="63"/>
      <c r="AK35" s="63"/>
      <c r="AL35" s="63"/>
      <c r="AM35" s="63"/>
      <c r="AN35" s="63"/>
      <c r="AO35" s="63"/>
      <c r="AP35" s="63"/>
      <c r="AQ35" s="63"/>
      <c r="AY35" s="43">
        <v>14</v>
      </c>
    </row>
    <row r="36" ht="14.7" customHeight="1" spans="17:51">
      <c r="Q36" s="51"/>
      <c r="R36" s="51"/>
      <c r="S36" s="64" t="s">
        <v>296</v>
      </c>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t="s">
        <v>297</v>
      </c>
      <c r="AY36" s="43">
        <v>14</v>
      </c>
    </row>
    <row r="37" ht="14.7" customHeight="1" spans="17:51">
      <c r="Q37" s="51"/>
      <c r="R37" s="51"/>
      <c r="S37" s="65" t="s">
        <v>89</v>
      </c>
      <c r="T37" s="66" t="s">
        <v>420</v>
      </c>
      <c r="U37" s="67"/>
      <c r="V37" s="68" t="s">
        <v>421</v>
      </c>
      <c r="W37" s="1099"/>
      <c r="X37" s="1099"/>
      <c r="Y37" s="1099"/>
      <c r="Z37" s="1099"/>
      <c r="AA37" s="1099"/>
      <c r="AB37" s="1099"/>
      <c r="AC37" s="69"/>
      <c r="AD37" s="69"/>
      <c r="AE37" s="123"/>
      <c r="AF37" s="124" t="s">
        <v>422</v>
      </c>
      <c r="AG37" s="68" t="s">
        <v>421</v>
      </c>
      <c r="AH37" s="69"/>
      <c r="AI37" s="69"/>
      <c r="AJ37" s="69"/>
      <c r="AK37" s="69"/>
      <c r="AL37" s="69"/>
      <c r="AM37" s="69"/>
      <c r="AN37" s="69"/>
      <c r="AO37" s="69"/>
      <c r="AP37" s="123"/>
      <c r="AQ37" s="124" t="s">
        <v>423</v>
      </c>
      <c r="AR37" s="125" t="s">
        <v>424</v>
      </c>
      <c r="AS37" s="64"/>
      <c r="AY37" s="43">
        <v>14</v>
      </c>
    </row>
    <row r="38" ht="19.95" customHeight="1" spans="17:51">
      <c r="Q38" s="51"/>
      <c r="R38" s="51"/>
      <c r="S38" s="65"/>
      <c r="T38" s="66"/>
      <c r="U38" s="70"/>
      <c r="V38" s="64" t="s">
        <v>526</v>
      </c>
      <c r="W38" s="1130" t="s">
        <v>527</v>
      </c>
      <c r="X38" s="1130"/>
      <c r="Y38" s="1130"/>
      <c r="Z38" s="1130" t="s">
        <v>528</v>
      </c>
      <c r="AA38" s="1130"/>
      <c r="AB38" s="1130"/>
      <c r="AC38" s="903" t="s">
        <v>428</v>
      </c>
      <c r="AD38" s="1100"/>
      <c r="AE38" s="904"/>
      <c r="AF38" s="129"/>
      <c r="AG38" s="64" t="s">
        <v>526</v>
      </c>
      <c r="AH38" s="1130" t="s">
        <v>527</v>
      </c>
      <c r="AI38" s="1130"/>
      <c r="AJ38" s="1130"/>
      <c r="AK38" s="1130" t="s">
        <v>528</v>
      </c>
      <c r="AL38" s="1130"/>
      <c r="AM38" s="1130"/>
      <c r="AN38" s="903" t="s">
        <v>428</v>
      </c>
      <c r="AO38" s="1100"/>
      <c r="AP38" s="904"/>
      <c r="AQ38" s="129"/>
      <c r="AR38" s="130"/>
      <c r="AS38" s="64"/>
      <c r="AY38" s="43">
        <v>19</v>
      </c>
    </row>
    <row r="39" s="43" customFormat="1" ht="19.95" customHeight="1" spans="1:51">
      <c r="A39" s="38"/>
      <c r="B39" s="38"/>
      <c r="C39" s="38"/>
      <c r="D39" s="38"/>
      <c r="E39" s="38"/>
      <c r="F39" s="38"/>
      <c r="G39" s="38"/>
      <c r="H39" s="38"/>
      <c r="I39" s="38"/>
      <c r="J39" s="38"/>
      <c r="K39" s="38"/>
      <c r="L39" s="48"/>
      <c r="M39" s="39"/>
      <c r="N39" s="39"/>
      <c r="O39" s="39"/>
      <c r="P39" s="40"/>
      <c r="Q39" s="51"/>
      <c r="R39" s="51"/>
      <c r="S39" s="65"/>
      <c r="T39" s="66"/>
      <c r="U39" s="70"/>
      <c r="V39" s="64"/>
      <c r="W39" s="1130" t="s">
        <v>529</v>
      </c>
      <c r="X39" s="1130" t="s">
        <v>530</v>
      </c>
      <c r="Y39" s="1130"/>
      <c r="Z39" s="1130" t="s">
        <v>531</v>
      </c>
      <c r="AA39" s="1130" t="s">
        <v>530</v>
      </c>
      <c r="AB39" s="1130"/>
      <c r="AC39" s="907"/>
      <c r="AD39" s="1103"/>
      <c r="AE39" s="908"/>
      <c r="AF39" s="129"/>
      <c r="AG39" s="64"/>
      <c r="AH39" s="1130" t="s">
        <v>529</v>
      </c>
      <c r="AI39" s="1130" t="s">
        <v>530</v>
      </c>
      <c r="AJ39" s="1130"/>
      <c r="AK39" s="1130" t="s">
        <v>531</v>
      </c>
      <c r="AL39" s="1130" t="s">
        <v>530</v>
      </c>
      <c r="AM39" s="1130"/>
      <c r="AN39" s="907"/>
      <c r="AO39" s="1103"/>
      <c r="AP39" s="908"/>
      <c r="AQ39" s="129"/>
      <c r="AR39" s="130"/>
      <c r="AS39" s="64"/>
      <c r="AT39" s="44"/>
      <c r="AU39" s="44"/>
      <c r="AV39" s="44"/>
      <c r="AW39" s="44"/>
      <c r="AX39" s="44"/>
      <c r="AY39" s="43">
        <v>19</v>
      </c>
    </row>
    <row r="40" ht="61.95" customHeight="1" spans="1:51">
      <c r="A40" s="45"/>
      <c r="B40" s="45" t="s">
        <v>133</v>
      </c>
      <c r="C40" s="45" t="s">
        <v>134</v>
      </c>
      <c r="D40" s="45" t="s">
        <v>135</v>
      </c>
      <c r="E40" s="1054" t="s">
        <v>429</v>
      </c>
      <c r="F40" s="1054" t="s">
        <v>430</v>
      </c>
      <c r="G40" s="1054" t="s">
        <v>431</v>
      </c>
      <c r="H40" s="1054"/>
      <c r="I40" s="1054" t="s">
        <v>484</v>
      </c>
      <c r="J40" s="1054" t="s">
        <v>434</v>
      </c>
      <c r="K40" s="1054" t="s">
        <v>485</v>
      </c>
      <c r="L40" s="1054" t="s">
        <v>414</v>
      </c>
      <c r="Q40" s="51"/>
      <c r="R40" s="51"/>
      <c r="S40" s="65"/>
      <c r="T40" s="66"/>
      <c r="U40" s="72"/>
      <c r="V40" s="64"/>
      <c r="W40" s="1130"/>
      <c r="X40" s="1130" t="s">
        <v>532</v>
      </c>
      <c r="Y40" s="1130" t="s">
        <v>533</v>
      </c>
      <c r="Z40" s="1130"/>
      <c r="AA40" s="1130" t="s">
        <v>534</v>
      </c>
      <c r="AB40" s="1130" t="s">
        <v>535</v>
      </c>
      <c r="AC40" s="131" t="s">
        <v>438</v>
      </c>
      <c r="AD40" s="132" t="s">
        <v>439</v>
      </c>
      <c r="AE40" s="133"/>
      <c r="AF40" s="134"/>
      <c r="AG40" s="64"/>
      <c r="AH40" s="1130"/>
      <c r="AI40" s="1130" t="s">
        <v>532</v>
      </c>
      <c r="AJ40" s="1130" t="s">
        <v>533</v>
      </c>
      <c r="AK40" s="1130"/>
      <c r="AL40" s="1130" t="s">
        <v>534</v>
      </c>
      <c r="AM40" s="1130" t="s">
        <v>535</v>
      </c>
      <c r="AN40" s="131" t="s">
        <v>438</v>
      </c>
      <c r="AO40" s="132" t="s">
        <v>439</v>
      </c>
      <c r="AP40" s="133"/>
      <c r="AQ40" s="134"/>
      <c r="AR40" s="135"/>
      <c r="AS40" s="64"/>
      <c r="AY40" s="43">
        <v>59</v>
      </c>
    </row>
    <row r="41" s="37" customFormat="1" ht="11.25" hidden="1" customHeight="1" spans="1:51">
      <c r="A41" s="45"/>
      <c r="B41" s="45"/>
      <c r="C41" s="45"/>
      <c r="D41" s="45"/>
      <c r="E41" s="45"/>
      <c r="F41" s="45"/>
      <c r="G41" s="45"/>
      <c r="H41" s="45"/>
      <c r="I41" s="45"/>
      <c r="J41" s="45"/>
      <c r="K41" s="45"/>
      <c r="L41" s="1054"/>
      <c r="M41" s="39"/>
      <c r="N41" s="39"/>
      <c r="O41" s="39"/>
      <c r="P41" s="74"/>
      <c r="Q41" s="75"/>
      <c r="R41" s="76">
        <v>1</v>
      </c>
      <c r="S41" s="77" t="s">
        <v>107</v>
      </c>
      <c r="T41" s="78" t="s">
        <v>108</v>
      </c>
      <c r="U41" s="79" t="str">
        <f ca="1">OFFSET(U41,0,-1)</f>
        <v>2</v>
      </c>
      <c r="V41" s="80">
        <f ca="1">OFFSET(V41,0,-1)+1</f>
        <v>3</v>
      </c>
      <c r="W41" s="1142"/>
      <c r="X41" s="1142"/>
      <c r="Y41" s="1142"/>
      <c r="Z41" s="1142"/>
      <c r="AA41" s="1142"/>
      <c r="AB41" s="1142"/>
      <c r="AC41" s="80">
        <f ca="1">OFFSET(AC41,0,-1)+1</f>
        <v>1</v>
      </c>
      <c r="AD41" s="80">
        <f ca="1">OFFSET(AD41,0,-1)+1</f>
        <v>2</v>
      </c>
      <c r="AE41" s="80"/>
      <c r="AF41" s="80">
        <f ca="1">OFFSET(AF41,0,-2)+1</f>
        <v>3</v>
      </c>
      <c r="AG41" s="80">
        <f ca="1">OFFSET(AG41,0,-1)+1</f>
        <v>4</v>
      </c>
      <c r="AH41" s="80"/>
      <c r="AI41" s="80"/>
      <c r="AJ41" s="80"/>
      <c r="AK41" s="80"/>
      <c r="AL41" s="80"/>
      <c r="AM41" s="80">
        <f ca="1">OFFSET(AM41,0,-1)+1</f>
        <v>1</v>
      </c>
      <c r="AN41" s="80">
        <f ca="1">OFFSET(AN41,0,-1)+1</f>
        <v>2</v>
      </c>
      <c r="AO41" s="80">
        <f ca="1">OFFSET(AO41,0,-1)+1</f>
        <v>3</v>
      </c>
      <c r="AP41" s="80"/>
      <c r="AQ41" s="80">
        <f ca="1">OFFSET(AQ41,0,-2)+1</f>
        <v>4</v>
      </c>
      <c r="AR41" s="79">
        <f ca="1">OFFSET(AR41,0,-1)</f>
        <v>4</v>
      </c>
      <c r="AS41" s="80">
        <f ca="1">OFFSET(AS41,0,-1)+1</f>
        <v>5</v>
      </c>
      <c r="AT41" s="44"/>
      <c r="AU41" s="44"/>
      <c r="AV41" s="44"/>
      <c r="AW41" s="44"/>
      <c r="AX41" s="44"/>
      <c r="AY41" s="37">
        <v>0</v>
      </c>
    </row>
    <row r="42" ht="24" customHeight="1" spans="1:51">
      <c r="A42" s="46" t="s">
        <v>247</v>
      </c>
      <c r="B42" s="46"/>
      <c r="C42" s="46"/>
      <c r="D42" s="46"/>
      <c r="E42" s="1052">
        <v>1</v>
      </c>
      <c r="F42" s="46"/>
      <c r="G42" s="46"/>
      <c r="H42" s="46"/>
      <c r="I42" s="46"/>
      <c r="J42" s="46"/>
      <c r="K42" s="46"/>
      <c r="L42" s="1054"/>
      <c r="M42" s="47"/>
      <c r="N42" s="47"/>
      <c r="O42" s="47"/>
      <c r="Q42" s="81"/>
      <c r="R42" s="82"/>
      <c r="S42" s="65">
        <f>INDEX(PT_DIFFERENTIATION_NUM_NTAR,MATCH(A42,PT_DIFFERENTIATION_NTAR_ID,0))</f>
        <v>0</v>
      </c>
      <c r="T42" s="83" t="s">
        <v>121</v>
      </c>
      <c r="U42" s="84"/>
      <c r="V42" s="1090"/>
      <c r="W42" s="1061"/>
      <c r="X42" s="1061"/>
      <c r="Y42" s="1061"/>
      <c r="Z42" s="1061"/>
      <c r="AA42" s="1061"/>
      <c r="AB42" s="1061"/>
      <c r="AC42" s="1061"/>
      <c r="AD42" s="1061"/>
      <c r="AE42" s="1061"/>
      <c r="AF42" s="1089"/>
      <c r="AG42" s="1090" t="str">
        <f>INDEX(PT_DIFFERENTIATION_NTAR,MATCH(A42,PT_DIFFERENTIATION_NTAR_ID,0))</f>
        <v/>
      </c>
      <c r="AH42" s="1061"/>
      <c r="AI42" s="1061"/>
      <c r="AJ42" s="1061"/>
      <c r="AK42" s="1061"/>
      <c r="AL42" s="1061"/>
      <c r="AM42" s="1061"/>
      <c r="AN42" s="1061"/>
      <c r="AO42" s="1061"/>
      <c r="AP42" s="1061"/>
      <c r="AQ42" s="1061"/>
      <c r="AR42" s="1089"/>
      <c r="AS4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51"/>
      <c r="AV42" s="151" t="str">
        <f t="shared" ref="AV42:AV54" si="1">IF(T42="","",T42)</f>
        <v>Наименование тарифа</v>
      </c>
      <c r="AW42" s="151"/>
      <c r="AX42" s="151"/>
      <c r="AY42" s="43">
        <v>23</v>
      </c>
    </row>
    <row r="43" ht="24" customHeight="1" spans="1:51">
      <c r="A43" s="46" t="s">
        <v>247</v>
      </c>
      <c r="B43" s="46" t="s">
        <v>248</v>
      </c>
      <c r="C43" s="46"/>
      <c r="D43" s="46"/>
      <c r="E43" s="1053"/>
      <c r="F43" s="1052">
        <v>1</v>
      </c>
      <c r="G43" s="46"/>
      <c r="H43" s="46"/>
      <c r="I43" s="46"/>
      <c r="J43" s="46"/>
      <c r="K43" s="46"/>
      <c r="L43" s="1054"/>
      <c r="M43" s="47"/>
      <c r="N43" s="47"/>
      <c r="O43" s="47"/>
      <c r="P43" s="86"/>
      <c r="Q43" s="87"/>
      <c r="R43" s="88"/>
      <c r="S43" s="65" t="str">
        <f>INDEX(PT_DIFFERENTIATION_NUM_TER,MATCH(B43,PT_DIFFERENTIATION_TER_ID,0))</f>
        <v>.</v>
      </c>
      <c r="T43" s="89" t="s">
        <v>393</v>
      </c>
      <c r="U43" s="84"/>
      <c r="V43" s="1090"/>
      <c r="W43" s="1061"/>
      <c r="X43" s="1061"/>
      <c r="Y43" s="1061"/>
      <c r="Z43" s="1061"/>
      <c r="AA43" s="1061"/>
      <c r="AB43" s="1061"/>
      <c r="AC43" s="1061"/>
      <c r="AD43" s="1061"/>
      <c r="AE43" s="1061"/>
      <c r="AF43" s="1089"/>
      <c r="AG43" s="1090" t="str">
        <f>INDEX(PT_DIFFERENTIATION_TER,MATCH(B43,PT_DIFFERENTIATION_TER_ID,0))</f>
        <v/>
      </c>
      <c r="AH43" s="1061"/>
      <c r="AI43" s="1061"/>
      <c r="AJ43" s="1061"/>
      <c r="AK43" s="1061"/>
      <c r="AL43" s="1061"/>
      <c r="AM43" s="1061"/>
      <c r="AN43" s="1061"/>
      <c r="AO43" s="1061"/>
      <c r="AP43" s="1061"/>
      <c r="AQ43" s="1061"/>
      <c r="AR43" s="1089"/>
      <c r="AS43" s="136" t="s">
        <v>394</v>
      </c>
      <c r="AU43" s="151"/>
      <c r="AV43" s="151" t="str">
        <f t="shared" si="1"/>
        <v>Территория действия тарифа</v>
      </c>
      <c r="AW43" s="151"/>
      <c r="AX43" s="151"/>
      <c r="AY43" s="43">
        <v>23</v>
      </c>
    </row>
    <row r="44" ht="24" customHeight="1" spans="1:51">
      <c r="A44" s="46" t="s">
        <v>247</v>
      </c>
      <c r="B44" s="46" t="s">
        <v>248</v>
      </c>
      <c r="C44" s="46" t="s">
        <v>249</v>
      </c>
      <c r="D44" s="46"/>
      <c r="E44" s="1053"/>
      <c r="F44" s="1053"/>
      <c r="G44" s="1052">
        <v>1</v>
      </c>
      <c r="H44" s="46"/>
      <c r="I44" s="46"/>
      <c r="J44" s="46"/>
      <c r="K44" s="46"/>
      <c r="L44" s="1054"/>
      <c r="M44" s="47"/>
      <c r="N44" s="47"/>
      <c r="O44" s="47"/>
      <c r="P44" s="90"/>
      <c r="Q44" s="87"/>
      <c r="R44" s="88"/>
      <c r="S44" s="65" t="str">
        <f>INDEX(PT_DIFFERENTIATION_NUM_CS,MATCH(C44,PT_DIFFERENTIATION_CS_ID,0))</f>
        <v>..</v>
      </c>
      <c r="T44" s="91" t="s">
        <v>524</v>
      </c>
      <c r="U44" s="84"/>
      <c r="V44" s="1090"/>
      <c r="W44" s="1061"/>
      <c r="X44" s="1061"/>
      <c r="Y44" s="1061"/>
      <c r="Z44" s="1061"/>
      <c r="AA44" s="1061"/>
      <c r="AB44" s="1061"/>
      <c r="AC44" s="1061"/>
      <c r="AD44" s="1061"/>
      <c r="AE44" s="1061"/>
      <c r="AF44" s="1089"/>
      <c r="AG44" s="1090" t="str">
        <f>INDEX(PT_DIFFERENTIATION_CS,MATCH(C44,PT_DIFFERENTIATION_CS_ID,0))</f>
        <v/>
      </c>
      <c r="AH44" s="1061"/>
      <c r="AI44" s="1061"/>
      <c r="AJ44" s="1061"/>
      <c r="AK44" s="1061"/>
      <c r="AL44" s="1061"/>
      <c r="AM44" s="1061"/>
      <c r="AN44" s="1061"/>
      <c r="AO44" s="1061"/>
      <c r="AP44" s="1061"/>
      <c r="AQ44" s="1061"/>
      <c r="AR44" s="1089"/>
      <c r="AS44" s="136" t="s">
        <v>525</v>
      </c>
      <c r="AU44" s="151"/>
      <c r="AV44" s="151" t="str">
        <f t="shared" si="1"/>
        <v>Наименование централизованной системы горячего водоснабжения</v>
      </c>
      <c r="AW44" s="151"/>
      <c r="AX44" s="151"/>
      <c r="AY44" s="43">
        <v>23</v>
      </c>
    </row>
    <row r="45" ht="24" customHeight="1" spans="1:51">
      <c r="A45" s="46" t="s">
        <v>247</v>
      </c>
      <c r="B45" s="46" t="s">
        <v>248</v>
      </c>
      <c r="C45" s="46" t="s">
        <v>249</v>
      </c>
      <c r="D45" s="46" t="s">
        <v>536</v>
      </c>
      <c r="E45" s="1053"/>
      <c r="F45" s="1053"/>
      <c r="G45" s="1053"/>
      <c r="H45" s="1053"/>
      <c r="I45" s="229" t="str">
        <f>S44&amp;".1"</f>
        <v>...1</v>
      </c>
      <c r="J45" s="46"/>
      <c r="K45" s="46"/>
      <c r="L45" s="1054"/>
      <c r="P45" s="93">
        <v>1</v>
      </c>
      <c r="Q45" s="93"/>
      <c r="R45" s="94"/>
      <c r="S45" s="65" t="str">
        <f>$I45</f>
        <v>...1</v>
      </c>
      <c r="T45" s="95" t="s">
        <v>477</v>
      </c>
      <c r="U45" s="84"/>
      <c r="V45" s="1126"/>
      <c r="W45" s="1127"/>
      <c r="X45" s="1127"/>
      <c r="Y45" s="1127"/>
      <c r="Z45" s="1127"/>
      <c r="AA45" s="1127"/>
      <c r="AB45" s="1127"/>
      <c r="AC45" s="1127"/>
      <c r="AD45" s="1127"/>
      <c r="AE45" s="1127"/>
      <c r="AF45" s="1131"/>
      <c r="AG45" s="831"/>
      <c r="AH45" s="1134"/>
      <c r="AI45" s="1134"/>
      <c r="AJ45" s="1134"/>
      <c r="AK45" s="1134"/>
      <c r="AL45" s="1134"/>
      <c r="AM45" s="1134"/>
      <c r="AN45" s="1134"/>
      <c r="AO45" s="1134"/>
      <c r="AP45" s="1134"/>
      <c r="AQ45" s="1134"/>
      <c r="AR45" s="1135"/>
      <c r="AS45" s="136" t="s">
        <v>478</v>
      </c>
      <c r="AU45" s="151"/>
      <c r="AV45" s="151" t="str">
        <f t="shared" si="1"/>
        <v>Наименование признака дифференциации</v>
      </c>
      <c r="AW45" s="151"/>
      <c r="AX45" s="151"/>
      <c r="AY45" s="43">
        <v>23</v>
      </c>
    </row>
    <row r="46" ht="24" customHeight="1" spans="1:51">
      <c r="A46" s="46" t="s">
        <v>247</v>
      </c>
      <c r="B46" s="46" t="s">
        <v>248</v>
      </c>
      <c r="C46" s="46" t="s">
        <v>249</v>
      </c>
      <c r="D46" s="46" t="s">
        <v>536</v>
      </c>
      <c r="E46" s="1053"/>
      <c r="F46" s="1053"/>
      <c r="G46" s="1053"/>
      <c r="H46" s="1053"/>
      <c r="I46" s="1058"/>
      <c r="J46" s="229" t="str">
        <f>I45&amp;".1"</f>
        <v>...1.1</v>
      </c>
      <c r="K46" s="46"/>
      <c r="L46" s="1054" t="s">
        <v>402</v>
      </c>
      <c r="P46" s="93"/>
      <c r="Q46" s="93">
        <v>1</v>
      </c>
      <c r="R46" s="97"/>
      <c r="S46" s="65" t="str">
        <f>$J46</f>
        <v>...1.1</v>
      </c>
      <c r="T46" s="98" t="s">
        <v>403</v>
      </c>
      <c r="U46" s="84"/>
      <c r="V46" s="99"/>
      <c r="W46" s="100"/>
      <c r="X46" s="100"/>
      <c r="Y46" s="100"/>
      <c r="Z46" s="100"/>
      <c r="AA46" s="100"/>
      <c r="AB46" s="100"/>
      <c r="AC46" s="100"/>
      <c r="AD46" s="100"/>
      <c r="AE46" s="100"/>
      <c r="AF46" s="137"/>
      <c r="AG46" s="99"/>
      <c r="AH46" s="100"/>
      <c r="AI46" s="100"/>
      <c r="AJ46" s="100"/>
      <c r="AK46" s="100"/>
      <c r="AL46" s="100"/>
      <c r="AM46" s="100"/>
      <c r="AN46" s="100"/>
      <c r="AO46" s="100"/>
      <c r="AP46" s="100"/>
      <c r="AQ46" s="100"/>
      <c r="AR46" s="137"/>
      <c r="AS46" s="1136" t="s">
        <v>479</v>
      </c>
      <c r="AU46" s="151"/>
      <c r="AV46" s="151" t="str">
        <f t="shared" si="1"/>
        <v>Группа потребителей</v>
      </c>
      <c r="AW46" s="151"/>
      <c r="AX46" s="151"/>
      <c r="AY46" s="43">
        <v>23</v>
      </c>
    </row>
    <row r="47" ht="24" customHeight="1" spans="1:51">
      <c r="A47" s="46" t="s">
        <v>247</v>
      </c>
      <c r="B47" s="46" t="s">
        <v>248</v>
      </c>
      <c r="C47" s="46" t="s">
        <v>249</v>
      </c>
      <c r="D47" s="46" t="s">
        <v>536</v>
      </c>
      <c r="E47" s="1053"/>
      <c r="F47" s="1053"/>
      <c r="G47" s="1053"/>
      <c r="H47" s="1053"/>
      <c r="I47" s="1058"/>
      <c r="J47" s="1058"/>
      <c r="K47" s="229" t="str">
        <f>J46&amp;".1"</f>
        <v>...1.1.1</v>
      </c>
      <c r="L47" s="1054"/>
      <c r="P47" s="93"/>
      <c r="Q47" s="93"/>
      <c r="R47" s="97">
        <v>1</v>
      </c>
      <c r="S47" s="65" t="str">
        <f>$K47</f>
        <v>...1.1.1</v>
      </c>
      <c r="T47" s="1128"/>
      <c r="U47" s="84"/>
      <c r="V47" s="102"/>
      <c r="W47" s="102"/>
      <c r="X47" s="102"/>
      <c r="Y47" s="102"/>
      <c r="Z47" s="102"/>
      <c r="AA47" s="102"/>
      <c r="AB47" s="102"/>
      <c r="AC47" s="1133"/>
      <c r="AD47" s="353" t="s">
        <v>66</v>
      </c>
      <c r="AE47" s="1133"/>
      <c r="AF47" s="353" t="s">
        <v>66</v>
      </c>
      <c r="AG47" s="102"/>
      <c r="AH47" s="102"/>
      <c r="AI47" s="102"/>
      <c r="AJ47" s="102"/>
      <c r="AK47" s="102"/>
      <c r="AL47" s="102"/>
      <c r="AM47" s="102"/>
      <c r="AN47" s="139"/>
      <c r="AO47" s="140" t="s">
        <v>66</v>
      </c>
      <c r="AP47" s="1137"/>
      <c r="AQ47" s="140" t="s">
        <v>19</v>
      </c>
      <c r="AR47" s="1138"/>
      <c r="AS4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 t="e">
        <f>STRCHECKDATE(V48:AR48)</f>
        <v>#NAME?</v>
      </c>
      <c r="AU47" s="151"/>
      <c r="AV47" s="151" t="str">
        <f t="shared" si="1"/>
        <v/>
      </c>
      <c r="AW47" s="151"/>
      <c r="AX47" s="151"/>
      <c r="AY47" s="43">
        <v>23</v>
      </c>
    </row>
    <row r="48" hidden="1" customHeight="1" spans="1:51">
      <c r="A48" s="46" t="s">
        <v>247</v>
      </c>
      <c r="B48" s="46" t="s">
        <v>248</v>
      </c>
      <c r="C48" s="46" t="s">
        <v>249</v>
      </c>
      <c r="D48" s="46" t="s">
        <v>536</v>
      </c>
      <c r="E48" s="1053"/>
      <c r="F48" s="1053"/>
      <c r="G48" s="1053"/>
      <c r="H48" s="1053"/>
      <c r="I48" s="1058"/>
      <c r="J48" s="1058"/>
      <c r="K48" s="229"/>
      <c r="L48" s="1054"/>
      <c r="P48" s="93"/>
      <c r="Q48" s="93"/>
      <c r="R48" s="97"/>
      <c r="S48" s="104"/>
      <c r="T48" s="84"/>
      <c r="U48" s="84"/>
      <c r="V48" s="492"/>
      <c r="W48" s="492"/>
      <c r="X48" s="492"/>
      <c r="Y48" s="492"/>
      <c r="Z48" s="492"/>
      <c r="AA48" s="492"/>
      <c r="AB48" s="492"/>
      <c r="AC48" s="353"/>
      <c r="AD48" s="353"/>
      <c r="AE48" s="353"/>
      <c r="AF48" s="353"/>
      <c r="AG48" s="103"/>
      <c r="AH48" s="103"/>
      <c r="AI48" s="103"/>
      <c r="AJ48" s="103"/>
      <c r="AK48" s="103"/>
      <c r="AL48" s="103"/>
      <c r="AM48" s="103"/>
      <c r="AN48" s="143"/>
      <c r="AO48" s="140"/>
      <c r="AP48" s="1140"/>
      <c r="AQ48" s="140"/>
      <c r="AR48" s="768"/>
      <c r="AS48" s="1139"/>
      <c r="AU48" s="151"/>
      <c r="AV48" s="151" t="str">
        <f t="shared" si="1"/>
        <v/>
      </c>
      <c r="AW48" s="151"/>
      <c r="AX48" s="151"/>
      <c r="AY48" s="43">
        <v>0</v>
      </c>
    </row>
    <row r="49" ht="21" customHeight="1" spans="1:51">
      <c r="A49" s="46" t="s">
        <v>247</v>
      </c>
      <c r="B49" s="46" t="s">
        <v>248</v>
      </c>
      <c r="C49" s="46" t="s">
        <v>249</v>
      </c>
      <c r="D49" s="46" t="s">
        <v>536</v>
      </c>
      <c r="E49" s="1053"/>
      <c r="F49" s="1053"/>
      <c r="G49" s="1053"/>
      <c r="H49" s="1053"/>
      <c r="I49" s="1058"/>
      <c r="J49" s="229"/>
      <c r="K49" s="46"/>
      <c r="L49" s="1054"/>
      <c r="P49" s="93"/>
      <c r="Q49" s="93"/>
      <c r="R49" s="94"/>
      <c r="S49" s="105"/>
      <c r="T49" s="108" t="s">
        <v>480</v>
      </c>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36" t="s">
        <v>481</v>
      </c>
      <c r="AU49" s="151"/>
      <c r="AV49" s="151" t="str">
        <f t="shared" si="1"/>
        <v>Добавить значение признака дифференциации</v>
      </c>
      <c r="AW49" s="151"/>
      <c r="AX49" s="151"/>
      <c r="AY49" s="43">
        <v>20</v>
      </c>
    </row>
    <row r="50" ht="22.05" customHeight="1" spans="1:51">
      <c r="A50" s="46" t="s">
        <v>247</v>
      </c>
      <c r="B50" s="46" t="s">
        <v>248</v>
      </c>
      <c r="C50" s="46" t="s">
        <v>249</v>
      </c>
      <c r="D50" s="46" t="s">
        <v>536</v>
      </c>
      <c r="E50" s="1053"/>
      <c r="F50" s="1053"/>
      <c r="G50" s="1053"/>
      <c r="H50" s="1053"/>
      <c r="I50" s="229"/>
      <c r="J50" s="46"/>
      <c r="K50" s="46"/>
      <c r="L50" s="1054"/>
      <c r="P50" s="93"/>
      <c r="Q50" s="93"/>
      <c r="R50" s="94"/>
      <c r="S50" s="105"/>
      <c r="T50" s="110" t="s">
        <v>408</v>
      </c>
      <c r="U50" s="107"/>
      <c r="V50" s="107"/>
      <c r="W50" s="107"/>
      <c r="X50" s="107"/>
      <c r="Y50" s="107"/>
      <c r="Z50" s="107"/>
      <c r="AA50" s="107"/>
      <c r="AB50" s="107"/>
      <c r="AC50" s="107"/>
      <c r="AD50" s="107"/>
      <c r="AE50" s="107"/>
      <c r="AF50" s="147"/>
      <c r="AG50" s="107"/>
      <c r="AH50" s="107"/>
      <c r="AI50" s="107"/>
      <c r="AJ50" s="107"/>
      <c r="AK50" s="107"/>
      <c r="AL50" s="107"/>
      <c r="AM50" s="107"/>
      <c r="AN50" s="107"/>
      <c r="AO50" s="107"/>
      <c r="AP50" s="107"/>
      <c r="AQ50" s="147"/>
      <c r="AR50" s="107"/>
      <c r="AS50" s="1141"/>
      <c r="AU50" s="151"/>
      <c r="AV50" s="151" t="str">
        <f t="shared" si="1"/>
        <v>Добавить группу потребителей</v>
      </c>
      <c r="AW50" s="151"/>
      <c r="AX50" s="151"/>
      <c r="AY50" s="43">
        <v>21</v>
      </c>
    </row>
    <row r="51" ht="22.05" customHeight="1" spans="1:51">
      <c r="A51" s="46" t="s">
        <v>247</v>
      </c>
      <c r="B51" s="46" t="s">
        <v>248</v>
      </c>
      <c r="C51" s="46" t="s">
        <v>249</v>
      </c>
      <c r="D51" s="46" t="s">
        <v>536</v>
      </c>
      <c r="E51" s="1053"/>
      <c r="F51" s="1053"/>
      <c r="G51" s="1053"/>
      <c r="H51" s="1052"/>
      <c r="I51" s="46"/>
      <c r="J51" s="46"/>
      <c r="K51" s="46"/>
      <c r="L51" s="1054"/>
      <c r="M51" s="47"/>
      <c r="N51" s="47"/>
      <c r="O51" s="38"/>
      <c r="P51" s="81"/>
      <c r="Q51" s="109"/>
      <c r="R51" s="82"/>
      <c r="S51" s="105"/>
      <c r="T51" s="821" t="s">
        <v>482</v>
      </c>
      <c r="U51" s="107"/>
      <c r="V51" s="107"/>
      <c r="W51" s="107"/>
      <c r="X51" s="107"/>
      <c r="Y51" s="107"/>
      <c r="Z51" s="107"/>
      <c r="AA51" s="107"/>
      <c r="AB51" s="107"/>
      <c r="AC51" s="107"/>
      <c r="AD51" s="107"/>
      <c r="AE51" s="107"/>
      <c r="AF51" s="147"/>
      <c r="AG51" s="107"/>
      <c r="AH51" s="107"/>
      <c r="AI51" s="107"/>
      <c r="AJ51" s="107"/>
      <c r="AK51" s="107"/>
      <c r="AL51" s="107"/>
      <c r="AM51" s="107"/>
      <c r="AN51" s="107"/>
      <c r="AO51" s="107"/>
      <c r="AP51" s="107"/>
      <c r="AQ51" s="147"/>
      <c r="AR51" s="107"/>
      <c r="AS51" s="148"/>
      <c r="AU51" s="151"/>
      <c r="AV51" s="151" t="str">
        <f t="shared" si="1"/>
        <v>Добавить наименование признака дифференциации</v>
      </c>
      <c r="AW51" s="151"/>
      <c r="AX51" s="151"/>
      <c r="AY51" s="43">
        <v>21</v>
      </c>
    </row>
    <row r="52" s="44" customFormat="1" hidden="1" customHeight="1" spans="1:51">
      <c r="A52" s="590" t="s">
        <v>247</v>
      </c>
      <c r="B52" s="590" t="s">
        <v>248</v>
      </c>
      <c r="C52" s="590"/>
      <c r="D52" s="590"/>
      <c r="E52" s="1053"/>
      <c r="F52" s="1052"/>
      <c r="G52" s="590"/>
      <c r="H52" s="590"/>
      <c r="I52" s="590"/>
      <c r="J52" s="590"/>
      <c r="K52" s="590"/>
      <c r="L52" s="611"/>
      <c r="M52" s="1059"/>
      <c r="N52" s="1059"/>
      <c r="P52" s="152"/>
      <c r="Q52" s="1082"/>
      <c r="R52" s="152"/>
      <c r="S52" s="1084"/>
      <c r="T52" s="1085" t="s">
        <v>411</v>
      </c>
      <c r="U52" s="307"/>
      <c r="V52" s="307"/>
      <c r="W52" s="307"/>
      <c r="X52" s="307"/>
      <c r="Y52" s="307"/>
      <c r="Z52" s="307"/>
      <c r="AA52" s="307"/>
      <c r="AB52" s="307"/>
      <c r="AC52" s="307"/>
      <c r="AD52" s="307"/>
      <c r="AE52" s="307"/>
      <c r="AF52" s="307"/>
      <c r="AG52" s="307"/>
      <c r="AH52" s="307"/>
      <c r="AI52" s="307"/>
      <c r="AJ52" s="307"/>
      <c r="AK52" s="307"/>
      <c r="AL52" s="307"/>
      <c r="AM52" s="307"/>
      <c r="AN52" s="307"/>
      <c r="AO52" s="307"/>
      <c r="AP52" s="307"/>
      <c r="AQ52" s="307"/>
      <c r="AR52" s="307"/>
      <c r="AS52" s="307"/>
      <c r="AU52" s="151"/>
      <c r="AV52" s="151" t="str">
        <f t="shared" si="1"/>
        <v>Добавить централизованную систему для дифференциации</v>
      </c>
      <c r="AW52" s="151"/>
      <c r="AX52" s="151"/>
      <c r="AY52" s="44">
        <v>0</v>
      </c>
    </row>
    <row r="53" s="44" customFormat="1" hidden="1" customHeight="1" spans="1:51">
      <c r="A53" s="590" t="s">
        <v>247</v>
      </c>
      <c r="B53" s="590"/>
      <c r="C53" s="590"/>
      <c r="D53" s="590"/>
      <c r="E53" s="1052"/>
      <c r="F53" s="590"/>
      <c r="G53" s="590"/>
      <c r="H53" s="590"/>
      <c r="I53" s="590"/>
      <c r="J53" s="590"/>
      <c r="K53" s="590"/>
      <c r="L53" s="611"/>
      <c r="M53" s="1059"/>
      <c r="N53" s="1059"/>
      <c r="P53" s="152"/>
      <c r="Q53" s="1082"/>
      <c r="R53" s="152"/>
      <c r="S53" s="1084"/>
      <c r="T53" s="1085" t="s">
        <v>412</v>
      </c>
      <c r="U53" s="307"/>
      <c r="V53" s="307"/>
      <c r="W53" s="307"/>
      <c r="X53" s="307"/>
      <c r="Y53" s="307"/>
      <c r="Z53" s="307"/>
      <c r="AA53" s="307"/>
      <c r="AB53" s="307"/>
      <c r="AC53" s="307"/>
      <c r="AD53" s="307"/>
      <c r="AE53" s="307"/>
      <c r="AF53" s="307"/>
      <c r="AG53" s="307"/>
      <c r="AH53" s="307"/>
      <c r="AI53" s="307"/>
      <c r="AJ53" s="307"/>
      <c r="AK53" s="307"/>
      <c r="AL53" s="307"/>
      <c r="AM53" s="307"/>
      <c r="AN53" s="307"/>
      <c r="AO53" s="307"/>
      <c r="AP53" s="307"/>
      <c r="AQ53" s="307"/>
      <c r="AR53" s="307"/>
      <c r="AS53" s="307"/>
      <c r="AU53" s="151"/>
      <c r="AV53" s="151" t="str">
        <f t="shared" si="1"/>
        <v>Добавить территорию для дифференциации</v>
      </c>
      <c r="AW53" s="151"/>
      <c r="AX53" s="151"/>
      <c r="AY53" s="44">
        <v>0</v>
      </c>
    </row>
    <row r="54" s="44" customFormat="1" hidden="1" customHeight="1" spans="1:51">
      <c r="A54" s="590"/>
      <c r="B54" s="590"/>
      <c r="C54" s="590"/>
      <c r="D54" s="590"/>
      <c r="E54" s="590"/>
      <c r="F54" s="590"/>
      <c r="G54" s="590"/>
      <c r="H54" s="590"/>
      <c r="I54" s="590"/>
      <c r="J54" s="590"/>
      <c r="K54" s="590"/>
      <c r="L54" s="611"/>
      <c r="M54" s="1059"/>
      <c r="N54" s="1059"/>
      <c r="P54" s="152"/>
      <c r="Q54" s="1082"/>
      <c r="R54" s="152"/>
      <c r="S54" s="1084"/>
      <c r="T54" s="1085" t="s">
        <v>440</v>
      </c>
      <c r="U54" s="307"/>
      <c r="V54" s="307"/>
      <c r="W54" s="307"/>
      <c r="X54" s="307"/>
      <c r="Y54" s="307"/>
      <c r="Z54" s="307"/>
      <c r="AA54" s="307"/>
      <c r="AB54" s="307"/>
      <c r="AC54" s="307"/>
      <c r="AD54" s="307"/>
      <c r="AE54" s="307"/>
      <c r="AF54" s="307"/>
      <c r="AG54" s="307"/>
      <c r="AH54" s="307"/>
      <c r="AI54" s="307"/>
      <c r="AJ54" s="307"/>
      <c r="AK54" s="307"/>
      <c r="AL54" s="307"/>
      <c r="AM54" s="307"/>
      <c r="AN54" s="307"/>
      <c r="AO54" s="307"/>
      <c r="AP54" s="307"/>
      <c r="AQ54" s="307"/>
      <c r="AR54" s="307"/>
      <c r="AS54" s="307"/>
      <c r="AU54" s="151"/>
      <c r="AV54" s="151" t="str">
        <f t="shared" si="1"/>
        <v>Добавить наименование тарифа</v>
      </c>
      <c r="AW54" s="151"/>
      <c r="AX54" s="151"/>
      <c r="AY54" s="44">
        <v>0</v>
      </c>
    </row>
    <row r="55" ht="11.55" customHeight="1" spans="13:51">
      <c r="M55" s="38"/>
      <c r="N55" s="38"/>
      <c r="O55" s="38"/>
      <c r="P55" s="43"/>
      <c r="Q55" s="43"/>
      <c r="R55" s="43"/>
      <c r="S55" s="43"/>
      <c r="AT55" s="43"/>
      <c r="AU55" s="43"/>
      <c r="AV55" s="43"/>
      <c r="AW55" s="43"/>
      <c r="AX55" s="43"/>
      <c r="AY55" s="43">
        <v>11</v>
      </c>
    </row>
    <row r="56" ht="14.7" customHeight="1" spans="15:51">
      <c r="O56" s="38"/>
      <c r="S56" s="786"/>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Y56" s="43">
        <v>14</v>
      </c>
    </row>
    <row r="57" ht="14.7" customHeight="1" spans="15:51">
      <c r="O57" s="38"/>
      <c r="AY57" s="43">
        <v>14</v>
      </c>
    </row>
    <row r="58" ht="14.7" customHeight="1" spans="15:51">
      <c r="O58" s="38"/>
      <c r="S58" s="786"/>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Y58" s="43">
        <v>14</v>
      </c>
    </row>
    <row r="59" ht="22.5" hidden="1" customHeight="1" spans="1:51">
      <c r="A59" s="38" t="s">
        <v>83</v>
      </c>
      <c r="B59" s="38">
        <v>0</v>
      </c>
      <c r="C59" s="38">
        <v>0</v>
      </c>
      <c r="D59" s="38">
        <v>0</v>
      </c>
      <c r="E59" s="38">
        <v>0</v>
      </c>
      <c r="F59" s="38">
        <v>0</v>
      </c>
      <c r="G59" s="38">
        <v>0</v>
      </c>
      <c r="H59" s="38">
        <v>0</v>
      </c>
      <c r="I59" s="38">
        <v>0</v>
      </c>
      <c r="J59" s="38">
        <v>0</v>
      </c>
      <c r="K59" s="38">
        <v>0</v>
      </c>
      <c r="L59" s="48">
        <v>0</v>
      </c>
      <c r="M59" s="39">
        <v>0</v>
      </c>
      <c r="N59" s="39">
        <v>0</v>
      </c>
      <c r="O59" s="39">
        <v>0</v>
      </c>
      <c r="P59" s="40">
        <v>3</v>
      </c>
      <c r="Q59" s="41">
        <v>3</v>
      </c>
      <c r="R59" s="41">
        <v>3</v>
      </c>
      <c r="S59" s="42">
        <v>12</v>
      </c>
      <c r="T59" s="43">
        <v>35</v>
      </c>
      <c r="U59" s="43">
        <v>0</v>
      </c>
      <c r="V59" s="43">
        <v>0</v>
      </c>
      <c r="W59" s="43">
        <v>0</v>
      </c>
      <c r="X59" s="43">
        <v>0</v>
      </c>
      <c r="Y59" s="43">
        <v>0</v>
      </c>
      <c r="Z59" s="43">
        <v>0</v>
      </c>
      <c r="AA59" s="43">
        <v>0</v>
      </c>
      <c r="AB59" s="43">
        <v>0</v>
      </c>
      <c r="AC59" s="43">
        <v>0</v>
      </c>
      <c r="AD59" s="43">
        <v>0</v>
      </c>
      <c r="AE59" s="43">
        <v>0</v>
      </c>
      <c r="AF59" s="43">
        <v>0</v>
      </c>
      <c r="AG59" s="43">
        <v>19</v>
      </c>
      <c r="AH59" s="43">
        <v>19</v>
      </c>
      <c r="AI59" s="43">
        <v>19</v>
      </c>
      <c r="AJ59" s="43">
        <v>19</v>
      </c>
      <c r="AK59" s="43">
        <v>19</v>
      </c>
      <c r="AL59" s="43">
        <v>19</v>
      </c>
      <c r="AM59" s="43">
        <v>19</v>
      </c>
      <c r="AN59" s="43">
        <v>11</v>
      </c>
      <c r="AO59" s="43">
        <v>3</v>
      </c>
      <c r="AP59" s="43">
        <v>11</v>
      </c>
      <c r="AQ59" s="43">
        <v>0</v>
      </c>
      <c r="AR59" s="43">
        <v>4</v>
      </c>
      <c r="AS59" s="43">
        <v>115</v>
      </c>
      <c r="AT59" s="44">
        <v>10</v>
      </c>
      <c r="AU59" s="44">
        <v>10</v>
      </c>
      <c r="AV59" s="44">
        <v>10</v>
      </c>
      <c r="AW59" s="44">
        <v>10</v>
      </c>
      <c r="AX59" s="44">
        <v>10</v>
      </c>
      <c r="AY59" s="43">
        <v>23</v>
      </c>
    </row>
  </sheetData>
  <sheetProtection formatColumns="0" formatRows="0" insertRows="0" deleteColumns="0" deleteRows="0" sort="0" autoFilter="0"/>
  <mergeCells count="113">
    <mergeCell ref="V2:AF2"/>
    <mergeCell ref="AG2:AR2"/>
    <mergeCell ref="V3:AF3"/>
    <mergeCell ref="AG3:AR3"/>
    <mergeCell ref="V4:AF4"/>
    <mergeCell ref="AG4:AR4"/>
    <mergeCell ref="V5:AF5"/>
    <mergeCell ref="AG5:AR5"/>
    <mergeCell ref="V6:AF6"/>
    <mergeCell ref="AG6:AR6"/>
    <mergeCell ref="S24:AP24"/>
    <mergeCell ref="S25:AP25"/>
    <mergeCell ref="S27:T27"/>
    <mergeCell ref="V27:AE27"/>
    <mergeCell ref="AG27:AP27"/>
    <mergeCell ref="S28:T28"/>
    <mergeCell ref="V28:AE28"/>
    <mergeCell ref="AG28:AP28"/>
    <mergeCell ref="S29:T29"/>
    <mergeCell ref="V29:AE29"/>
    <mergeCell ref="AG29:AP29"/>
    <mergeCell ref="S30:T30"/>
    <mergeCell ref="V30:AE30"/>
    <mergeCell ref="AG30:AP30"/>
    <mergeCell ref="S32:T32"/>
    <mergeCell ref="V32:AE32"/>
    <mergeCell ref="AG32:AP32"/>
    <mergeCell ref="S33:T33"/>
    <mergeCell ref="V33:AE33"/>
    <mergeCell ref="AG33:AP33"/>
    <mergeCell ref="V35:AF35"/>
    <mergeCell ref="AG35:AQ35"/>
    <mergeCell ref="S36:AR36"/>
    <mergeCell ref="V37:AE37"/>
    <mergeCell ref="AG37:AP37"/>
    <mergeCell ref="W38:Y38"/>
    <mergeCell ref="Z38:AB38"/>
    <mergeCell ref="AH38:AJ38"/>
    <mergeCell ref="AK38:AM38"/>
    <mergeCell ref="X39:Y39"/>
    <mergeCell ref="AA39:AB39"/>
    <mergeCell ref="AI39:AJ39"/>
    <mergeCell ref="AL39:AM39"/>
    <mergeCell ref="AD40:AE40"/>
    <mergeCell ref="AO40:AP40"/>
    <mergeCell ref="AD41:AE41"/>
    <mergeCell ref="AO41:AP41"/>
    <mergeCell ref="V42:AF42"/>
    <mergeCell ref="AG42:AR42"/>
    <mergeCell ref="V43:AF43"/>
    <mergeCell ref="AG43:AR43"/>
    <mergeCell ref="V44:AF44"/>
    <mergeCell ref="AG44:AR44"/>
    <mergeCell ref="V45:AF45"/>
    <mergeCell ref="AG45:AR45"/>
    <mergeCell ref="V46:AF46"/>
    <mergeCell ref="AG46:AR46"/>
    <mergeCell ref="T56:AS56"/>
    <mergeCell ref="T58:AS58"/>
    <mergeCell ref="E2:E13"/>
    <mergeCell ref="E42:E53"/>
    <mergeCell ref="F3:F12"/>
    <mergeCell ref="F43:F52"/>
    <mergeCell ref="G4:G11"/>
    <mergeCell ref="G44:G51"/>
    <mergeCell ref="H5:H11"/>
    <mergeCell ref="H45:H51"/>
    <mergeCell ref="I5:I10"/>
    <mergeCell ref="I45:I50"/>
    <mergeCell ref="J6:J9"/>
    <mergeCell ref="J46:J49"/>
    <mergeCell ref="K7:K8"/>
    <mergeCell ref="K47:K48"/>
    <mergeCell ref="P5:P10"/>
    <mergeCell ref="P45:P50"/>
    <mergeCell ref="Q6:Q9"/>
    <mergeCell ref="Q46:Q49"/>
    <mergeCell ref="S37:S40"/>
    <mergeCell ref="T37:T40"/>
    <mergeCell ref="V38:V40"/>
    <mergeCell ref="W39:W40"/>
    <mergeCell ref="Z39:Z40"/>
    <mergeCell ref="AC7:AC8"/>
    <mergeCell ref="AC47:AC48"/>
    <mergeCell ref="AD7:AD8"/>
    <mergeCell ref="AD47:AD48"/>
    <mergeCell ref="AE7:AE8"/>
    <mergeCell ref="AE47:AE48"/>
    <mergeCell ref="AF7:AF8"/>
    <mergeCell ref="AF37:AF40"/>
    <mergeCell ref="AF47:AF48"/>
    <mergeCell ref="AG38:AG40"/>
    <mergeCell ref="AH39:AH40"/>
    <mergeCell ref="AK39:AK40"/>
    <mergeCell ref="AN7:AN8"/>
    <mergeCell ref="AN15:AN16"/>
    <mergeCell ref="AN47:AN48"/>
    <mergeCell ref="AO7:AO8"/>
    <mergeCell ref="AO15:AO16"/>
    <mergeCell ref="AO47:AO48"/>
    <mergeCell ref="AP7:AP8"/>
    <mergeCell ref="AP15:AP16"/>
    <mergeCell ref="AP47:AP48"/>
    <mergeCell ref="AQ7:AQ8"/>
    <mergeCell ref="AQ15:AQ16"/>
    <mergeCell ref="AQ37:AQ40"/>
    <mergeCell ref="AQ47:AQ48"/>
    <mergeCell ref="AR37:AR40"/>
    <mergeCell ref="AS7:AS8"/>
    <mergeCell ref="AS36:AS40"/>
    <mergeCell ref="AS47:AS48"/>
    <mergeCell ref="AN38:AP39"/>
    <mergeCell ref="AC38:AE39"/>
  </mergeCells>
  <dataValidations count="7">
    <dataValidation type="textLength" operator="lessThanOrEqual" allowBlank="1" showInputMessage="1" showErrorMessage="1" errorTitle="Ошибка" error="Допускается ввод не более 900 символов!" sqref="AG5:AR5 T7 AG45:AR45 T47 AS65573:AS65580 AS131109:AS131116 AS196645:AS196652 AS262181:AS262188 AS327717:AS327724 AS393253:AS393260 AS458789:AS458796 AS524325:AS524332 AS589861:AS589868 AS655397:AS655404 AS720933:AS720940 AS786469:AS786476 AS852005:AS852012 AS917541:AS917548 AS983077:AS9830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7 AE7 AN7 AP7 AN15 AP15 AC47 AE47 AN47 AP47 AC65579 AE65579 AN65579 AP65579 AC131115 AE131115 AN131115 AP131115 AC196651 AE196651 AN196651 AP196651 AC262187 AE262187 AN262187 AP262187 AC327723 AE327723 AN327723 AP327723 AC393259 AE393259 AN393259 AP393259 AC458795 AE458795 AN458795 AP458795 AC524331 AE524331 AN524331 AP524331 AC589867 AE589867 AN589867 AP589867 AC655403 AE655403 AN655403 AP655403 AC720939 AE720939 AN720939 AP720939 AC786475 AE786475 AN786475 AP786475 AC852011 AE852011 AN852011 AP852011 AC917547 AE917547 AN917547 AP917547 AC983083 AE983083 AN983083 AP983083"/>
    <dataValidation allowBlank="1" showInputMessage="1" showErrorMessage="1" prompt="Для выбора выполните двойной щелчок левой клавиши мыши по соответствующей ячейке." sqref="AD7 AF7 AO7 AQ7 AO15 AQ15 AD47 AF47 AO47 AQ47 AD65579 AF65579 AO65579 AQ65579 AD131115 AF131115 AO131115 AQ131115 AD196651 AF196651 AO196651 AQ196651 AD262187 AF262187 AO262187 AQ262187 AD327723 AF327723 AO327723 AQ327723 AD393259 AF393259 AO393259 AQ393259 AD458795 AF458795 AO458795 AQ458795 AD524331 AF524331 AO524331 AQ524331 AD589867 AF589867 AO589867 AQ589867 AD655403 AF655403 AO655403 AQ655403 AD720939 AF720939 AO720939 AQ720939 AD786475 AF786475 AO786475 AQ786475 AD852011 AF852011 AO852011 AQ852011 AD917547 AF917547 AO917547 AQ917547 AD983083 AF983083 AO983083 AQ983083"/>
    <dataValidation type="list" allowBlank="1" showInputMessage="1" showErrorMessage="1" errorTitle="Ошибка" error="Выберите значение из списка" sqref="V65577:AB65577 AG65577:AL65577 V131113:AB131113 AG131113:AL131113 V196649:AB196649 AG196649:AL196649 V262185:AB262185 AG262185:AL262185 V327721:AB327721 AG327721:AL327721 V393257:AB393257 AG393257:AL393257 V458793:AB458793 AG458793:AL458793 V524329:AB524329 AG524329:AL524329 V589865:AB589865 AG589865:AL589865 V655401:AB655401 AG655401:AL655401 V720937:AB720937 AG720937:AL720937 V786473:AB786473 AG786473:AL786473 V852009:AB852009 AG852009:AL852009 V917545:AB917545 AG917545:AL917545 V983081:AB983081 AG983081:AL983081">
      <formula1>kind_of_scheme_in</formula1>
    </dataValidation>
    <dataValidation type="list" allowBlank="1" showInputMessage="1" errorTitle="Ошибка" error="Выберите значение из списка" prompt="Выберите значение из списка" sqref="V65578:AR65578 V131114:AR131114 V196650:AR196650 V262186:AR262186 V327722:AR327722 V393258:AR393258 V458794:AR458794 V524330:AR524330 V589866:AR589866 V655402:AR655402 V720938:AR720938 V786474:AR786474 V852010:AR852010 V917546:AR917546 V983082:AR983082">
      <formula1>kind_of_cons</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qref="S131117:AS131123 S589869:AS589875 S196653:AS196659 S655405:AS655411 S262189:AS262195 S720941:AS720947 S327725:AS327731 S786477:AS786483 S393261:AS393267 S852013:AS852019 S458797:AS458803 S917549:AS917555 S65581:AS65587 S524333:AS524339 S983085:AS983091"/>
  </dataValidations>
  <pageMargins left="0.7" right="0.7" top="0.75" bottom="0.75" header="0.3" footer="0.3"/>
  <pageSetup paperSize="1"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Y59"/>
  <sheetViews>
    <sheetView showGridLines="0" zoomScale="90" zoomScaleNormal="90" workbookViewId="0">
      <pane xSplit="32" ySplit="41" topLeftCell="AG42"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4.1428571428571" style="38" hidden="1" customWidth="1"/>
    <col min="10" max="10" width="9.84761904761905" style="38" hidden="1" customWidth="1"/>
    <col min="11" max="11" width="14.7142857142857" style="38" hidden="1" customWidth="1"/>
    <col min="12" max="12" width="19.1428571428571" style="48" hidden="1" customWidth="1"/>
    <col min="13" max="14" width="12.2857142857143" style="39" hidden="1" customWidth="1"/>
    <col min="15" max="15" width="23.4190476190476" style="39" hidden="1" customWidth="1"/>
    <col min="16" max="16" width="3" style="40" customWidth="1"/>
    <col min="17" max="18" width="3" style="41" customWidth="1"/>
    <col min="19" max="19" width="12" style="42" customWidth="1"/>
    <col min="20" max="20" width="35" style="43" customWidth="1"/>
    <col min="21" max="21" width="0.142857142857143" style="43" customWidth="1"/>
    <col min="22" max="28" width="19.7142857142857" style="43" hidden="1" customWidth="1"/>
    <col min="29" max="29" width="11.7142857142857" style="43" hidden="1" customWidth="1"/>
    <col min="30" max="30" width="3.71428571428571" style="43" hidden="1" customWidth="1"/>
    <col min="31" max="31" width="11.7142857142857" style="43" hidden="1" customWidth="1"/>
    <col min="32" max="32" width="8.57142857142857" style="43" hidden="1" customWidth="1"/>
    <col min="33" max="33" width="19.7142857142857" style="43" customWidth="1"/>
    <col min="34" max="39" width="19" style="43" customWidth="1"/>
    <col min="40" max="40" width="11" style="43" customWidth="1"/>
    <col min="41" max="41" width="3.71428571428571" style="43" customWidth="1"/>
    <col min="42" max="42" width="11" style="43" customWidth="1"/>
    <col min="43" max="43" width="8.57142857142857" style="43" hidden="1" customWidth="1"/>
    <col min="44" max="44" width="4" style="43" customWidth="1"/>
    <col min="45" max="45" width="115" style="43" customWidth="1"/>
    <col min="46" max="50" width="10" style="44" customWidth="1"/>
    <col min="51" max="51" width="10.5714285714286" style="43" hidden="1"/>
  </cols>
  <sheetData>
    <row r="1" ht="22.5" hidden="1" customHeight="1" spans="51:51">
      <c r="AY1" s="43" t="s">
        <v>14</v>
      </c>
    </row>
    <row r="2" ht="23.25" hidden="1" customHeight="1" spans="1:51">
      <c r="A2" s="46"/>
      <c r="B2" s="46"/>
      <c r="C2" s="46"/>
      <c r="D2" s="46"/>
      <c r="E2" s="1052">
        <v>1</v>
      </c>
      <c r="F2" s="46"/>
      <c r="G2" s="46"/>
      <c r="H2" s="46"/>
      <c r="I2" s="46"/>
      <c r="J2" s="46"/>
      <c r="K2" s="46"/>
      <c r="L2" s="1054"/>
      <c r="M2" s="47"/>
      <c r="N2" s="47"/>
      <c r="O2" s="47"/>
      <c r="Q2" s="81"/>
      <c r="R2" s="82"/>
      <c r="S2" s="65" t="e">
        <f>INDEX(PT_DIFFERENTIATION_NUM_NTAR,MATCH(A2,PT_DIFFERENTIATION_NTAR_ID,0))</f>
        <v>#N/A</v>
      </c>
      <c r="T2" s="83" t="s">
        <v>121</v>
      </c>
      <c r="U2" s="84"/>
      <c r="V2" s="1090"/>
      <c r="W2" s="1061"/>
      <c r="X2" s="1061"/>
      <c r="Y2" s="1061"/>
      <c r="Z2" s="1061"/>
      <c r="AA2" s="1061"/>
      <c r="AB2" s="1061"/>
      <c r="AC2" s="1061"/>
      <c r="AD2" s="1061"/>
      <c r="AE2" s="1061"/>
      <c r="AF2" s="1089"/>
      <c r="AG2" s="1090" t="e">
        <f>INDEX(PT_DIFFERENTIATION_NTAR,MATCH(A2,PT_DIFFERENTIATION_NTAR_ID,0))</f>
        <v>#N/A</v>
      </c>
      <c r="AH2" s="1061"/>
      <c r="AI2" s="1061"/>
      <c r="AJ2" s="1061"/>
      <c r="AK2" s="1061"/>
      <c r="AL2" s="1061"/>
      <c r="AM2" s="1061"/>
      <c r="AN2" s="1061"/>
      <c r="AO2" s="1061"/>
      <c r="AP2" s="1061"/>
      <c r="AQ2" s="1061"/>
      <c r="AR2" s="1089"/>
      <c r="AS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51"/>
      <c r="AV2" s="151" t="str">
        <f t="shared" ref="AV2:AV13" si="0">IF(T2="","",T2)</f>
        <v>Наименование тарифа</v>
      </c>
      <c r="AW2" s="151"/>
      <c r="AX2" s="151"/>
      <c r="AY2" s="43">
        <v>0</v>
      </c>
    </row>
    <row r="3" ht="23.25" hidden="1" customHeight="1" spans="1:51">
      <c r="A3" s="46"/>
      <c r="B3" s="46"/>
      <c r="C3" s="46"/>
      <c r="D3" s="46"/>
      <c r="E3" s="1053"/>
      <c r="F3" s="1052">
        <v>1</v>
      </c>
      <c r="G3" s="46"/>
      <c r="H3" s="46"/>
      <c r="I3" s="46"/>
      <c r="J3" s="46"/>
      <c r="K3" s="46"/>
      <c r="L3" s="1054"/>
      <c r="M3" s="47"/>
      <c r="N3" s="47"/>
      <c r="O3" s="47"/>
      <c r="P3" s="86"/>
      <c r="Q3" s="87"/>
      <c r="R3" s="88"/>
      <c r="S3" s="65" t="e">
        <f>INDEX(PT_DIFFERENTIATION_NUM_TER,MATCH(B3,PT_DIFFERENTIATION_TER_ID,0))</f>
        <v>#N/A</v>
      </c>
      <c r="T3" s="89" t="s">
        <v>393</v>
      </c>
      <c r="U3" s="84"/>
      <c r="V3" s="1090"/>
      <c r="W3" s="1061"/>
      <c r="X3" s="1061"/>
      <c r="Y3" s="1061"/>
      <c r="Z3" s="1061"/>
      <c r="AA3" s="1061"/>
      <c r="AB3" s="1061"/>
      <c r="AC3" s="1061"/>
      <c r="AD3" s="1061"/>
      <c r="AE3" s="1061"/>
      <c r="AF3" s="1089"/>
      <c r="AG3" s="1090" t="e">
        <f>INDEX(PT_DIFFERENTIATION_TER,MATCH(B3,PT_DIFFERENTIATION_TER_ID,0))</f>
        <v>#N/A</v>
      </c>
      <c r="AH3" s="1061"/>
      <c r="AI3" s="1061"/>
      <c r="AJ3" s="1061"/>
      <c r="AK3" s="1061"/>
      <c r="AL3" s="1061"/>
      <c r="AM3" s="1061"/>
      <c r="AN3" s="1061"/>
      <c r="AO3" s="1061"/>
      <c r="AP3" s="1061"/>
      <c r="AQ3" s="1061"/>
      <c r="AR3" s="1089"/>
      <c r="AS3" s="136" t="s">
        <v>394</v>
      </c>
      <c r="AU3" s="151"/>
      <c r="AV3" s="151" t="str">
        <f t="shared" si="0"/>
        <v>Территория действия тарифа</v>
      </c>
      <c r="AW3" s="151"/>
      <c r="AX3" s="151"/>
      <c r="AY3" s="43">
        <v>0</v>
      </c>
    </row>
    <row r="4" ht="23.25" hidden="1" customHeight="1" spans="1:51">
      <c r="A4" s="46"/>
      <c r="B4" s="46"/>
      <c r="C4" s="46"/>
      <c r="D4" s="46"/>
      <c r="E4" s="1053"/>
      <c r="F4" s="1053"/>
      <c r="G4" s="1052">
        <v>1</v>
      </c>
      <c r="H4" s="46"/>
      <c r="I4" s="46"/>
      <c r="J4" s="46"/>
      <c r="K4" s="46"/>
      <c r="L4" s="1054"/>
      <c r="M4" s="47"/>
      <c r="N4" s="47"/>
      <c r="O4" s="47"/>
      <c r="P4" s="90"/>
      <c r="Q4" s="87"/>
      <c r="R4" s="88"/>
      <c r="S4" s="65" t="e">
        <f>INDEX(PT_DIFFERENTIATION_NUM_CS,MATCH(C4,PT_DIFFERENTIATION_CS_ID,0))</f>
        <v>#N/A</v>
      </c>
      <c r="T4" s="91" t="s">
        <v>524</v>
      </c>
      <c r="U4" s="84"/>
      <c r="V4" s="1090"/>
      <c r="W4" s="1061"/>
      <c r="X4" s="1061"/>
      <c r="Y4" s="1061"/>
      <c r="Z4" s="1061"/>
      <c r="AA4" s="1061"/>
      <c r="AB4" s="1061"/>
      <c r="AC4" s="1061"/>
      <c r="AD4" s="1061"/>
      <c r="AE4" s="1061"/>
      <c r="AF4" s="1089"/>
      <c r="AG4" s="1090" t="e">
        <f>INDEX(PT_DIFFERENTIATION_CS,MATCH(C4,PT_DIFFERENTIATION_CS_ID,0))</f>
        <v>#N/A</v>
      </c>
      <c r="AH4" s="1061"/>
      <c r="AI4" s="1061"/>
      <c r="AJ4" s="1061"/>
      <c r="AK4" s="1061"/>
      <c r="AL4" s="1061"/>
      <c r="AM4" s="1061"/>
      <c r="AN4" s="1061"/>
      <c r="AO4" s="1061"/>
      <c r="AP4" s="1061"/>
      <c r="AQ4" s="1061"/>
      <c r="AR4" s="1089"/>
      <c r="AS4" s="136" t="s">
        <v>525</v>
      </c>
      <c r="AU4" s="151"/>
      <c r="AV4" s="151" t="str">
        <f t="shared" si="0"/>
        <v>Наименование централизованной системы горячего водоснабжения</v>
      </c>
      <c r="AW4" s="151"/>
      <c r="AX4" s="151"/>
      <c r="AY4" s="43">
        <v>0</v>
      </c>
    </row>
    <row r="5" ht="23.25" hidden="1" customHeight="1" spans="1:51">
      <c r="A5" s="46"/>
      <c r="B5" s="46"/>
      <c r="C5" s="46"/>
      <c r="D5" s="46"/>
      <c r="E5" s="1053"/>
      <c r="F5" s="1053"/>
      <c r="G5" s="1053"/>
      <c r="H5" s="1053"/>
      <c r="I5" s="229" t="e">
        <f>S4&amp;".1"</f>
        <v>#N/A</v>
      </c>
      <c r="J5" s="46"/>
      <c r="K5" s="46"/>
      <c r="L5" s="1054"/>
      <c r="P5" s="93">
        <v>1</v>
      </c>
      <c r="Q5" s="93"/>
      <c r="R5" s="94"/>
      <c r="S5" s="65" t="e">
        <f>$I5</f>
        <v>#N/A</v>
      </c>
      <c r="T5" s="95" t="s">
        <v>477</v>
      </c>
      <c r="U5" s="84"/>
      <c r="V5" s="1126"/>
      <c r="W5" s="1127"/>
      <c r="X5" s="1127"/>
      <c r="Y5" s="1127"/>
      <c r="Z5" s="1127"/>
      <c r="AA5" s="1127"/>
      <c r="AB5" s="1127"/>
      <c r="AC5" s="1127"/>
      <c r="AD5" s="1127"/>
      <c r="AE5" s="1127"/>
      <c r="AF5" s="1131"/>
      <c r="AG5" s="831"/>
      <c r="AH5" s="1134"/>
      <c r="AI5" s="1134"/>
      <c r="AJ5" s="1134"/>
      <c r="AK5" s="1134"/>
      <c r="AL5" s="1134"/>
      <c r="AM5" s="1134"/>
      <c r="AN5" s="1134"/>
      <c r="AO5" s="1134"/>
      <c r="AP5" s="1134"/>
      <c r="AQ5" s="1134"/>
      <c r="AR5" s="1135"/>
      <c r="AS5" s="136" t="s">
        <v>478</v>
      </c>
      <c r="AU5" s="151"/>
      <c r="AV5" s="151" t="str">
        <f t="shared" si="0"/>
        <v>Наименование признака дифференциации</v>
      </c>
      <c r="AW5" s="151"/>
      <c r="AX5" s="151"/>
      <c r="AY5" s="43">
        <v>0</v>
      </c>
    </row>
    <row r="6" ht="23.25" hidden="1" customHeight="1" spans="1:51">
      <c r="A6" s="46"/>
      <c r="B6" s="46"/>
      <c r="C6" s="46"/>
      <c r="D6" s="46"/>
      <c r="E6" s="1053"/>
      <c r="F6" s="1053"/>
      <c r="G6" s="1053"/>
      <c r="H6" s="1053"/>
      <c r="I6" s="1058"/>
      <c r="J6" s="229" t="e">
        <f>I5&amp;".1"</f>
        <v>#N/A</v>
      </c>
      <c r="K6" s="46"/>
      <c r="L6" s="1054" t="s">
        <v>402</v>
      </c>
      <c r="P6" s="93"/>
      <c r="Q6" s="93">
        <v>1</v>
      </c>
      <c r="R6" s="97"/>
      <c r="S6" s="65" t="e">
        <f>$J6</f>
        <v>#N/A</v>
      </c>
      <c r="T6" s="98" t="s">
        <v>403</v>
      </c>
      <c r="U6" s="84"/>
      <c r="V6" s="99"/>
      <c r="W6" s="100"/>
      <c r="X6" s="100"/>
      <c r="Y6" s="100"/>
      <c r="Z6" s="100"/>
      <c r="AA6" s="100"/>
      <c r="AB6" s="100"/>
      <c r="AC6" s="100"/>
      <c r="AD6" s="100"/>
      <c r="AE6" s="100"/>
      <c r="AF6" s="137"/>
      <c r="AG6" s="99"/>
      <c r="AH6" s="100"/>
      <c r="AI6" s="100"/>
      <c r="AJ6" s="100"/>
      <c r="AK6" s="100"/>
      <c r="AL6" s="100"/>
      <c r="AM6" s="100"/>
      <c r="AN6" s="100"/>
      <c r="AO6" s="100"/>
      <c r="AP6" s="100"/>
      <c r="AQ6" s="100"/>
      <c r="AR6" s="137"/>
      <c r="AS6" s="1136" t="s">
        <v>479</v>
      </c>
      <c r="AU6" s="151"/>
      <c r="AV6" s="151" t="str">
        <f t="shared" si="0"/>
        <v>Группа потребителей</v>
      </c>
      <c r="AW6" s="151"/>
      <c r="AX6" s="151"/>
      <c r="AY6" s="43">
        <v>0</v>
      </c>
    </row>
    <row r="7" ht="23.25" hidden="1" customHeight="1" spans="1:51">
      <c r="A7" s="46"/>
      <c r="B7" s="46"/>
      <c r="C7" s="46"/>
      <c r="D7" s="46"/>
      <c r="E7" s="1053"/>
      <c r="F7" s="1053"/>
      <c r="G7" s="1053"/>
      <c r="H7" s="1053"/>
      <c r="I7" s="1058"/>
      <c r="J7" s="1058"/>
      <c r="K7" s="229" t="e">
        <f>J6&amp;".1"</f>
        <v>#N/A</v>
      </c>
      <c r="L7" s="1054"/>
      <c r="P7" s="93"/>
      <c r="Q7" s="93"/>
      <c r="R7" s="97">
        <v>1</v>
      </c>
      <c r="S7" s="65" t="e">
        <f>$K7</f>
        <v>#N/A</v>
      </c>
      <c r="T7" s="1128"/>
      <c r="U7" s="84"/>
      <c r="V7" s="102"/>
      <c r="W7" s="102"/>
      <c r="X7" s="102"/>
      <c r="Y7" s="102"/>
      <c r="Z7" s="102"/>
      <c r="AA7" s="102"/>
      <c r="AB7" s="138"/>
      <c r="AC7" s="139"/>
      <c r="AD7" s="140" t="s">
        <v>66</v>
      </c>
      <c r="AE7" s="139"/>
      <c r="AF7" s="140" t="s">
        <v>66</v>
      </c>
      <c r="AG7" s="102"/>
      <c r="AH7" s="102"/>
      <c r="AI7" s="102"/>
      <c r="AJ7" s="102"/>
      <c r="AK7" s="102"/>
      <c r="AL7" s="102"/>
      <c r="AM7" s="138"/>
      <c r="AN7" s="139"/>
      <c r="AO7" s="140" t="s">
        <v>66</v>
      </c>
      <c r="AP7" s="1137"/>
      <c r="AQ7" s="140" t="s">
        <v>66</v>
      </c>
      <c r="AR7" s="1138"/>
      <c r="AS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 t="e">
        <f>STRCHECKDATE(V8:AR8)</f>
        <v>#NAME?</v>
      </c>
      <c r="AU7" s="151"/>
      <c r="AV7" s="151" t="str">
        <f t="shared" si="0"/>
        <v/>
      </c>
      <c r="AW7" s="151"/>
      <c r="AX7" s="151"/>
      <c r="AY7" s="43">
        <v>0</v>
      </c>
    </row>
    <row r="8" hidden="1" customHeight="1" spans="1:51">
      <c r="A8" s="46"/>
      <c r="B8" s="46"/>
      <c r="C8" s="46"/>
      <c r="D8" s="46"/>
      <c r="E8" s="1053"/>
      <c r="F8" s="1053"/>
      <c r="G8" s="1053"/>
      <c r="H8" s="1053"/>
      <c r="I8" s="1058"/>
      <c r="J8" s="1058"/>
      <c r="K8" s="229"/>
      <c r="L8" s="1054"/>
      <c r="P8" s="93"/>
      <c r="Q8" s="93"/>
      <c r="R8" s="97"/>
      <c r="S8" s="104"/>
      <c r="T8" s="84"/>
      <c r="U8" s="84"/>
      <c r="V8" s="103"/>
      <c r="W8" s="103"/>
      <c r="X8" s="103"/>
      <c r="Y8" s="103"/>
      <c r="Z8" s="103"/>
      <c r="AA8" s="103"/>
      <c r="AB8" s="142" t="str">
        <f>AC7&amp;"-"&amp;AE7</f>
        <v>-</v>
      </c>
      <c r="AC8" s="143"/>
      <c r="AD8" s="140"/>
      <c r="AE8" s="143"/>
      <c r="AF8" s="140"/>
      <c r="AG8" s="103"/>
      <c r="AH8" s="103"/>
      <c r="AI8" s="103"/>
      <c r="AJ8" s="103"/>
      <c r="AK8" s="103"/>
      <c r="AL8" s="103"/>
      <c r="AM8" s="142" t="str">
        <f>AN7&amp;"-"&amp;AP7</f>
        <v>-</v>
      </c>
      <c r="AN8" s="143"/>
      <c r="AO8" s="140"/>
      <c r="AP8" s="1140"/>
      <c r="AQ8" s="140"/>
      <c r="AR8" s="768"/>
      <c r="AS8" s="1139"/>
      <c r="AU8" s="151"/>
      <c r="AV8" s="151" t="str">
        <f t="shared" si="0"/>
        <v/>
      </c>
      <c r="AW8" s="151"/>
      <c r="AX8" s="151"/>
      <c r="AY8" s="43">
        <v>0</v>
      </c>
    </row>
    <row r="9" ht="21" hidden="1" customHeight="1" spans="1:51">
      <c r="A9" s="46"/>
      <c r="B9" s="46"/>
      <c r="C9" s="46"/>
      <c r="D9" s="46"/>
      <c r="E9" s="1053"/>
      <c r="F9" s="1053"/>
      <c r="G9" s="1053"/>
      <c r="H9" s="1053"/>
      <c r="I9" s="1058"/>
      <c r="J9" s="229"/>
      <c r="K9" s="46"/>
      <c r="L9" s="1054"/>
      <c r="P9" s="93"/>
      <c r="Q9" s="93"/>
      <c r="R9" s="94"/>
      <c r="S9" s="105"/>
      <c r="T9" s="108" t="s">
        <v>480</v>
      </c>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36" t="s">
        <v>481</v>
      </c>
      <c r="AU9" s="151"/>
      <c r="AV9" s="151" t="str">
        <f t="shared" si="0"/>
        <v>Добавить значение признака дифференциации</v>
      </c>
      <c r="AW9" s="151"/>
      <c r="AX9" s="151"/>
      <c r="AY9" s="43">
        <v>0</v>
      </c>
    </row>
    <row r="10" ht="21" hidden="1" customHeight="1" spans="1:51">
      <c r="A10" s="46"/>
      <c r="B10" s="46"/>
      <c r="C10" s="46"/>
      <c r="D10" s="46"/>
      <c r="E10" s="1053"/>
      <c r="F10" s="1053"/>
      <c r="G10" s="1053"/>
      <c r="H10" s="1053"/>
      <c r="I10" s="229"/>
      <c r="J10" s="46"/>
      <c r="K10" s="46"/>
      <c r="L10" s="1054"/>
      <c r="P10" s="93"/>
      <c r="Q10" s="93"/>
      <c r="R10" s="94"/>
      <c r="S10" s="105"/>
      <c r="T10" s="110" t="s">
        <v>408</v>
      </c>
      <c r="U10" s="107"/>
      <c r="V10" s="107"/>
      <c r="W10" s="107"/>
      <c r="X10" s="107"/>
      <c r="Y10" s="107"/>
      <c r="Z10" s="107"/>
      <c r="AA10" s="107"/>
      <c r="AB10" s="107"/>
      <c r="AC10" s="107"/>
      <c r="AD10" s="107"/>
      <c r="AE10" s="107"/>
      <c r="AF10" s="147"/>
      <c r="AG10" s="107"/>
      <c r="AH10" s="107"/>
      <c r="AI10" s="107"/>
      <c r="AJ10" s="107"/>
      <c r="AK10" s="107"/>
      <c r="AL10" s="107"/>
      <c r="AM10" s="107"/>
      <c r="AN10" s="107"/>
      <c r="AO10" s="107"/>
      <c r="AP10" s="107"/>
      <c r="AQ10" s="147"/>
      <c r="AR10" s="107"/>
      <c r="AS10" s="1141"/>
      <c r="AU10" s="151"/>
      <c r="AV10" s="151" t="str">
        <f t="shared" si="0"/>
        <v>Добавить группу потребителей</v>
      </c>
      <c r="AW10" s="151"/>
      <c r="AX10" s="151"/>
      <c r="AY10" s="43">
        <v>0</v>
      </c>
    </row>
    <row r="11" ht="21" hidden="1" customHeight="1" spans="1:51">
      <c r="A11" s="46"/>
      <c r="B11" s="46"/>
      <c r="C11" s="46"/>
      <c r="D11" s="46"/>
      <c r="E11" s="1053"/>
      <c r="F11" s="1053"/>
      <c r="G11" s="1053"/>
      <c r="H11" s="1052"/>
      <c r="I11" s="46"/>
      <c r="J11" s="46"/>
      <c r="K11" s="46"/>
      <c r="L11" s="1054"/>
      <c r="M11" s="47"/>
      <c r="N11" s="47"/>
      <c r="O11" s="38"/>
      <c r="P11" s="81"/>
      <c r="Q11" s="109"/>
      <c r="R11" s="82"/>
      <c r="S11" s="105"/>
      <c r="T11" s="821" t="s">
        <v>482</v>
      </c>
      <c r="U11" s="107"/>
      <c r="V11" s="107"/>
      <c r="W11" s="107"/>
      <c r="X11" s="107"/>
      <c r="Y11" s="107"/>
      <c r="Z11" s="107"/>
      <c r="AA11" s="107"/>
      <c r="AB11" s="107"/>
      <c r="AC11" s="107"/>
      <c r="AD11" s="107"/>
      <c r="AE11" s="107"/>
      <c r="AF11" s="147"/>
      <c r="AG11" s="107"/>
      <c r="AH11" s="107"/>
      <c r="AI11" s="107"/>
      <c r="AJ11" s="107"/>
      <c r="AK11" s="107"/>
      <c r="AL11" s="107"/>
      <c r="AM11" s="107"/>
      <c r="AN11" s="107"/>
      <c r="AO11" s="107"/>
      <c r="AP11" s="107"/>
      <c r="AQ11" s="147"/>
      <c r="AR11" s="107"/>
      <c r="AS11" s="148"/>
      <c r="AU11" s="151"/>
      <c r="AV11" s="151" t="str">
        <f t="shared" si="0"/>
        <v>Добавить наименование признака дифференциации</v>
      </c>
      <c r="AW11" s="151"/>
      <c r="AX11" s="151"/>
      <c r="AY11" s="43">
        <v>0</v>
      </c>
    </row>
    <row r="12" s="44" customFormat="1" hidden="1" customHeight="1" spans="1:51">
      <c r="A12" s="590"/>
      <c r="B12" s="590"/>
      <c r="C12" s="590"/>
      <c r="D12" s="590"/>
      <c r="E12" s="1053"/>
      <c r="F12" s="1052"/>
      <c r="G12" s="590"/>
      <c r="H12" s="590"/>
      <c r="I12" s="590"/>
      <c r="J12" s="590"/>
      <c r="K12" s="590"/>
      <c r="L12" s="611"/>
      <c r="M12" s="1059"/>
      <c r="N12" s="1059"/>
      <c r="P12" s="152"/>
      <c r="Q12" s="1082"/>
      <c r="R12" s="152"/>
      <c r="S12" s="1084"/>
      <c r="T12" s="1085" t="s">
        <v>411</v>
      </c>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U12" s="151"/>
      <c r="AV12" s="151" t="str">
        <f t="shared" si="0"/>
        <v>Добавить централизованную систему для дифференциации</v>
      </c>
      <c r="AW12" s="151"/>
      <c r="AX12" s="151"/>
      <c r="AY12" s="44">
        <v>0</v>
      </c>
    </row>
    <row r="13" s="44" customFormat="1" hidden="1" customHeight="1" spans="1:51">
      <c r="A13" s="590"/>
      <c r="B13" s="590"/>
      <c r="C13" s="590"/>
      <c r="D13" s="590"/>
      <c r="E13" s="1052"/>
      <c r="F13" s="590"/>
      <c r="G13" s="590"/>
      <c r="H13" s="590"/>
      <c r="I13" s="590"/>
      <c r="J13" s="590"/>
      <c r="K13" s="590"/>
      <c r="L13" s="611"/>
      <c r="M13" s="1059"/>
      <c r="N13" s="1059"/>
      <c r="P13" s="152"/>
      <c r="Q13" s="1082"/>
      <c r="R13" s="152"/>
      <c r="S13" s="1084"/>
      <c r="T13" s="1085" t="s">
        <v>412</v>
      </c>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U13" s="151"/>
      <c r="AV13" s="151" t="str">
        <f t="shared" si="0"/>
        <v>Добавить территорию для дифференциации</v>
      </c>
      <c r="AW13" s="151"/>
      <c r="AX13" s="151"/>
      <c r="AY13" s="44">
        <v>0</v>
      </c>
    </row>
    <row r="14" hidden="1" customHeight="1" spans="51:51">
      <c r="AY14" s="43">
        <v>0</v>
      </c>
    </row>
    <row r="15" hidden="1" customHeight="1" spans="33:51">
      <c r="AG15" s="492"/>
      <c r="AH15" s="492"/>
      <c r="AI15" s="492"/>
      <c r="AJ15" s="492"/>
      <c r="AK15" s="492"/>
      <c r="AL15" s="492"/>
      <c r="AM15" s="1132"/>
      <c r="AN15" s="1133"/>
      <c r="AO15" s="353" t="s">
        <v>66</v>
      </c>
      <c r="AP15" s="1133"/>
      <c r="AQ15" s="353" t="s">
        <v>66</v>
      </c>
      <c r="AY15" s="43">
        <v>0</v>
      </c>
    </row>
    <row r="16" hidden="1" customHeight="1" spans="33:51">
      <c r="AG16" s="492"/>
      <c r="AH16" s="492"/>
      <c r="AI16" s="492"/>
      <c r="AJ16" s="492"/>
      <c r="AK16" s="492"/>
      <c r="AL16" s="492"/>
      <c r="AM16" s="142" t="str">
        <f>AN15&amp;"-"&amp;AP15</f>
        <v>-</v>
      </c>
      <c r="AN16" s="353"/>
      <c r="AO16" s="353"/>
      <c r="AP16" s="353"/>
      <c r="AQ16" s="353"/>
      <c r="AY16" s="43">
        <v>0</v>
      </c>
    </row>
    <row r="17" hidden="1" customHeight="1" spans="51:51">
      <c r="AY17" s="43">
        <v>0</v>
      </c>
    </row>
    <row r="18" s="38" customFormat="1" ht="22.5" hidden="1" customHeight="1" spans="12:51">
      <c r="L18" s="48"/>
      <c r="M18" s="39"/>
      <c r="N18" s="39"/>
      <c r="O18" s="1060" t="s">
        <v>413</v>
      </c>
      <c r="P18" s="39"/>
      <c r="Q18" s="1051"/>
      <c r="R18" s="1051"/>
      <c r="S18" s="47"/>
      <c r="AC18" s="1060"/>
      <c r="AE18" s="1060"/>
      <c r="AN18" s="1060"/>
      <c r="AP18" s="1060"/>
      <c r="AT18" s="44"/>
      <c r="AU18" s="44"/>
      <c r="AV18" s="44"/>
      <c r="AW18" s="44"/>
      <c r="AX18" s="44"/>
      <c r="AY18" s="38">
        <v>0</v>
      </c>
    </row>
    <row r="19" s="38" customFormat="1" hidden="1" customHeight="1" spans="12:51">
      <c r="L19" s="48"/>
      <c r="M19" s="39"/>
      <c r="N19" s="39"/>
      <c r="O19" s="39"/>
      <c r="P19" s="39"/>
      <c r="Q19" s="1051"/>
      <c r="R19" s="1051"/>
      <c r="S19" s="47"/>
      <c r="AT19" s="44"/>
      <c r="AU19" s="44"/>
      <c r="AV19" s="44"/>
      <c r="AW19" s="44"/>
      <c r="AX19" s="44"/>
      <c r="AY19" s="38">
        <v>0</v>
      </c>
    </row>
    <row r="20" s="38" customFormat="1" ht="12" hidden="1" customHeight="1" spans="12:51">
      <c r="L20" s="48"/>
      <c r="M20" s="39"/>
      <c r="N20" s="39"/>
      <c r="O20" s="1054" t="s">
        <v>414</v>
      </c>
      <c r="P20" s="39"/>
      <c r="Q20" s="1129"/>
      <c r="R20" s="1129"/>
      <c r="S20" s="47"/>
      <c r="T20" s="38" t="s">
        <v>415</v>
      </c>
      <c r="AD20" s="45" t="s">
        <v>416</v>
      </c>
      <c r="AF20" s="45" t="s">
        <v>417</v>
      </c>
      <c r="AG20" s="38" t="s">
        <v>415</v>
      </c>
      <c r="AO20" s="45" t="s">
        <v>418</v>
      </c>
      <c r="AQ20" s="45" t="s">
        <v>417</v>
      </c>
      <c r="AY20" s="38">
        <v>0</v>
      </c>
    </row>
    <row r="21" hidden="1" customHeight="1" spans="15:51">
      <c r="O21" s="1054"/>
      <c r="AY21" s="43">
        <v>0</v>
      </c>
    </row>
    <row r="22" hidden="1" customHeight="1" spans="15:51">
      <c r="O22" s="1054"/>
      <c r="AY22" s="43">
        <v>0</v>
      </c>
    </row>
    <row r="23" ht="14.7" customHeight="1" spans="17:51">
      <c r="Q23" s="51"/>
      <c r="R23" s="51"/>
      <c r="S23" s="52"/>
      <c r="T23" s="53"/>
      <c r="U23" s="53"/>
      <c r="AY23" s="43">
        <v>14</v>
      </c>
    </row>
    <row r="24" ht="26.25" customHeight="1" spans="17:51">
      <c r="Q24" s="51"/>
      <c r="R24" s="51"/>
      <c r="S24" s="7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121"/>
      <c r="AY24" s="43">
        <v>25</v>
      </c>
    </row>
    <row r="25" ht="14.7" customHeight="1" spans="17:51">
      <c r="Q25" s="51"/>
      <c r="R25" s="51"/>
      <c r="S25" s="660" t="str">
        <f>IF(org=0,"Не определено",org)</f>
        <v>АО "Теплокоммунэнерго"</v>
      </c>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121"/>
      <c r="AY25" s="43">
        <v>14</v>
      </c>
    </row>
    <row r="26" hidden="1" customHeight="1" spans="17:51">
      <c r="Q26" s="51"/>
      <c r="R26" s="51"/>
      <c r="S26" s="52"/>
      <c r="T26" s="53"/>
      <c r="U26" s="53"/>
      <c r="V26" s="56"/>
      <c r="W26" s="56"/>
      <c r="X26" s="56"/>
      <c r="Y26" s="56"/>
      <c r="Z26" s="56"/>
      <c r="AA26" s="56"/>
      <c r="AB26" s="56"/>
      <c r="AC26" s="56"/>
      <c r="AD26" s="56"/>
      <c r="AE26" s="56"/>
      <c r="AF26" s="56"/>
      <c r="AG26" s="56"/>
      <c r="AH26" s="56"/>
      <c r="AI26" s="56"/>
      <c r="AJ26" s="56"/>
      <c r="AK26" s="56"/>
      <c r="AL26" s="56"/>
      <c r="AM26" s="56"/>
      <c r="AN26" s="56"/>
      <c r="AO26" s="56"/>
      <c r="AP26" s="56"/>
      <c r="AQ26" s="56"/>
      <c r="AY26" s="43">
        <v>0</v>
      </c>
    </row>
    <row r="27" s="36" customFormat="1" ht="25.5" hidden="1" customHeight="1" spans="1:51">
      <c r="A27" s="45"/>
      <c r="B27" s="45"/>
      <c r="C27" s="45"/>
      <c r="D27" s="45"/>
      <c r="E27" s="45"/>
      <c r="F27" s="45"/>
      <c r="G27" s="45"/>
      <c r="H27" s="45"/>
      <c r="I27" s="45"/>
      <c r="J27" s="45"/>
      <c r="K27" s="45"/>
      <c r="L27" s="1054"/>
      <c r="M27" s="45"/>
      <c r="N27" s="45"/>
      <c r="O27" s="45"/>
      <c r="S27"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58"/>
      <c r="U27" s="1088"/>
      <c r="V27" s="60" t="str">
        <f>IF(TITLE_NAME_OR_PR_CHANGE="",IF(TITLE_NAME_OR_PR="","",TITLE_NAME_OR_PR),TITLE_NAME_OR_PR_CHANGE)</f>
        <v/>
      </c>
      <c r="W27" s="60"/>
      <c r="X27" s="60"/>
      <c r="Y27" s="60"/>
      <c r="Z27" s="60"/>
      <c r="AA27" s="60"/>
      <c r="AB27" s="60"/>
      <c r="AC27" s="60"/>
      <c r="AD27" s="60"/>
      <c r="AE27" s="60"/>
      <c r="AF27" s="43"/>
      <c r="AG27" s="60" t="str">
        <f>IF(TITLE_NAME_OR_PR_CHANGE="",IF(TITLE_NAME_OR_PR="","",TITLE_NAME_OR_PR),TITLE_NAME_OR_PR_CHANGE)</f>
        <v/>
      </c>
      <c r="AH27" s="60"/>
      <c r="AI27" s="60"/>
      <c r="AJ27" s="60"/>
      <c r="AK27" s="60"/>
      <c r="AL27" s="60"/>
      <c r="AM27" s="60"/>
      <c r="AN27" s="60"/>
      <c r="AO27" s="60"/>
      <c r="AP27" s="60"/>
      <c r="AQ27" s="43"/>
      <c r="AR27" s="43"/>
      <c r="AS27" s="122"/>
      <c r="AT27" s="151"/>
      <c r="AU27" s="151"/>
      <c r="AV27" s="151"/>
      <c r="AW27" s="151"/>
      <c r="AX27" s="151"/>
      <c r="AY27" s="36">
        <v>0</v>
      </c>
    </row>
    <row r="28" s="36" customFormat="1" ht="18.75" hidden="1" customHeight="1" spans="1:51">
      <c r="A28" s="45"/>
      <c r="B28" s="45"/>
      <c r="C28" s="45"/>
      <c r="D28" s="45"/>
      <c r="E28" s="45"/>
      <c r="F28" s="45"/>
      <c r="G28" s="45"/>
      <c r="H28" s="45"/>
      <c r="I28" s="45"/>
      <c r="J28" s="45"/>
      <c r="K28" s="45"/>
      <c r="L28" s="1054"/>
      <c r="M28" s="45"/>
      <c r="N28" s="45"/>
      <c r="O28" s="45"/>
      <c r="S28" s="58" t="str">
        <f>"Дата документа об "&amp;IF(TITLE_DATE_PR_CHANGE="","утверждении","изменении")&amp;" тарифов"</f>
        <v>Дата документа об утверждении тарифов</v>
      </c>
      <c r="T28" s="58"/>
      <c r="U28" s="1088"/>
      <c r="V28" s="793" t="str">
        <f>IF(TITLE_DATE_PR_CHANGE="",IF(TITLE_DATE_PR="","",TITLE_DATE_PR),TITLE_DATE_PR_CHANGE)</f>
        <v/>
      </c>
      <c r="W28" s="793"/>
      <c r="X28" s="793"/>
      <c r="Y28" s="793"/>
      <c r="Z28" s="793"/>
      <c r="AA28" s="793"/>
      <c r="AB28" s="793"/>
      <c r="AC28" s="793"/>
      <c r="AD28" s="793"/>
      <c r="AE28" s="793"/>
      <c r="AF28" s="43"/>
      <c r="AG28" s="793" t="str">
        <f>IF(TITLE_DATE_PR_CHANGE="",IF(TITLE_DATE_PR="","",TITLE_DATE_PR),TITLE_DATE_PR_CHANGE)</f>
        <v/>
      </c>
      <c r="AH28" s="793"/>
      <c r="AI28" s="793"/>
      <c r="AJ28" s="793"/>
      <c r="AK28" s="793"/>
      <c r="AL28" s="793"/>
      <c r="AM28" s="793"/>
      <c r="AN28" s="793"/>
      <c r="AO28" s="793"/>
      <c r="AP28" s="793"/>
      <c r="AQ28" s="43"/>
      <c r="AR28" s="43"/>
      <c r="AS28" s="122"/>
      <c r="AT28" s="151"/>
      <c r="AU28" s="151"/>
      <c r="AV28" s="151"/>
      <c r="AW28" s="151"/>
      <c r="AX28" s="151"/>
      <c r="AY28" s="36">
        <v>0</v>
      </c>
    </row>
    <row r="29" s="36" customFormat="1" ht="18.75" hidden="1" customHeight="1" spans="1:51">
      <c r="A29" s="45"/>
      <c r="B29" s="45"/>
      <c r="C29" s="45"/>
      <c r="D29" s="45"/>
      <c r="E29" s="45"/>
      <c r="F29" s="45"/>
      <c r="G29" s="45"/>
      <c r="H29" s="45"/>
      <c r="I29" s="45"/>
      <c r="J29" s="45"/>
      <c r="K29" s="45"/>
      <c r="L29" s="1054"/>
      <c r="M29" s="45"/>
      <c r="N29" s="45"/>
      <c r="O29" s="45"/>
      <c r="S29" s="58" t="str">
        <f>"Номер документа об "&amp;IF(TITLE_DATE_PR_CHANGE="","утверждении","изменении")&amp;" тарифов"</f>
        <v>Номер документа об утверждении тарифов</v>
      </c>
      <c r="T29" s="58"/>
      <c r="U29" s="1088"/>
      <c r="V29" s="60" t="str">
        <f>IF(TITLE_NUMBER_PR_CHANGE="",IF(TITLE_NUMBER_PR="","",TITLE_NUMBER_PR),TITLE_NUMBER_PR_CHANGE)</f>
        <v/>
      </c>
      <c r="W29" s="60"/>
      <c r="X29" s="60"/>
      <c r="Y29" s="60"/>
      <c r="Z29" s="60"/>
      <c r="AA29" s="60"/>
      <c r="AB29" s="60"/>
      <c r="AC29" s="60"/>
      <c r="AD29" s="60"/>
      <c r="AE29" s="60"/>
      <c r="AF29" s="43"/>
      <c r="AG29" s="60" t="str">
        <f>IF(TITLE_NUMBER_PR_CHANGE="",IF(TITLE_NUMBER_PR="","",TITLE_NUMBER_PR),TITLE_NUMBER_PR_CHANGE)</f>
        <v/>
      </c>
      <c r="AH29" s="60"/>
      <c r="AI29" s="60"/>
      <c r="AJ29" s="60"/>
      <c r="AK29" s="60"/>
      <c r="AL29" s="60"/>
      <c r="AM29" s="60"/>
      <c r="AN29" s="60"/>
      <c r="AO29" s="60"/>
      <c r="AP29" s="60"/>
      <c r="AQ29" s="43"/>
      <c r="AR29" s="43"/>
      <c r="AS29" s="122"/>
      <c r="AT29" s="151"/>
      <c r="AU29" s="151"/>
      <c r="AV29" s="151"/>
      <c r="AW29" s="151"/>
      <c r="AX29" s="151"/>
      <c r="AY29" s="36">
        <v>0</v>
      </c>
    </row>
    <row r="30" s="36" customFormat="1" ht="18.75" hidden="1" customHeight="1" spans="1:51">
      <c r="A30" s="45"/>
      <c r="B30" s="45"/>
      <c r="C30" s="45"/>
      <c r="D30" s="45"/>
      <c r="E30" s="45"/>
      <c r="F30" s="45"/>
      <c r="G30" s="45"/>
      <c r="H30" s="45"/>
      <c r="I30" s="45"/>
      <c r="J30" s="45"/>
      <c r="K30" s="45"/>
      <c r="L30" s="1054"/>
      <c r="M30" s="45"/>
      <c r="N30" s="45"/>
      <c r="O30" s="45"/>
      <c r="S30" s="58" t="s">
        <v>43</v>
      </c>
      <c r="T30" s="58"/>
      <c r="U30" s="1088"/>
      <c r="V30" s="60" t="str">
        <f>IF(TITLE_IST_PUB_CHANGE="",IF(TITLE_IST_PUB="","",TITLE_IST_PUB),TITLE_IST_PUB_CHANGE)</f>
        <v/>
      </c>
      <c r="W30" s="60"/>
      <c r="X30" s="60"/>
      <c r="Y30" s="60"/>
      <c r="Z30" s="60"/>
      <c r="AA30" s="60"/>
      <c r="AB30" s="60"/>
      <c r="AC30" s="60"/>
      <c r="AD30" s="60"/>
      <c r="AE30" s="60"/>
      <c r="AF30" s="43"/>
      <c r="AG30" s="60" t="str">
        <f>IF(TITLE_IST_PUB_CHANGE="",IF(TITLE_IST_PUB="","",TITLE_IST_PUB),TITLE_IST_PUB_CHANGE)</f>
        <v/>
      </c>
      <c r="AH30" s="60"/>
      <c r="AI30" s="60"/>
      <c r="AJ30" s="60"/>
      <c r="AK30" s="60"/>
      <c r="AL30" s="60"/>
      <c r="AM30" s="60"/>
      <c r="AN30" s="60"/>
      <c r="AO30" s="60"/>
      <c r="AP30" s="60"/>
      <c r="AQ30" s="43"/>
      <c r="AR30" s="43"/>
      <c r="AS30" s="122"/>
      <c r="AT30" s="151"/>
      <c r="AU30" s="151"/>
      <c r="AV30" s="151"/>
      <c r="AW30" s="151"/>
      <c r="AX30" s="151"/>
      <c r="AY30" s="36">
        <v>0</v>
      </c>
    </row>
    <row r="31" hidden="1" customHeight="1" spans="17:51">
      <c r="Q31" s="51"/>
      <c r="R31" s="51"/>
      <c r="S31" s="52"/>
      <c r="T31" s="53"/>
      <c r="U31" s="53"/>
      <c r="V31" s="56"/>
      <c r="W31" s="56"/>
      <c r="X31" s="56"/>
      <c r="Y31" s="56"/>
      <c r="Z31" s="56"/>
      <c r="AA31" s="56"/>
      <c r="AB31" s="56"/>
      <c r="AC31" s="56"/>
      <c r="AD31" s="56"/>
      <c r="AE31" s="56"/>
      <c r="AF31" s="56"/>
      <c r="AG31" s="56"/>
      <c r="AH31" s="56"/>
      <c r="AI31" s="56"/>
      <c r="AJ31" s="56"/>
      <c r="AK31" s="56"/>
      <c r="AL31" s="56"/>
      <c r="AM31" s="56"/>
      <c r="AN31" s="56"/>
      <c r="AO31" s="56"/>
      <c r="AP31" s="56"/>
      <c r="AQ31" s="56"/>
      <c r="AY31" s="43">
        <v>0</v>
      </c>
    </row>
    <row r="32" s="36" customFormat="1" ht="18.75" hidden="1" customHeight="1" spans="1:51">
      <c r="A32" s="45"/>
      <c r="B32" s="45"/>
      <c r="C32" s="45"/>
      <c r="D32" s="45"/>
      <c r="E32" s="45"/>
      <c r="F32" s="45"/>
      <c r="G32" s="45"/>
      <c r="H32" s="45"/>
      <c r="I32" s="45"/>
      <c r="J32" s="45"/>
      <c r="K32" s="45"/>
      <c r="L32" s="1054"/>
      <c r="M32" s="45"/>
      <c r="N32" s="45"/>
      <c r="O32" s="45"/>
      <c r="S32" s="58" t="str">
        <f>"Дата подачи заявления об "&amp;IF(TITLE_DATE_PR_CHANGE="","утверждении","изменении")&amp;" тарифов"</f>
        <v>Дата подачи заявления об утверждении тарифов</v>
      </c>
      <c r="T32" s="58"/>
      <c r="U32" s="1088"/>
      <c r="V32" s="793" t="str">
        <f>IF(TITLE_DATE_PR_CHANGE="",IF(TITLE_DATE_PR="","",TITLE_DATE_PR),TITLE_DATE_PR_CHANGE)</f>
        <v/>
      </c>
      <c r="W32" s="793"/>
      <c r="X32" s="793"/>
      <c r="Y32" s="793"/>
      <c r="Z32" s="793"/>
      <c r="AA32" s="793"/>
      <c r="AB32" s="793"/>
      <c r="AC32" s="793"/>
      <c r="AD32" s="793"/>
      <c r="AE32" s="793"/>
      <c r="AF32" s="43"/>
      <c r="AG32" s="793" t="str">
        <f>IF(TITLE_DATE_PR_CHANGE="",IF(TITLE_DATE_PR="","",TITLE_DATE_PR),TITLE_DATE_PR_CHANGE)</f>
        <v/>
      </c>
      <c r="AH32" s="793"/>
      <c r="AI32" s="793"/>
      <c r="AJ32" s="793"/>
      <c r="AK32" s="793"/>
      <c r="AL32" s="793"/>
      <c r="AM32" s="793"/>
      <c r="AN32" s="793"/>
      <c r="AO32" s="793"/>
      <c r="AP32" s="793"/>
      <c r="AQ32" s="43"/>
      <c r="AR32" s="43"/>
      <c r="AS32" s="122"/>
      <c r="AT32" s="151"/>
      <c r="AU32" s="151"/>
      <c r="AV32" s="151"/>
      <c r="AW32" s="151"/>
      <c r="AX32" s="151"/>
      <c r="AY32" s="36">
        <v>0</v>
      </c>
    </row>
    <row r="33" s="36" customFormat="1" ht="18.75" hidden="1" customHeight="1" spans="1:51">
      <c r="A33" s="45"/>
      <c r="B33" s="45"/>
      <c r="C33" s="45"/>
      <c r="D33" s="45"/>
      <c r="E33" s="45"/>
      <c r="F33" s="45"/>
      <c r="G33" s="45"/>
      <c r="H33" s="45"/>
      <c r="I33" s="45"/>
      <c r="J33" s="45"/>
      <c r="K33" s="45"/>
      <c r="L33" s="1054"/>
      <c r="M33" s="45"/>
      <c r="N33" s="45"/>
      <c r="O33" s="45"/>
      <c r="S33" s="58" t="str">
        <f>"Номер подачи заявления об "&amp;IF(TITLE_DATE_PR_CHANGE="","утверждении","изменении")&amp;" тарифов"</f>
        <v>Номер подачи заявления об утверждении тарифов</v>
      </c>
      <c r="T33" s="58"/>
      <c r="U33" s="1088"/>
      <c r="V33" s="60" t="str">
        <f>IF(TITLE_NUMBER_PR_CHANGE="",IF(TITLE_NUMBER_PR="","",TITLE_NUMBER_PR),TITLE_NUMBER_PR_CHANGE)</f>
        <v/>
      </c>
      <c r="W33" s="60"/>
      <c r="X33" s="60"/>
      <c r="Y33" s="60"/>
      <c r="Z33" s="60"/>
      <c r="AA33" s="60"/>
      <c r="AB33" s="60"/>
      <c r="AC33" s="60"/>
      <c r="AD33" s="60"/>
      <c r="AE33" s="60"/>
      <c r="AF33" s="43"/>
      <c r="AG33" s="60" t="str">
        <f>IF(TITLE_NUMBER_PR_CHANGE="",IF(TITLE_NUMBER_PR="","",TITLE_NUMBER_PR),TITLE_NUMBER_PR_CHANGE)</f>
        <v/>
      </c>
      <c r="AH33" s="60"/>
      <c r="AI33" s="60"/>
      <c r="AJ33" s="60"/>
      <c r="AK33" s="60"/>
      <c r="AL33" s="60"/>
      <c r="AM33" s="60"/>
      <c r="AN33" s="60"/>
      <c r="AO33" s="60"/>
      <c r="AP33" s="60"/>
      <c r="AQ33" s="43"/>
      <c r="AR33" s="43"/>
      <c r="AS33" s="122"/>
      <c r="AT33" s="151"/>
      <c r="AU33" s="151"/>
      <c r="AV33" s="151"/>
      <c r="AW33" s="151"/>
      <c r="AX33" s="151"/>
      <c r="AY33" s="36">
        <v>0</v>
      </c>
    </row>
    <row r="34" s="36" customFormat="1" ht="1.05" customHeight="1" spans="1:51">
      <c r="A34" s="45"/>
      <c r="B34" s="45"/>
      <c r="C34" s="45"/>
      <c r="D34" s="45"/>
      <c r="E34" s="45"/>
      <c r="F34" s="45"/>
      <c r="G34" s="45"/>
      <c r="H34" s="45"/>
      <c r="I34" s="45"/>
      <c r="J34" s="45"/>
      <c r="K34" s="45"/>
      <c r="L34" s="1054"/>
      <c r="M34" s="45"/>
      <c r="N34" s="45"/>
      <c r="O34" s="45"/>
      <c r="S34" s="43"/>
      <c r="T34" s="43"/>
      <c r="U34" s="61"/>
      <c r="V34" s="43"/>
      <c r="W34" s="43"/>
      <c r="X34" s="43"/>
      <c r="Y34" s="43"/>
      <c r="Z34" s="43"/>
      <c r="AA34" s="43"/>
      <c r="AB34" s="43"/>
      <c r="AC34" s="43"/>
      <c r="AD34" s="43"/>
      <c r="AE34" s="43"/>
      <c r="AF34" s="44" t="s">
        <v>419</v>
      </c>
      <c r="AG34" s="43"/>
      <c r="AH34" s="43"/>
      <c r="AI34" s="43"/>
      <c r="AJ34" s="43"/>
      <c r="AK34" s="43"/>
      <c r="AL34" s="43"/>
      <c r="AM34" s="43"/>
      <c r="AN34" s="43"/>
      <c r="AO34" s="43"/>
      <c r="AP34" s="43"/>
      <c r="AQ34" s="44" t="s">
        <v>419</v>
      </c>
      <c r="AT34" s="151"/>
      <c r="AU34" s="151"/>
      <c r="AV34" s="151"/>
      <c r="AW34" s="151"/>
      <c r="AX34" s="151"/>
      <c r="AY34" s="36">
        <v>1</v>
      </c>
    </row>
    <row r="35" ht="14.7" customHeight="1" spans="17:51">
      <c r="Q35" s="51"/>
      <c r="R35" s="51"/>
      <c r="S35" s="52"/>
      <c r="T35" s="53"/>
      <c r="U35" s="62"/>
      <c r="V35" s="63"/>
      <c r="W35" s="63"/>
      <c r="X35" s="63"/>
      <c r="Y35" s="63"/>
      <c r="Z35" s="63"/>
      <c r="AA35" s="63"/>
      <c r="AB35" s="63"/>
      <c r="AC35" s="63"/>
      <c r="AD35" s="63"/>
      <c r="AE35" s="63"/>
      <c r="AF35" s="63"/>
      <c r="AG35" s="63"/>
      <c r="AH35" s="63"/>
      <c r="AI35" s="63"/>
      <c r="AJ35" s="63"/>
      <c r="AK35" s="63"/>
      <c r="AL35" s="63"/>
      <c r="AM35" s="63"/>
      <c r="AN35" s="63"/>
      <c r="AO35" s="63"/>
      <c r="AP35" s="63"/>
      <c r="AQ35" s="63"/>
      <c r="AY35" s="43">
        <v>14</v>
      </c>
    </row>
    <row r="36" ht="14.7" customHeight="1" spans="17:51">
      <c r="Q36" s="51"/>
      <c r="R36" s="51"/>
      <c r="S36" s="64" t="s">
        <v>296</v>
      </c>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t="s">
        <v>297</v>
      </c>
      <c r="AY36" s="43">
        <v>14</v>
      </c>
    </row>
    <row r="37" ht="14.7" customHeight="1" spans="17:51">
      <c r="Q37" s="51"/>
      <c r="R37" s="51"/>
      <c r="S37" s="65" t="s">
        <v>89</v>
      </c>
      <c r="T37" s="66" t="s">
        <v>420</v>
      </c>
      <c r="U37" s="67"/>
      <c r="V37" s="68" t="s">
        <v>421</v>
      </c>
      <c r="W37" s="69"/>
      <c r="X37" s="69"/>
      <c r="Y37" s="69"/>
      <c r="Z37" s="69"/>
      <c r="AA37" s="69"/>
      <c r="AB37" s="69"/>
      <c r="AC37" s="69"/>
      <c r="AD37" s="69"/>
      <c r="AE37" s="123"/>
      <c r="AF37" s="124" t="s">
        <v>422</v>
      </c>
      <c r="AG37" s="68" t="s">
        <v>421</v>
      </c>
      <c r="AH37" s="69"/>
      <c r="AI37" s="69"/>
      <c r="AJ37" s="69"/>
      <c r="AK37" s="69"/>
      <c r="AL37" s="69"/>
      <c r="AM37" s="69"/>
      <c r="AN37" s="69"/>
      <c r="AO37" s="69"/>
      <c r="AP37" s="123"/>
      <c r="AQ37" s="124" t="s">
        <v>423</v>
      </c>
      <c r="AR37" s="125" t="s">
        <v>424</v>
      </c>
      <c r="AS37" s="64"/>
      <c r="AY37" s="43">
        <v>14</v>
      </c>
    </row>
    <row r="38" s="43" customFormat="1" ht="19.95" customHeight="1" spans="1:51">
      <c r="A38" s="38"/>
      <c r="B38" s="38"/>
      <c r="C38" s="38"/>
      <c r="D38" s="38"/>
      <c r="E38" s="38"/>
      <c r="F38" s="38"/>
      <c r="G38" s="38"/>
      <c r="H38" s="38"/>
      <c r="I38" s="38"/>
      <c r="J38" s="38"/>
      <c r="K38" s="38"/>
      <c r="L38" s="48"/>
      <c r="M38" s="39"/>
      <c r="N38" s="39"/>
      <c r="O38" s="39"/>
      <c r="P38" s="40"/>
      <c r="Q38" s="51"/>
      <c r="R38" s="51"/>
      <c r="S38" s="65"/>
      <c r="T38" s="66"/>
      <c r="U38" s="70"/>
      <c r="V38" s="64" t="s">
        <v>526</v>
      </c>
      <c r="W38" s="1130" t="s">
        <v>527</v>
      </c>
      <c r="X38" s="1130"/>
      <c r="Y38" s="1130"/>
      <c r="Z38" s="1130" t="s">
        <v>528</v>
      </c>
      <c r="AA38" s="1130"/>
      <c r="AB38" s="1130"/>
      <c r="AC38" s="903" t="s">
        <v>428</v>
      </c>
      <c r="AD38" s="1100"/>
      <c r="AE38" s="904"/>
      <c r="AF38" s="129"/>
      <c r="AG38" s="64" t="s">
        <v>526</v>
      </c>
      <c r="AH38" s="1130" t="s">
        <v>527</v>
      </c>
      <c r="AI38" s="1130"/>
      <c r="AJ38" s="1130"/>
      <c r="AK38" s="1130" t="s">
        <v>528</v>
      </c>
      <c r="AL38" s="1130"/>
      <c r="AM38" s="1130"/>
      <c r="AN38" s="903" t="s">
        <v>428</v>
      </c>
      <c r="AO38" s="1100"/>
      <c r="AP38" s="904"/>
      <c r="AQ38" s="129"/>
      <c r="AR38" s="130"/>
      <c r="AS38" s="64"/>
      <c r="AT38" s="44"/>
      <c r="AU38" s="44"/>
      <c r="AV38" s="44"/>
      <c r="AW38" s="44"/>
      <c r="AX38" s="44"/>
      <c r="AY38" s="43">
        <v>19</v>
      </c>
    </row>
    <row r="39" ht="19.95" customHeight="1" spans="17:51">
      <c r="Q39" s="51"/>
      <c r="R39" s="51"/>
      <c r="S39" s="65"/>
      <c r="T39" s="66"/>
      <c r="U39" s="70"/>
      <c r="V39" s="64"/>
      <c r="W39" s="1130" t="s">
        <v>529</v>
      </c>
      <c r="X39" s="1130" t="s">
        <v>530</v>
      </c>
      <c r="Y39" s="1130"/>
      <c r="Z39" s="1130" t="s">
        <v>531</v>
      </c>
      <c r="AA39" s="1130" t="s">
        <v>530</v>
      </c>
      <c r="AB39" s="1130"/>
      <c r="AC39" s="907"/>
      <c r="AD39" s="1103"/>
      <c r="AE39" s="908"/>
      <c r="AF39" s="129"/>
      <c r="AG39" s="64"/>
      <c r="AH39" s="1130" t="s">
        <v>529</v>
      </c>
      <c r="AI39" s="1130" t="s">
        <v>530</v>
      </c>
      <c r="AJ39" s="1130"/>
      <c r="AK39" s="1130" t="s">
        <v>531</v>
      </c>
      <c r="AL39" s="1130" t="s">
        <v>530</v>
      </c>
      <c r="AM39" s="1130"/>
      <c r="AN39" s="907"/>
      <c r="AO39" s="1103"/>
      <c r="AP39" s="908"/>
      <c r="AQ39" s="129"/>
      <c r="AR39" s="130"/>
      <c r="AS39" s="64"/>
      <c r="AY39" s="43">
        <v>19</v>
      </c>
    </row>
    <row r="40" ht="61.95" customHeight="1" spans="1:51">
      <c r="A40" s="45"/>
      <c r="B40" s="45" t="s">
        <v>133</v>
      </c>
      <c r="C40" s="45" t="s">
        <v>134</v>
      </c>
      <c r="D40" s="45" t="s">
        <v>135</v>
      </c>
      <c r="E40" s="1054" t="s">
        <v>429</v>
      </c>
      <c r="F40" s="1054" t="s">
        <v>430</v>
      </c>
      <c r="G40" s="1054" t="s">
        <v>431</v>
      </c>
      <c r="H40" s="1054"/>
      <c r="I40" s="1054" t="s">
        <v>484</v>
      </c>
      <c r="J40" s="1054" t="s">
        <v>434</v>
      </c>
      <c r="K40" s="1054" t="s">
        <v>485</v>
      </c>
      <c r="L40" s="1054" t="s">
        <v>414</v>
      </c>
      <c r="Q40" s="51"/>
      <c r="R40" s="51"/>
      <c r="S40" s="65"/>
      <c r="T40" s="66"/>
      <c r="U40" s="72"/>
      <c r="V40" s="64"/>
      <c r="W40" s="1130"/>
      <c r="X40" s="1130" t="s">
        <v>532</v>
      </c>
      <c r="Y40" s="1130" t="s">
        <v>533</v>
      </c>
      <c r="Z40" s="1130"/>
      <c r="AA40" s="1130" t="s">
        <v>534</v>
      </c>
      <c r="AB40" s="1130" t="s">
        <v>535</v>
      </c>
      <c r="AC40" s="131" t="s">
        <v>438</v>
      </c>
      <c r="AD40" s="132" t="s">
        <v>439</v>
      </c>
      <c r="AE40" s="133"/>
      <c r="AF40" s="134"/>
      <c r="AG40" s="64"/>
      <c r="AH40" s="1130"/>
      <c r="AI40" s="1130" t="s">
        <v>532</v>
      </c>
      <c r="AJ40" s="1130" t="s">
        <v>533</v>
      </c>
      <c r="AK40" s="1130"/>
      <c r="AL40" s="1130" t="s">
        <v>534</v>
      </c>
      <c r="AM40" s="1130" t="s">
        <v>535</v>
      </c>
      <c r="AN40" s="131" t="s">
        <v>438</v>
      </c>
      <c r="AO40" s="132" t="s">
        <v>439</v>
      </c>
      <c r="AP40" s="133"/>
      <c r="AQ40" s="134"/>
      <c r="AR40" s="135"/>
      <c r="AS40" s="64"/>
      <c r="AY40" s="43">
        <v>59</v>
      </c>
    </row>
    <row r="41" s="37" customFormat="1" ht="11.25" hidden="1" customHeight="1" spans="1:51">
      <c r="A41" s="45"/>
      <c r="B41" s="45"/>
      <c r="C41" s="45"/>
      <c r="D41" s="45"/>
      <c r="E41" s="45"/>
      <c r="F41" s="45"/>
      <c r="G41" s="45"/>
      <c r="H41" s="45"/>
      <c r="I41" s="45"/>
      <c r="J41" s="45"/>
      <c r="K41" s="45"/>
      <c r="L41" s="1054"/>
      <c r="M41" s="39"/>
      <c r="N41" s="39"/>
      <c r="O41" s="39"/>
      <c r="P41" s="74"/>
      <c r="Q41" s="75"/>
      <c r="R41" s="76">
        <v>1</v>
      </c>
      <c r="S41" s="77" t="s">
        <v>107</v>
      </c>
      <c r="T41" s="78" t="s">
        <v>108</v>
      </c>
      <c r="U41" s="79" t="str">
        <f ca="1">OFFSET(U41,0,-1)</f>
        <v>2</v>
      </c>
      <c r="V41" s="80">
        <f ca="1">OFFSET(V41,0,-1)+1</f>
        <v>3</v>
      </c>
      <c r="W41" s="80"/>
      <c r="X41" s="80"/>
      <c r="Y41" s="80"/>
      <c r="Z41" s="80"/>
      <c r="AA41" s="80"/>
      <c r="AB41" s="80">
        <f ca="1">OFFSET(AB41,0,-1)+1</f>
        <v>1</v>
      </c>
      <c r="AC41" s="80">
        <f ca="1">OFFSET(AC41,0,-1)+1</f>
        <v>2</v>
      </c>
      <c r="AD41" s="80">
        <f ca="1">OFFSET(AD41,0,-1)+1</f>
        <v>3</v>
      </c>
      <c r="AE41" s="80"/>
      <c r="AF41" s="80">
        <f ca="1">OFFSET(AF41,0,-2)+1</f>
        <v>4</v>
      </c>
      <c r="AG41" s="80">
        <f ca="1">OFFSET(AG41,0,-1)+1</f>
        <v>5</v>
      </c>
      <c r="AH41" s="80"/>
      <c r="AI41" s="80"/>
      <c r="AJ41" s="80"/>
      <c r="AK41" s="80"/>
      <c r="AL41" s="80"/>
      <c r="AM41" s="80">
        <f ca="1">OFFSET(AM41,0,-1)+1</f>
        <v>1</v>
      </c>
      <c r="AN41" s="80">
        <f ca="1">OFFSET(AN41,0,-1)+1</f>
        <v>2</v>
      </c>
      <c r="AO41" s="80">
        <f ca="1">OFFSET(AO41,0,-1)+1</f>
        <v>3</v>
      </c>
      <c r="AP41" s="80"/>
      <c r="AQ41" s="80">
        <f ca="1">OFFSET(AQ41,0,-2)+1</f>
        <v>4</v>
      </c>
      <c r="AR41" s="79">
        <f ca="1">OFFSET(AR41,0,-1)</f>
        <v>4</v>
      </c>
      <c r="AS41" s="80">
        <f ca="1">OFFSET(AS41,0,-1)+1</f>
        <v>5</v>
      </c>
      <c r="AT41" s="44"/>
      <c r="AU41" s="44"/>
      <c r="AV41" s="44"/>
      <c r="AW41" s="44"/>
      <c r="AX41" s="44"/>
      <c r="AY41" s="37">
        <v>0</v>
      </c>
    </row>
    <row r="42" ht="24" customHeight="1" spans="1:51">
      <c r="A42" s="46" t="s">
        <v>252</v>
      </c>
      <c r="B42" s="46"/>
      <c r="C42" s="46"/>
      <c r="D42" s="46"/>
      <c r="E42" s="1052">
        <v>1</v>
      </c>
      <c r="F42" s="46"/>
      <c r="G42" s="46"/>
      <c r="H42" s="46"/>
      <c r="I42" s="46"/>
      <c r="J42" s="46"/>
      <c r="K42" s="46"/>
      <c r="L42" s="1054"/>
      <c r="M42" s="47"/>
      <c r="N42" s="47"/>
      <c r="O42" s="47"/>
      <c r="Q42" s="81"/>
      <c r="R42" s="82"/>
      <c r="S42" s="65">
        <f>INDEX(PT_DIFFERENTIATION_NUM_NTAR,MATCH(A42,PT_DIFFERENTIATION_NTAR_ID,0))</f>
        <v>0</v>
      </c>
      <c r="T42" s="83" t="s">
        <v>121</v>
      </c>
      <c r="U42" s="84"/>
      <c r="V42" s="1090"/>
      <c r="W42" s="1061"/>
      <c r="X42" s="1061"/>
      <c r="Y42" s="1061"/>
      <c r="Z42" s="1061"/>
      <c r="AA42" s="1061"/>
      <c r="AB42" s="1061"/>
      <c r="AC42" s="1061"/>
      <c r="AD42" s="1061"/>
      <c r="AE42" s="1061"/>
      <c r="AF42" s="1089"/>
      <c r="AG42" s="1090" t="str">
        <f>INDEX(PT_DIFFERENTIATION_NTAR,MATCH(A42,PT_DIFFERENTIATION_NTAR_ID,0))</f>
        <v/>
      </c>
      <c r="AH42" s="1061"/>
      <c r="AI42" s="1061"/>
      <c r="AJ42" s="1061"/>
      <c r="AK42" s="1061"/>
      <c r="AL42" s="1061"/>
      <c r="AM42" s="1061"/>
      <c r="AN42" s="1061"/>
      <c r="AO42" s="1061"/>
      <c r="AP42" s="1061"/>
      <c r="AQ42" s="1061"/>
      <c r="AR42" s="1089"/>
      <c r="AS4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51"/>
      <c r="AV42" s="151" t="str">
        <f t="shared" ref="AV42:AV54" si="1">IF(T42="","",T42)</f>
        <v>Наименование тарифа</v>
      </c>
      <c r="AW42" s="151"/>
      <c r="AX42" s="151"/>
      <c r="AY42" s="43">
        <v>23</v>
      </c>
    </row>
    <row r="43" ht="24" customHeight="1" spans="1:51">
      <c r="A43" s="46" t="s">
        <v>252</v>
      </c>
      <c r="B43" s="46" t="s">
        <v>253</v>
      </c>
      <c r="C43" s="46"/>
      <c r="D43" s="46"/>
      <c r="E43" s="1053"/>
      <c r="F43" s="1052">
        <v>1</v>
      </c>
      <c r="G43" s="46"/>
      <c r="H43" s="46"/>
      <c r="I43" s="46"/>
      <c r="J43" s="46"/>
      <c r="K43" s="46"/>
      <c r="L43" s="1054"/>
      <c r="M43" s="47"/>
      <c r="N43" s="47"/>
      <c r="O43" s="47"/>
      <c r="P43" s="86"/>
      <c r="Q43" s="87"/>
      <c r="R43" s="88"/>
      <c r="S43" s="65" t="str">
        <f>INDEX(PT_DIFFERENTIATION_NUM_TER,MATCH(B43,PT_DIFFERENTIATION_TER_ID,0))</f>
        <v>.</v>
      </c>
      <c r="T43" s="89" t="s">
        <v>393</v>
      </c>
      <c r="U43" s="84"/>
      <c r="V43" s="1090"/>
      <c r="W43" s="1061"/>
      <c r="X43" s="1061"/>
      <c r="Y43" s="1061"/>
      <c r="Z43" s="1061"/>
      <c r="AA43" s="1061"/>
      <c r="AB43" s="1061"/>
      <c r="AC43" s="1061"/>
      <c r="AD43" s="1061"/>
      <c r="AE43" s="1061"/>
      <c r="AF43" s="1089"/>
      <c r="AG43" s="1090" t="str">
        <f>INDEX(PT_DIFFERENTIATION_TER,MATCH(B43,PT_DIFFERENTIATION_TER_ID,0))</f>
        <v/>
      </c>
      <c r="AH43" s="1061"/>
      <c r="AI43" s="1061"/>
      <c r="AJ43" s="1061"/>
      <c r="AK43" s="1061"/>
      <c r="AL43" s="1061"/>
      <c r="AM43" s="1061"/>
      <c r="AN43" s="1061"/>
      <c r="AO43" s="1061"/>
      <c r="AP43" s="1061"/>
      <c r="AQ43" s="1061"/>
      <c r="AR43" s="1089"/>
      <c r="AS43" s="136" t="s">
        <v>394</v>
      </c>
      <c r="AU43" s="151"/>
      <c r="AV43" s="151" t="str">
        <f t="shared" si="1"/>
        <v>Территория действия тарифа</v>
      </c>
      <c r="AW43" s="151"/>
      <c r="AX43" s="151"/>
      <c r="AY43" s="43">
        <v>23</v>
      </c>
    </row>
    <row r="44" ht="24" customHeight="1" spans="1:51">
      <c r="A44" s="46" t="s">
        <v>252</v>
      </c>
      <c r="B44" s="46" t="s">
        <v>253</v>
      </c>
      <c r="C44" s="46" t="s">
        <v>254</v>
      </c>
      <c r="D44" s="46"/>
      <c r="E44" s="1053"/>
      <c r="F44" s="1053"/>
      <c r="G44" s="1052">
        <v>1</v>
      </c>
      <c r="H44" s="46"/>
      <c r="I44" s="46"/>
      <c r="J44" s="46"/>
      <c r="K44" s="46"/>
      <c r="L44" s="1054"/>
      <c r="M44" s="47"/>
      <c r="N44" s="47"/>
      <c r="O44" s="47"/>
      <c r="P44" s="90"/>
      <c r="Q44" s="87"/>
      <c r="R44" s="88"/>
      <c r="S44" s="65" t="str">
        <f>INDEX(PT_DIFFERENTIATION_NUM_CS,MATCH(C44,PT_DIFFERENTIATION_CS_ID,0))</f>
        <v>..</v>
      </c>
      <c r="T44" s="91" t="s">
        <v>524</v>
      </c>
      <c r="U44" s="84"/>
      <c r="V44" s="1090"/>
      <c r="W44" s="1061"/>
      <c r="X44" s="1061"/>
      <c r="Y44" s="1061"/>
      <c r="Z44" s="1061"/>
      <c r="AA44" s="1061"/>
      <c r="AB44" s="1061"/>
      <c r="AC44" s="1061"/>
      <c r="AD44" s="1061"/>
      <c r="AE44" s="1061"/>
      <c r="AF44" s="1089"/>
      <c r="AG44" s="1090" t="str">
        <f>INDEX(PT_DIFFERENTIATION_CS,MATCH(C44,PT_DIFFERENTIATION_CS_ID,0))</f>
        <v/>
      </c>
      <c r="AH44" s="1061"/>
      <c r="AI44" s="1061"/>
      <c r="AJ44" s="1061"/>
      <c r="AK44" s="1061"/>
      <c r="AL44" s="1061"/>
      <c r="AM44" s="1061"/>
      <c r="AN44" s="1061"/>
      <c r="AO44" s="1061"/>
      <c r="AP44" s="1061"/>
      <c r="AQ44" s="1061"/>
      <c r="AR44" s="1089"/>
      <c r="AS44" s="136" t="s">
        <v>525</v>
      </c>
      <c r="AU44" s="151"/>
      <c r="AV44" s="151" t="str">
        <f t="shared" si="1"/>
        <v>Наименование централизованной системы горячего водоснабжения</v>
      </c>
      <c r="AW44" s="151"/>
      <c r="AX44" s="151"/>
      <c r="AY44" s="43">
        <v>23</v>
      </c>
    </row>
    <row r="45" ht="24" customHeight="1" spans="1:51">
      <c r="A45" s="46" t="s">
        <v>252</v>
      </c>
      <c r="B45" s="46" t="s">
        <v>253</v>
      </c>
      <c r="C45" s="46" t="s">
        <v>254</v>
      </c>
      <c r="D45" s="46" t="s">
        <v>537</v>
      </c>
      <c r="E45" s="1053"/>
      <c r="F45" s="1053"/>
      <c r="G45" s="1053"/>
      <c r="H45" s="1053"/>
      <c r="I45" s="229" t="str">
        <f>S44&amp;".1"</f>
        <v>...1</v>
      </c>
      <c r="J45" s="46"/>
      <c r="K45" s="46"/>
      <c r="L45" s="1054"/>
      <c r="P45" s="93">
        <v>1</v>
      </c>
      <c r="Q45" s="93"/>
      <c r="R45" s="94"/>
      <c r="S45" s="65" t="str">
        <f>$I45</f>
        <v>...1</v>
      </c>
      <c r="T45" s="95" t="s">
        <v>477</v>
      </c>
      <c r="U45" s="84"/>
      <c r="V45" s="1126"/>
      <c r="W45" s="1127"/>
      <c r="X45" s="1127"/>
      <c r="Y45" s="1127"/>
      <c r="Z45" s="1127"/>
      <c r="AA45" s="1127"/>
      <c r="AB45" s="1127"/>
      <c r="AC45" s="1127"/>
      <c r="AD45" s="1127"/>
      <c r="AE45" s="1127"/>
      <c r="AF45" s="1131"/>
      <c r="AG45" s="831"/>
      <c r="AH45" s="1134"/>
      <c r="AI45" s="1134"/>
      <c r="AJ45" s="1134"/>
      <c r="AK45" s="1134"/>
      <c r="AL45" s="1134"/>
      <c r="AM45" s="1134"/>
      <c r="AN45" s="1134"/>
      <c r="AO45" s="1134"/>
      <c r="AP45" s="1134"/>
      <c r="AQ45" s="1134"/>
      <c r="AR45" s="1135"/>
      <c r="AS45" s="136" t="s">
        <v>478</v>
      </c>
      <c r="AU45" s="151"/>
      <c r="AV45" s="151" t="str">
        <f t="shared" si="1"/>
        <v>Наименование признака дифференциации</v>
      </c>
      <c r="AW45" s="151"/>
      <c r="AX45" s="151"/>
      <c r="AY45" s="43">
        <v>23</v>
      </c>
    </row>
    <row r="46" ht="24" customHeight="1" spans="1:51">
      <c r="A46" s="46" t="s">
        <v>252</v>
      </c>
      <c r="B46" s="46" t="s">
        <v>253</v>
      </c>
      <c r="C46" s="46" t="s">
        <v>254</v>
      </c>
      <c r="D46" s="46" t="s">
        <v>537</v>
      </c>
      <c r="E46" s="1053"/>
      <c r="F46" s="1053"/>
      <c r="G46" s="1053"/>
      <c r="H46" s="1053"/>
      <c r="I46" s="1058"/>
      <c r="J46" s="229" t="str">
        <f>I45&amp;".1"</f>
        <v>...1.1</v>
      </c>
      <c r="K46" s="46"/>
      <c r="L46" s="1054" t="s">
        <v>402</v>
      </c>
      <c r="P46" s="93"/>
      <c r="Q46" s="93">
        <v>1</v>
      </c>
      <c r="R46" s="97"/>
      <c r="S46" s="65" t="str">
        <f>$J46</f>
        <v>...1.1</v>
      </c>
      <c r="T46" s="98" t="s">
        <v>403</v>
      </c>
      <c r="U46" s="84"/>
      <c r="V46" s="99"/>
      <c r="W46" s="100"/>
      <c r="X46" s="100"/>
      <c r="Y46" s="100"/>
      <c r="Z46" s="100"/>
      <c r="AA46" s="100"/>
      <c r="AB46" s="100"/>
      <c r="AC46" s="100"/>
      <c r="AD46" s="100"/>
      <c r="AE46" s="100"/>
      <c r="AF46" s="137"/>
      <c r="AG46" s="99"/>
      <c r="AH46" s="100"/>
      <c r="AI46" s="100"/>
      <c r="AJ46" s="100"/>
      <c r="AK46" s="100"/>
      <c r="AL46" s="100"/>
      <c r="AM46" s="100"/>
      <c r="AN46" s="100"/>
      <c r="AO46" s="100"/>
      <c r="AP46" s="100"/>
      <c r="AQ46" s="100"/>
      <c r="AR46" s="137"/>
      <c r="AS46" s="1136" t="s">
        <v>479</v>
      </c>
      <c r="AU46" s="151"/>
      <c r="AV46" s="151" t="str">
        <f t="shared" si="1"/>
        <v>Группа потребителей</v>
      </c>
      <c r="AW46" s="151"/>
      <c r="AX46" s="151"/>
      <c r="AY46" s="43">
        <v>23</v>
      </c>
    </row>
    <row r="47" ht="24" customHeight="1" spans="1:51">
      <c r="A47" s="46" t="s">
        <v>252</v>
      </c>
      <c r="B47" s="46" t="s">
        <v>253</v>
      </c>
      <c r="C47" s="46" t="s">
        <v>254</v>
      </c>
      <c r="D47" s="46" t="s">
        <v>537</v>
      </c>
      <c r="E47" s="1053"/>
      <c r="F47" s="1053"/>
      <c r="G47" s="1053"/>
      <c r="H47" s="1053"/>
      <c r="I47" s="1058"/>
      <c r="J47" s="1058"/>
      <c r="K47" s="229" t="str">
        <f>J46&amp;".1"</f>
        <v>...1.1.1</v>
      </c>
      <c r="L47" s="1054"/>
      <c r="P47" s="93"/>
      <c r="Q47" s="93"/>
      <c r="R47" s="97">
        <v>1</v>
      </c>
      <c r="S47" s="65" t="str">
        <f>$K47</f>
        <v>...1.1.1</v>
      </c>
      <c r="T47" s="1128"/>
      <c r="U47" s="84"/>
      <c r="V47" s="492"/>
      <c r="W47" s="492"/>
      <c r="X47" s="492"/>
      <c r="Y47" s="492"/>
      <c r="Z47" s="492"/>
      <c r="AA47" s="492"/>
      <c r="AB47" s="1132"/>
      <c r="AC47" s="1133"/>
      <c r="AD47" s="353" t="s">
        <v>66</v>
      </c>
      <c r="AE47" s="1133"/>
      <c r="AF47" s="353" t="s">
        <v>66</v>
      </c>
      <c r="AG47" s="102"/>
      <c r="AH47" s="102"/>
      <c r="AI47" s="102"/>
      <c r="AJ47" s="102"/>
      <c r="AK47" s="102"/>
      <c r="AL47" s="102"/>
      <c r="AM47" s="138"/>
      <c r="AN47" s="139"/>
      <c r="AO47" s="140" t="s">
        <v>66</v>
      </c>
      <c r="AP47" s="1137"/>
      <c r="AQ47" s="140" t="s">
        <v>19</v>
      </c>
      <c r="AR47" s="1138"/>
      <c r="AS47" s="11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 t="e">
        <f>STRCHECKDATE(V48:AR48)</f>
        <v>#NAME?</v>
      </c>
      <c r="AU47" s="151"/>
      <c r="AV47" s="151" t="str">
        <f t="shared" si="1"/>
        <v/>
      </c>
      <c r="AW47" s="151"/>
      <c r="AX47" s="151"/>
      <c r="AY47" s="43">
        <v>23</v>
      </c>
    </row>
    <row r="48" hidden="1" customHeight="1" spans="1:51">
      <c r="A48" s="46" t="s">
        <v>252</v>
      </c>
      <c r="B48" s="46" t="s">
        <v>253</v>
      </c>
      <c r="C48" s="46" t="s">
        <v>254</v>
      </c>
      <c r="D48" s="46" t="s">
        <v>537</v>
      </c>
      <c r="E48" s="1053"/>
      <c r="F48" s="1053"/>
      <c r="G48" s="1053"/>
      <c r="H48" s="1053"/>
      <c r="I48" s="1058"/>
      <c r="J48" s="1058"/>
      <c r="K48" s="229"/>
      <c r="L48" s="1054"/>
      <c r="P48" s="93"/>
      <c r="Q48" s="93"/>
      <c r="R48" s="97"/>
      <c r="S48" s="104"/>
      <c r="T48" s="84"/>
      <c r="U48" s="84"/>
      <c r="V48" s="492"/>
      <c r="W48" s="492"/>
      <c r="X48" s="492"/>
      <c r="Y48" s="492"/>
      <c r="Z48" s="492"/>
      <c r="AA48" s="492"/>
      <c r="AB48" s="142" t="str">
        <f>AC47&amp;"-"&amp;AE47</f>
        <v>-</v>
      </c>
      <c r="AC48" s="353"/>
      <c r="AD48" s="353"/>
      <c r="AE48" s="353"/>
      <c r="AF48" s="353"/>
      <c r="AG48" s="103"/>
      <c r="AH48" s="103"/>
      <c r="AI48" s="103"/>
      <c r="AJ48" s="103"/>
      <c r="AK48" s="103"/>
      <c r="AL48" s="103"/>
      <c r="AM48" s="142" t="str">
        <f>AN47&amp;"-"&amp;AP47</f>
        <v>-</v>
      </c>
      <c r="AN48" s="143"/>
      <c r="AO48" s="140"/>
      <c r="AP48" s="1140"/>
      <c r="AQ48" s="140"/>
      <c r="AR48" s="768"/>
      <c r="AS48" s="1139"/>
      <c r="AU48" s="151"/>
      <c r="AV48" s="151" t="str">
        <f t="shared" si="1"/>
        <v/>
      </c>
      <c r="AW48" s="151"/>
      <c r="AX48" s="151"/>
      <c r="AY48" s="43">
        <v>0</v>
      </c>
    </row>
    <row r="49" ht="21" customHeight="1" spans="1:51">
      <c r="A49" s="46" t="s">
        <v>252</v>
      </c>
      <c r="B49" s="46" t="s">
        <v>253</v>
      </c>
      <c r="C49" s="46" t="s">
        <v>254</v>
      </c>
      <c r="D49" s="46" t="s">
        <v>537</v>
      </c>
      <c r="E49" s="1053"/>
      <c r="F49" s="1053"/>
      <c r="G49" s="1053"/>
      <c r="H49" s="1053"/>
      <c r="I49" s="1058"/>
      <c r="J49" s="229"/>
      <c r="K49" s="46"/>
      <c r="L49" s="1054"/>
      <c r="P49" s="93"/>
      <c r="Q49" s="93"/>
      <c r="R49" s="94"/>
      <c r="S49" s="105"/>
      <c r="T49" s="108" t="s">
        <v>480</v>
      </c>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36" t="s">
        <v>481</v>
      </c>
      <c r="AU49" s="151"/>
      <c r="AV49" s="151" t="str">
        <f t="shared" si="1"/>
        <v>Добавить значение признака дифференциации</v>
      </c>
      <c r="AW49" s="151"/>
      <c r="AX49" s="151"/>
      <c r="AY49" s="43">
        <v>20</v>
      </c>
    </row>
    <row r="50" ht="22.05" customHeight="1" spans="1:51">
      <c r="A50" s="46" t="s">
        <v>252</v>
      </c>
      <c r="B50" s="46" t="s">
        <v>253</v>
      </c>
      <c r="C50" s="46" t="s">
        <v>254</v>
      </c>
      <c r="D50" s="46" t="s">
        <v>537</v>
      </c>
      <c r="E50" s="1053"/>
      <c r="F50" s="1053"/>
      <c r="G50" s="1053"/>
      <c r="H50" s="1053"/>
      <c r="I50" s="229"/>
      <c r="J50" s="46"/>
      <c r="K50" s="46"/>
      <c r="L50" s="1054"/>
      <c r="P50" s="93"/>
      <c r="Q50" s="93"/>
      <c r="R50" s="94"/>
      <c r="S50" s="105"/>
      <c r="T50" s="110" t="s">
        <v>408</v>
      </c>
      <c r="U50" s="107"/>
      <c r="V50" s="107"/>
      <c r="W50" s="107"/>
      <c r="X50" s="107"/>
      <c r="Y50" s="107"/>
      <c r="Z50" s="107"/>
      <c r="AA50" s="107"/>
      <c r="AB50" s="107"/>
      <c r="AC50" s="107"/>
      <c r="AD50" s="107"/>
      <c r="AE50" s="107"/>
      <c r="AF50" s="147"/>
      <c r="AG50" s="107"/>
      <c r="AH50" s="107"/>
      <c r="AI50" s="107"/>
      <c r="AJ50" s="107"/>
      <c r="AK50" s="107"/>
      <c r="AL50" s="107"/>
      <c r="AM50" s="107"/>
      <c r="AN50" s="107"/>
      <c r="AO50" s="107"/>
      <c r="AP50" s="107"/>
      <c r="AQ50" s="147"/>
      <c r="AR50" s="107"/>
      <c r="AS50" s="1141"/>
      <c r="AU50" s="151"/>
      <c r="AV50" s="151" t="str">
        <f t="shared" si="1"/>
        <v>Добавить группу потребителей</v>
      </c>
      <c r="AW50" s="151"/>
      <c r="AX50" s="151"/>
      <c r="AY50" s="43">
        <v>21</v>
      </c>
    </row>
    <row r="51" ht="22.05" customHeight="1" spans="1:51">
      <c r="A51" s="46" t="s">
        <v>252</v>
      </c>
      <c r="B51" s="46" t="s">
        <v>253</v>
      </c>
      <c r="C51" s="46" t="s">
        <v>254</v>
      </c>
      <c r="D51" s="46" t="s">
        <v>537</v>
      </c>
      <c r="E51" s="1053"/>
      <c r="F51" s="1053"/>
      <c r="G51" s="1053"/>
      <c r="H51" s="1052"/>
      <c r="I51" s="46"/>
      <c r="J51" s="46"/>
      <c r="K51" s="46"/>
      <c r="L51" s="1054"/>
      <c r="M51" s="47"/>
      <c r="N51" s="47"/>
      <c r="O51" s="38"/>
      <c r="P51" s="81"/>
      <c r="Q51" s="109"/>
      <c r="R51" s="82"/>
      <c r="S51" s="105"/>
      <c r="T51" s="821" t="s">
        <v>482</v>
      </c>
      <c r="U51" s="107"/>
      <c r="V51" s="107"/>
      <c r="W51" s="107"/>
      <c r="X51" s="107"/>
      <c r="Y51" s="107"/>
      <c r="Z51" s="107"/>
      <c r="AA51" s="107"/>
      <c r="AB51" s="107"/>
      <c r="AC51" s="107"/>
      <c r="AD51" s="107"/>
      <c r="AE51" s="107"/>
      <c r="AF51" s="147"/>
      <c r="AG51" s="107"/>
      <c r="AH51" s="107"/>
      <c r="AI51" s="107"/>
      <c r="AJ51" s="107"/>
      <c r="AK51" s="107"/>
      <c r="AL51" s="107"/>
      <c r="AM51" s="107"/>
      <c r="AN51" s="107"/>
      <c r="AO51" s="107"/>
      <c r="AP51" s="107"/>
      <c r="AQ51" s="147"/>
      <c r="AR51" s="107"/>
      <c r="AS51" s="148"/>
      <c r="AU51" s="151"/>
      <c r="AV51" s="151" t="str">
        <f t="shared" si="1"/>
        <v>Добавить наименование признака дифференциации</v>
      </c>
      <c r="AW51" s="151"/>
      <c r="AX51" s="151"/>
      <c r="AY51" s="43">
        <v>21</v>
      </c>
    </row>
    <row r="52" s="44" customFormat="1" hidden="1" customHeight="1" spans="1:51">
      <c r="A52" s="590" t="s">
        <v>252</v>
      </c>
      <c r="B52" s="590" t="s">
        <v>253</v>
      </c>
      <c r="C52" s="590"/>
      <c r="D52" s="590"/>
      <c r="E52" s="1053"/>
      <c r="F52" s="1052"/>
      <c r="G52" s="590"/>
      <c r="H52" s="590"/>
      <c r="I52" s="590"/>
      <c r="J52" s="590"/>
      <c r="K52" s="590"/>
      <c r="L52" s="611"/>
      <c r="M52" s="1059"/>
      <c r="N52" s="1059"/>
      <c r="P52" s="152"/>
      <c r="Q52" s="1082"/>
      <c r="R52" s="152"/>
      <c r="S52" s="1084"/>
      <c r="T52" s="1085" t="s">
        <v>411</v>
      </c>
      <c r="U52" s="307"/>
      <c r="V52" s="307"/>
      <c r="W52" s="307"/>
      <c r="X52" s="307"/>
      <c r="Y52" s="307"/>
      <c r="Z52" s="307"/>
      <c r="AA52" s="307"/>
      <c r="AB52" s="307"/>
      <c r="AC52" s="307"/>
      <c r="AD52" s="307"/>
      <c r="AE52" s="307"/>
      <c r="AF52" s="307"/>
      <c r="AG52" s="307"/>
      <c r="AH52" s="307"/>
      <c r="AI52" s="307"/>
      <c r="AJ52" s="307"/>
      <c r="AK52" s="307"/>
      <c r="AL52" s="307"/>
      <c r="AM52" s="307"/>
      <c r="AN52" s="307"/>
      <c r="AO52" s="307"/>
      <c r="AP52" s="307"/>
      <c r="AQ52" s="307"/>
      <c r="AR52" s="307"/>
      <c r="AS52" s="307"/>
      <c r="AU52" s="151"/>
      <c r="AV52" s="151" t="str">
        <f t="shared" si="1"/>
        <v>Добавить централизованную систему для дифференциации</v>
      </c>
      <c r="AW52" s="151"/>
      <c r="AX52" s="151"/>
      <c r="AY52" s="44">
        <v>0</v>
      </c>
    </row>
    <row r="53" s="44" customFormat="1" hidden="1" customHeight="1" spans="1:51">
      <c r="A53" s="590" t="s">
        <v>252</v>
      </c>
      <c r="B53" s="590"/>
      <c r="C53" s="590"/>
      <c r="D53" s="590"/>
      <c r="E53" s="1052"/>
      <c r="F53" s="590"/>
      <c r="G53" s="590"/>
      <c r="H53" s="590"/>
      <c r="I53" s="590"/>
      <c r="J53" s="590"/>
      <c r="K53" s="590"/>
      <c r="L53" s="611"/>
      <c r="M53" s="1059"/>
      <c r="N53" s="1059"/>
      <c r="P53" s="152"/>
      <c r="Q53" s="1082"/>
      <c r="R53" s="152"/>
      <c r="S53" s="1084"/>
      <c r="T53" s="1085" t="s">
        <v>412</v>
      </c>
      <c r="U53" s="307"/>
      <c r="V53" s="307"/>
      <c r="W53" s="307"/>
      <c r="X53" s="307"/>
      <c r="Y53" s="307"/>
      <c r="Z53" s="307"/>
      <c r="AA53" s="307"/>
      <c r="AB53" s="307"/>
      <c r="AC53" s="307"/>
      <c r="AD53" s="307"/>
      <c r="AE53" s="307"/>
      <c r="AF53" s="307"/>
      <c r="AG53" s="307"/>
      <c r="AH53" s="307"/>
      <c r="AI53" s="307"/>
      <c r="AJ53" s="307"/>
      <c r="AK53" s="307"/>
      <c r="AL53" s="307"/>
      <c r="AM53" s="307"/>
      <c r="AN53" s="307"/>
      <c r="AO53" s="307"/>
      <c r="AP53" s="307"/>
      <c r="AQ53" s="307"/>
      <c r="AR53" s="307"/>
      <c r="AS53" s="307"/>
      <c r="AU53" s="151"/>
      <c r="AV53" s="151" t="str">
        <f t="shared" si="1"/>
        <v>Добавить территорию для дифференциации</v>
      </c>
      <c r="AW53" s="151"/>
      <c r="AX53" s="151"/>
      <c r="AY53" s="44">
        <v>0</v>
      </c>
    </row>
    <row r="54" s="44" customFormat="1" hidden="1" customHeight="1" spans="1:51">
      <c r="A54" s="590"/>
      <c r="B54" s="590"/>
      <c r="C54" s="590"/>
      <c r="D54" s="590"/>
      <c r="E54" s="590"/>
      <c r="F54" s="590"/>
      <c r="G54" s="590"/>
      <c r="H54" s="590"/>
      <c r="I54" s="590"/>
      <c r="J54" s="590"/>
      <c r="K54" s="590"/>
      <c r="L54" s="611"/>
      <c r="M54" s="1059"/>
      <c r="N54" s="1059"/>
      <c r="P54" s="152"/>
      <c r="Q54" s="1082"/>
      <c r="R54" s="152"/>
      <c r="S54" s="1084"/>
      <c r="T54" s="1085" t="s">
        <v>440</v>
      </c>
      <c r="U54" s="307"/>
      <c r="V54" s="307"/>
      <c r="W54" s="307"/>
      <c r="X54" s="307"/>
      <c r="Y54" s="307"/>
      <c r="Z54" s="307"/>
      <c r="AA54" s="307"/>
      <c r="AB54" s="307"/>
      <c r="AC54" s="307"/>
      <c r="AD54" s="307"/>
      <c r="AE54" s="307"/>
      <c r="AF54" s="307"/>
      <c r="AG54" s="307"/>
      <c r="AH54" s="307"/>
      <c r="AI54" s="307"/>
      <c r="AJ54" s="307"/>
      <c r="AK54" s="307"/>
      <c r="AL54" s="307"/>
      <c r="AM54" s="307"/>
      <c r="AN54" s="307"/>
      <c r="AO54" s="307"/>
      <c r="AP54" s="307"/>
      <c r="AQ54" s="307"/>
      <c r="AR54" s="307"/>
      <c r="AS54" s="307"/>
      <c r="AU54" s="151"/>
      <c r="AV54" s="151" t="str">
        <f t="shared" si="1"/>
        <v>Добавить наименование тарифа</v>
      </c>
      <c r="AW54" s="151"/>
      <c r="AX54" s="151"/>
      <c r="AY54" s="44">
        <v>0</v>
      </c>
    </row>
    <row r="55" ht="11.55" customHeight="1" spans="13:51">
      <c r="M55" s="38"/>
      <c r="N55" s="38"/>
      <c r="O55" s="38"/>
      <c r="P55" s="43"/>
      <c r="Q55" s="43"/>
      <c r="R55" s="43"/>
      <c r="S55" s="43"/>
      <c r="AT55" s="43"/>
      <c r="AU55" s="43"/>
      <c r="AV55" s="43"/>
      <c r="AW55" s="43"/>
      <c r="AX55" s="43"/>
      <c r="AY55" s="43">
        <v>11</v>
      </c>
    </row>
    <row r="56" ht="14.7" customHeight="1" spans="15:51">
      <c r="O56" s="38"/>
      <c r="S56" s="786"/>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Y56" s="43">
        <v>14</v>
      </c>
    </row>
    <row r="57" ht="14.7" customHeight="1" spans="15:51">
      <c r="O57" s="38"/>
      <c r="AY57" s="43">
        <v>14</v>
      </c>
    </row>
    <row r="58" ht="14.7" customHeight="1" spans="15:51">
      <c r="O58" s="38"/>
      <c r="S58" s="786"/>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Y58" s="43">
        <v>14</v>
      </c>
    </row>
    <row r="59" ht="22.5" hidden="1" customHeight="1" spans="1:51">
      <c r="A59" s="38" t="s">
        <v>83</v>
      </c>
      <c r="B59" s="38">
        <v>0</v>
      </c>
      <c r="C59" s="38">
        <v>0</v>
      </c>
      <c r="D59" s="38">
        <v>0</v>
      </c>
      <c r="E59" s="38">
        <v>0</v>
      </c>
      <c r="F59" s="38">
        <v>0</v>
      </c>
      <c r="G59" s="38">
        <v>0</v>
      </c>
      <c r="H59" s="38">
        <v>0</v>
      </c>
      <c r="I59" s="38">
        <v>0</v>
      </c>
      <c r="J59" s="38">
        <v>0</v>
      </c>
      <c r="K59" s="38">
        <v>0</v>
      </c>
      <c r="L59" s="48">
        <v>0</v>
      </c>
      <c r="M59" s="39">
        <v>0</v>
      </c>
      <c r="N59" s="39">
        <v>0</v>
      </c>
      <c r="O59" s="39">
        <v>0</v>
      </c>
      <c r="P59" s="40">
        <v>3</v>
      </c>
      <c r="Q59" s="41">
        <v>3</v>
      </c>
      <c r="R59" s="41">
        <v>3</v>
      </c>
      <c r="S59" s="42">
        <v>12</v>
      </c>
      <c r="T59" s="43">
        <v>35</v>
      </c>
      <c r="U59" s="43">
        <v>0</v>
      </c>
      <c r="V59" s="43">
        <v>0</v>
      </c>
      <c r="W59" s="43">
        <v>0</v>
      </c>
      <c r="X59" s="43">
        <v>0</v>
      </c>
      <c r="Y59" s="43">
        <v>0</v>
      </c>
      <c r="Z59" s="43">
        <v>0</v>
      </c>
      <c r="AA59" s="43">
        <v>0</v>
      </c>
      <c r="AB59" s="43">
        <v>0</v>
      </c>
      <c r="AC59" s="43">
        <v>0</v>
      </c>
      <c r="AD59" s="43">
        <v>0</v>
      </c>
      <c r="AE59" s="43">
        <v>0</v>
      </c>
      <c r="AF59" s="43">
        <v>0</v>
      </c>
      <c r="AG59" s="43">
        <v>19</v>
      </c>
      <c r="AH59" s="43">
        <v>19</v>
      </c>
      <c r="AI59" s="43">
        <v>19</v>
      </c>
      <c r="AJ59" s="43">
        <v>19</v>
      </c>
      <c r="AK59" s="43">
        <v>19</v>
      </c>
      <c r="AL59" s="43">
        <v>19</v>
      </c>
      <c r="AM59" s="43">
        <v>19</v>
      </c>
      <c r="AN59" s="43">
        <v>11</v>
      </c>
      <c r="AO59" s="43">
        <v>3</v>
      </c>
      <c r="AP59" s="43">
        <v>11</v>
      </c>
      <c r="AQ59" s="43">
        <v>0</v>
      </c>
      <c r="AR59" s="43">
        <v>4</v>
      </c>
      <c r="AS59" s="43">
        <v>115</v>
      </c>
      <c r="AT59" s="44">
        <v>10</v>
      </c>
      <c r="AU59" s="44">
        <v>10</v>
      </c>
      <c r="AV59" s="44">
        <v>10</v>
      </c>
      <c r="AW59" s="44">
        <v>10</v>
      </c>
      <c r="AX59" s="44">
        <v>10</v>
      </c>
      <c r="AY59" s="43">
        <v>23</v>
      </c>
    </row>
  </sheetData>
  <sheetProtection formatColumns="0" formatRows="0" insertRows="0" deleteColumns="0" deleteRows="0" sort="0" autoFilter="0"/>
  <mergeCells count="113">
    <mergeCell ref="V2:AF2"/>
    <mergeCell ref="AG2:AR2"/>
    <mergeCell ref="V3:AF3"/>
    <mergeCell ref="AG3:AR3"/>
    <mergeCell ref="V4:AF4"/>
    <mergeCell ref="AG4:AR4"/>
    <mergeCell ref="V5:AF5"/>
    <mergeCell ref="AG5:AR5"/>
    <mergeCell ref="V6:AF6"/>
    <mergeCell ref="AG6:AR6"/>
    <mergeCell ref="S24:AP24"/>
    <mergeCell ref="S25:AP25"/>
    <mergeCell ref="S27:T27"/>
    <mergeCell ref="V27:AE27"/>
    <mergeCell ref="AG27:AP27"/>
    <mergeCell ref="S28:T28"/>
    <mergeCell ref="V28:AE28"/>
    <mergeCell ref="AG28:AP28"/>
    <mergeCell ref="S29:T29"/>
    <mergeCell ref="V29:AE29"/>
    <mergeCell ref="AG29:AP29"/>
    <mergeCell ref="S30:T30"/>
    <mergeCell ref="V30:AE30"/>
    <mergeCell ref="AG30:AP30"/>
    <mergeCell ref="S32:T32"/>
    <mergeCell ref="V32:AE32"/>
    <mergeCell ref="AG32:AP32"/>
    <mergeCell ref="S33:T33"/>
    <mergeCell ref="V33:AE33"/>
    <mergeCell ref="AG33:AP33"/>
    <mergeCell ref="V35:AF35"/>
    <mergeCell ref="AG35:AQ35"/>
    <mergeCell ref="S36:AR36"/>
    <mergeCell ref="V37:AE37"/>
    <mergeCell ref="AG37:AP37"/>
    <mergeCell ref="W38:Y38"/>
    <mergeCell ref="Z38:AB38"/>
    <mergeCell ref="AH38:AJ38"/>
    <mergeCell ref="AK38:AM38"/>
    <mergeCell ref="X39:Y39"/>
    <mergeCell ref="AA39:AB39"/>
    <mergeCell ref="AI39:AJ39"/>
    <mergeCell ref="AL39:AM39"/>
    <mergeCell ref="AD40:AE40"/>
    <mergeCell ref="AO40:AP40"/>
    <mergeCell ref="AD41:AE41"/>
    <mergeCell ref="AO41:AP41"/>
    <mergeCell ref="V42:AF42"/>
    <mergeCell ref="AG42:AR42"/>
    <mergeCell ref="V43:AF43"/>
    <mergeCell ref="AG43:AR43"/>
    <mergeCell ref="V44:AF44"/>
    <mergeCell ref="AG44:AR44"/>
    <mergeCell ref="V45:AF45"/>
    <mergeCell ref="AG45:AR45"/>
    <mergeCell ref="V46:AF46"/>
    <mergeCell ref="AG46:AR46"/>
    <mergeCell ref="T56:AS56"/>
    <mergeCell ref="T58:AS58"/>
    <mergeCell ref="E2:E13"/>
    <mergeCell ref="E42:E53"/>
    <mergeCell ref="F3:F12"/>
    <mergeCell ref="F43:F52"/>
    <mergeCell ref="G4:G11"/>
    <mergeCell ref="G44:G51"/>
    <mergeCell ref="H5:H11"/>
    <mergeCell ref="H45:H51"/>
    <mergeCell ref="I5:I10"/>
    <mergeCell ref="I45:I50"/>
    <mergeCell ref="J6:J9"/>
    <mergeCell ref="J46:J49"/>
    <mergeCell ref="K7:K8"/>
    <mergeCell ref="K47:K48"/>
    <mergeCell ref="P5:P10"/>
    <mergeCell ref="P45:P50"/>
    <mergeCell ref="Q6:Q9"/>
    <mergeCell ref="Q46:Q49"/>
    <mergeCell ref="S37:S40"/>
    <mergeCell ref="T37:T40"/>
    <mergeCell ref="V38:V40"/>
    <mergeCell ref="W39:W40"/>
    <mergeCell ref="Z39:Z40"/>
    <mergeCell ref="AC7:AC8"/>
    <mergeCell ref="AC47:AC48"/>
    <mergeCell ref="AD7:AD8"/>
    <mergeCell ref="AD47:AD48"/>
    <mergeCell ref="AE7:AE8"/>
    <mergeCell ref="AE47:AE48"/>
    <mergeCell ref="AF7:AF8"/>
    <mergeCell ref="AF37:AF40"/>
    <mergeCell ref="AF47:AF48"/>
    <mergeCell ref="AG38:AG40"/>
    <mergeCell ref="AH39:AH40"/>
    <mergeCell ref="AK39:AK40"/>
    <mergeCell ref="AN7:AN8"/>
    <mergeCell ref="AN15:AN16"/>
    <mergeCell ref="AN47:AN48"/>
    <mergeCell ref="AO7:AO8"/>
    <mergeCell ref="AO15:AO16"/>
    <mergeCell ref="AO47:AO48"/>
    <mergeCell ref="AP7:AP8"/>
    <mergeCell ref="AP15:AP16"/>
    <mergeCell ref="AP47:AP48"/>
    <mergeCell ref="AQ7:AQ8"/>
    <mergeCell ref="AQ15:AQ16"/>
    <mergeCell ref="AQ37:AQ40"/>
    <mergeCell ref="AQ47:AQ48"/>
    <mergeCell ref="AR37:AR40"/>
    <mergeCell ref="AS7:AS8"/>
    <mergeCell ref="AS36:AS40"/>
    <mergeCell ref="AS47:AS48"/>
    <mergeCell ref="AN38:AP39"/>
    <mergeCell ref="AC38:AE39"/>
  </mergeCells>
  <dataValidations count="8">
    <dataValidation type="textLength" operator="lessThanOrEqual" allowBlank="1" showInputMessage="1" showErrorMessage="1" errorTitle="Ошибка" error="Допускается ввод не более 900 символов!" sqref="AG5:AR5 T7 AG45:AR45 T47 AS65573:AS65580 AS131109:AS131116 AS196645:AS196652 AS262181:AS262188 AS327717:AS327724 AS393253:AS393260 AS458789:AS458796 AS524325:AS524332 AS589861:AS589868 AS655397:AS655404 AS720933:AS720940 AS786469:AS786476 AS852005:AS852012 AS917541:AS917548 AS983077:AS9830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7 AE7 AN7 AP7 AN15 AP15 AC47 AE47 AN47 AP47 AC65579 AE65579 AN65579 AP65579 AC131115 AE131115 AN131115 AP131115 AC196651 AE196651 AN196651 AP196651 AC262187 AE262187 AN262187 AP262187 AC327723 AE327723 AN327723 AP327723 AC393259 AE393259 AN393259 AP393259 AC458795 AE458795 AN458795 AP458795 AC524331 AE524331 AN524331 AP524331 AC589867 AE589867 AN589867 AP589867 AC655403 AE655403 AN655403 AP655403 AC720939 AE720939 AN720939 AP720939 AC786475 AE786475 AN786475 AP786475 AC852011 AE852011 AN852011 AP852011 AC917547 AE917547 AN917547 AP917547 AC983083 AE983083 AN983083 AP983083"/>
    <dataValidation allowBlank="1" showInputMessage="1" showErrorMessage="1" prompt="Для выбора выполните двойной щелчок левой клавиши мыши по соответствующей ячейке." sqref="AD7 AF7 AO7 AQ7 AO15 AQ15 AD47 AF47 AO47 AQ47 AD65579 AF65579 AO65579 AQ65579 AD131115 AF131115 AO131115 AQ131115 AD196651 AF196651 AO196651 AQ196651 AD262187 AF262187 AO262187 AQ262187 AD327723 AF327723 AO327723 AQ327723 AD393259 AF393259 AO393259 AQ393259 AD458795 AF458795 AO458795 AQ458795 AD524331 AF524331 AO524331 AQ524331 AD589867 AF589867 AO589867 AQ589867 AD655403 AF655403 AO655403 AQ655403 AD720939 AF720939 AO720939 AQ720939 AD786475 AF786475 AO786475 AQ786475 AD852011 AF852011 AO852011 AQ852011 AD917547 AF917547 AO917547 AQ917547 AD983083 AF983083 AO983083 AQ983083"/>
    <dataValidation allowBlank="1" promptTitle="checkPeriodRange" sqref="AB8 AM8 AM16 AB48 AM48 AB65580 AM65580 AB131116 AM131116 AB196652 AM196652 AB262188 AM262188 AB327724 AM327724 AB393260 AM393260 AB458796 AM458796 AB524332 AM524332 AB589868 AM589868 AB655404 AM655404 AB720940 AM720940 AB786476 AM786476 AB852012 AM852012 AB917548 AM917548 AB983084 AM983084"/>
    <dataValidation type="list" allowBlank="1" showInputMessage="1" showErrorMessage="1" errorTitle="Ошибка" error="Выберите значение из списка" sqref="V65577:AA65577 AG65577:AL65577 V131113:AA131113 AG131113:AL131113 V196649:AA196649 AG196649:AL196649 V262185:AA262185 AG262185:AL262185 V327721:AA327721 AG327721:AL327721 V393257:AA393257 AG393257:AL393257 V458793:AA458793 AG458793:AL458793 V524329:AA524329 AG524329:AL524329 V589865:AA589865 AG589865:AL589865 V655401:AA655401 AG655401:AL655401 V720937:AA720937 AG720937:AL720937 V786473:AA786473 AG786473:AL786473 V852009:AA852009 AG852009:AL852009 V917545:AA917545 AG917545:AL917545 V983081:AA983081 AG983081:AL983081">
      <formula1>kind_of_scheme_in</formula1>
    </dataValidation>
    <dataValidation type="list" allowBlank="1" showInputMessage="1" errorTitle="Ошибка" error="Выберите значение из списка" prompt="Выберите значение из списка" sqref="V65578:AR65578 V131114:AR131114 V196650:AR196650 V262186:AR262186 V327722:AR327722 V393258:AR393258 V458794:AR458794 V524330:AR524330 V589866:AR589866 V655402:AR655402 V720938:AR720938 V786474:AR786474 V852010:AR852010 V917546:AR917546 V983082:AR983082">
      <formula1>kind_of_cons</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qref="S131117:AS131123 S589869:AS589875 S196653:AS196659 S655405:AS655411 S262189:AS262195 S720941:AS720947 S327725:AS327731 S786477:AS786483 S393261:AS393267 S852013:AS852019 S458797:AS458803 S917549:AS917555 S65581:AS65587 S524333:AS524339 S983085:AS983091"/>
  </dataValidations>
  <pageMargins left="0.7" right="0.7" top="0.75" bottom="0.75" header="0.3" footer="0.3"/>
  <pageSetup paperSize="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I69"/>
  <sheetViews>
    <sheetView showGridLines="0" zoomScale="90" zoomScaleNormal="90" workbookViewId="0">
      <pane xSplit="29" ySplit="45" topLeftCell="AD46" activePane="bottomRight" state="frozen"/>
      <selection/>
      <selection pane="topRight"/>
      <selection pane="bottomLeft"/>
      <selection pane="bottomRight" activeCell="A1" sqref="A1"/>
    </sheetView>
  </sheetViews>
  <sheetFormatPr defaultColWidth="10.5714285714286" defaultRowHeight="14.25" customHeight="1"/>
  <cols>
    <col min="1" max="1" width="11.5714285714286" style="38" hidden="1" customWidth="1"/>
    <col min="2" max="2" width="11" style="38" hidden="1" customWidth="1"/>
    <col min="3" max="3" width="10.5714285714286" style="38" hidden="1"/>
    <col min="4" max="4" width="12.847619047619" style="38" hidden="1" customWidth="1"/>
    <col min="5" max="5" width="10" style="38" hidden="1" customWidth="1"/>
    <col min="6" max="6" width="8.71428571428571" style="38" hidden="1" customWidth="1"/>
    <col min="7" max="7" width="7.57142857142857" style="38" hidden="1" customWidth="1"/>
    <col min="8" max="8" width="11.4190476190476" style="38" hidden="1" customWidth="1"/>
    <col min="9" max="9" width="12" style="38" hidden="1" customWidth="1"/>
    <col min="10" max="10" width="9.84761904761905" style="38" hidden="1" customWidth="1"/>
    <col min="11" max="11" width="11.4190476190476" style="38" hidden="1" customWidth="1"/>
    <col min="12" max="12" width="19.1428571428571" style="48" hidden="1" customWidth="1"/>
    <col min="13" max="14" width="12.2857142857143" style="39" hidden="1" customWidth="1"/>
    <col min="15" max="15" width="23.4190476190476" style="39" hidden="1" customWidth="1"/>
    <col min="16" max="16" width="3.71428571428571" style="39" hidden="1" customWidth="1"/>
    <col min="17" max="17" width="3.71428571428571" style="1051" hidden="1" customWidth="1"/>
    <col min="18" max="18" width="3" style="41" customWidth="1"/>
    <col min="19" max="19" width="12" style="42" customWidth="1"/>
    <col min="20" max="20" width="31" style="43" customWidth="1"/>
    <col min="21" max="21" width="0.142857142857143" style="43" customWidth="1"/>
    <col min="22" max="25" width="21.7142857142857" style="43" hidden="1" customWidth="1"/>
    <col min="26" max="26" width="11.7142857142857" style="43" hidden="1" customWidth="1"/>
    <col min="27" max="27" width="3.71428571428571" style="43" hidden="1" customWidth="1"/>
    <col min="28" max="28" width="11.7142857142857" style="43" hidden="1" customWidth="1"/>
    <col min="29" max="29" width="8.57142857142857" style="43" hidden="1" customWidth="1"/>
    <col min="30" max="30" width="3.71428571428571" style="43" customWidth="1"/>
    <col min="31" max="32" width="3" style="43" customWidth="1"/>
    <col min="33" max="33" width="24" style="43" customWidth="1"/>
    <col min="34" max="34" width="3.71428571428571" style="43" customWidth="1"/>
    <col min="35" max="36" width="3" style="43" customWidth="1"/>
    <col min="37" max="37" width="24" style="43" customWidth="1"/>
    <col min="38" max="38" width="3.71428571428571" style="43" customWidth="1"/>
    <col min="39" max="40" width="3" style="43" customWidth="1"/>
    <col min="41" max="41" width="18" style="43" customWidth="1"/>
    <col min="42" max="42" width="3.71428571428571" style="43" customWidth="1"/>
    <col min="43" max="44" width="3" style="43" customWidth="1"/>
    <col min="45" max="45" width="18" style="43" customWidth="1"/>
    <col min="46" max="49" width="21" style="43" customWidth="1"/>
    <col min="50" max="50" width="11" style="43" customWidth="1"/>
    <col min="51" max="51" width="3.71428571428571" style="43" customWidth="1"/>
    <col min="52" max="52" width="11" style="43" customWidth="1"/>
    <col min="53" max="53" width="8.57142857142857" style="43" hidden="1" customWidth="1"/>
    <col min="54" max="54" width="4" style="43" customWidth="1"/>
    <col min="55" max="55" width="115" style="43" customWidth="1"/>
    <col min="56" max="60" width="10" style="44" customWidth="1"/>
    <col min="61" max="61" width="10.5714285714286" style="43" hidden="1"/>
  </cols>
  <sheetData>
    <row r="1" ht="22.5" hidden="1" customHeight="1" spans="61:61">
      <c r="BI1" s="43" t="s">
        <v>14</v>
      </c>
    </row>
    <row r="2" ht="21" hidden="1" customHeight="1" spans="1:61">
      <c r="A2" s="46"/>
      <c r="B2" s="46"/>
      <c r="C2" s="46"/>
      <c r="D2" s="46"/>
      <c r="E2" s="1052">
        <v>1</v>
      </c>
      <c r="F2" s="46"/>
      <c r="G2" s="46"/>
      <c r="H2" s="46"/>
      <c r="I2" s="46"/>
      <c r="J2" s="46"/>
      <c r="K2" s="46"/>
      <c r="L2" s="1054"/>
      <c r="M2" s="47"/>
      <c r="N2" s="47"/>
      <c r="O2" s="47"/>
      <c r="Q2" s="264"/>
      <c r="R2" s="82"/>
      <c r="S2" s="65" t="e">
        <f>INDEX(PT_DIFFERENTIATION_NUM_NTAR,MATCH(A2,PT_DIFFERENTIATION_NTAR_ID,0))</f>
        <v>#N/A</v>
      </c>
      <c r="T2" s="83" t="s">
        <v>121</v>
      </c>
      <c r="U2" s="84"/>
      <c r="V2" s="1061"/>
      <c r="W2" s="1061"/>
      <c r="X2" s="1061"/>
      <c r="Y2" s="1061"/>
      <c r="Z2" s="1061"/>
      <c r="AA2" s="1061"/>
      <c r="AB2" s="1061"/>
      <c r="AC2" s="1089"/>
      <c r="AD2" s="1090" t="e">
        <f>INDEX(PT_DIFFERENTIATION_NTAR,MATCH(A2,PT_DIFFERENTIATION_NTAR_ID,0))</f>
        <v>#N/A</v>
      </c>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89"/>
      <c r="BC2"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51"/>
      <c r="BF2" s="151" t="str">
        <f t="shared" ref="BF2:BF8" si="0">IF(T2="","",T2)</f>
        <v>Наименование тарифа</v>
      </c>
      <c r="BG2" s="151"/>
      <c r="BH2" s="151"/>
      <c r="BI2" s="43">
        <v>0</v>
      </c>
    </row>
    <row r="3" ht="21" hidden="1" customHeight="1" spans="1:61">
      <c r="A3" s="46"/>
      <c r="B3" s="46"/>
      <c r="C3" s="46"/>
      <c r="D3" s="46"/>
      <c r="E3" s="1053"/>
      <c r="F3" s="1052">
        <v>1</v>
      </c>
      <c r="G3" s="46"/>
      <c r="H3" s="46"/>
      <c r="I3" s="46"/>
      <c r="J3" s="46"/>
      <c r="K3" s="46"/>
      <c r="L3" s="1054"/>
      <c r="M3" s="47"/>
      <c r="N3" s="47"/>
      <c r="O3" s="47"/>
      <c r="P3" s="48"/>
      <c r="Q3" s="1062"/>
      <c r="R3" s="88"/>
      <c r="S3" s="65" t="e">
        <f>INDEX(PT_DIFFERENTIATION_NUM_TER,MATCH(B3,PT_DIFFERENTIATION_TER_ID,0))</f>
        <v>#N/A</v>
      </c>
      <c r="T3" s="89" t="s">
        <v>393</v>
      </c>
      <c r="U3" s="84"/>
      <c r="V3" s="1061"/>
      <c r="W3" s="1061"/>
      <c r="X3" s="1061"/>
      <c r="Y3" s="1061"/>
      <c r="Z3" s="1061"/>
      <c r="AA3" s="1061"/>
      <c r="AB3" s="1061"/>
      <c r="AC3" s="1089"/>
      <c r="AD3" s="1090" t="e">
        <f>INDEX(PT_DIFFERENTIATION_TER,MATCH(B3,PT_DIFFERENTIATION_TER_ID,0))</f>
        <v>#N/A</v>
      </c>
      <c r="AE3" s="1061"/>
      <c r="AF3" s="1061"/>
      <c r="AG3" s="1061"/>
      <c r="AH3" s="1061"/>
      <c r="AI3" s="1061"/>
      <c r="AJ3" s="1061"/>
      <c r="AK3" s="1061"/>
      <c r="AL3" s="1061"/>
      <c r="AM3" s="1061"/>
      <c r="AN3" s="1061"/>
      <c r="AO3" s="1061"/>
      <c r="AP3" s="1061"/>
      <c r="AQ3" s="1061"/>
      <c r="AR3" s="1061"/>
      <c r="AS3" s="1061"/>
      <c r="AT3" s="1061"/>
      <c r="AU3" s="1061"/>
      <c r="AV3" s="1061"/>
      <c r="AW3" s="1061"/>
      <c r="AX3" s="1061"/>
      <c r="AY3" s="1061"/>
      <c r="AZ3" s="1061"/>
      <c r="BA3" s="1061"/>
      <c r="BB3" s="1089"/>
      <c r="BC3" s="136" t="s">
        <v>394</v>
      </c>
      <c r="BE3" s="151"/>
      <c r="BF3" s="151" t="str">
        <f t="shared" si="0"/>
        <v>Территория действия тарифа</v>
      </c>
      <c r="BG3" s="151"/>
      <c r="BH3" s="151"/>
      <c r="BI3" s="43">
        <v>0</v>
      </c>
    </row>
    <row r="4" ht="33.75" hidden="1" customHeight="1" spans="1:61">
      <c r="A4" s="46"/>
      <c r="B4" s="46"/>
      <c r="C4" s="46"/>
      <c r="D4" s="46"/>
      <c r="E4" s="1053"/>
      <c r="F4" s="1053"/>
      <c r="G4" s="1052">
        <v>1</v>
      </c>
      <c r="H4" s="46"/>
      <c r="I4" s="46"/>
      <c r="J4" s="46"/>
      <c r="K4" s="46"/>
      <c r="L4" s="1054"/>
      <c r="M4" s="47"/>
      <c r="N4" s="47"/>
      <c r="O4" s="47"/>
      <c r="P4" s="1055"/>
      <c r="Q4" s="1062"/>
      <c r="R4" s="88"/>
      <c r="S4" s="65" t="e">
        <f>INDEX(PT_DIFFERENTIATION_NUM_CS,MATCH(C4,PT_DIFFERENTIATION_CS_ID,0))</f>
        <v>#N/A</v>
      </c>
      <c r="T4" s="91" t="s">
        <v>524</v>
      </c>
      <c r="U4" s="84"/>
      <c r="V4" s="1061"/>
      <c r="W4" s="1061"/>
      <c r="X4" s="1061"/>
      <c r="Y4" s="1061"/>
      <c r="Z4" s="1061"/>
      <c r="AA4" s="1061"/>
      <c r="AB4" s="1061"/>
      <c r="AC4" s="1089"/>
      <c r="AD4" s="1090" t="e">
        <f>INDEX(PT_DIFFERENTIATION_CS,MATCH(C4,PT_DIFFERENTIATION_CS_ID,0))</f>
        <v>#N/A</v>
      </c>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1089"/>
      <c r="BC4" s="136" t="s">
        <v>525</v>
      </c>
      <c r="BE4" s="151"/>
      <c r="BF4" s="151" t="str">
        <f t="shared" si="0"/>
        <v>Наименование централизованной системы горячего водоснабжения</v>
      </c>
      <c r="BG4" s="151"/>
      <c r="BH4" s="151"/>
      <c r="BI4" s="43">
        <v>0</v>
      </c>
    </row>
    <row r="5" s="44" customFormat="1" hidden="1" customHeight="1" spans="1:61">
      <c r="A5" s="590"/>
      <c r="B5" s="590"/>
      <c r="C5" s="590"/>
      <c r="D5" s="590"/>
      <c r="E5" s="1053"/>
      <c r="F5" s="1053"/>
      <c r="G5" s="1053"/>
      <c r="H5" s="1052">
        <v>1</v>
      </c>
      <c r="I5" s="590"/>
      <c r="J5" s="590"/>
      <c r="K5" s="590"/>
      <c r="L5" s="611"/>
      <c r="M5" s="283"/>
      <c r="N5" s="283"/>
      <c r="O5" s="283"/>
      <c r="P5" s="1056"/>
      <c r="Q5" s="1063"/>
      <c r="R5" s="97"/>
      <c r="S5" s="330"/>
      <c r="T5" s="1064"/>
      <c r="U5" s="1065"/>
      <c r="V5" s="1066"/>
      <c r="W5" s="1066"/>
      <c r="X5" s="1066"/>
      <c r="Y5" s="1066"/>
      <c r="Z5" s="1066"/>
      <c r="AA5" s="1066"/>
      <c r="AB5" s="1066"/>
      <c r="AC5" s="1091"/>
      <c r="AD5" s="1092"/>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6"/>
      <c r="BA5" s="1066"/>
      <c r="BB5" s="1091"/>
      <c r="BC5" s="995" t="s">
        <v>398</v>
      </c>
      <c r="BE5" s="151"/>
      <c r="BF5" s="151" t="str">
        <f t="shared" si="0"/>
        <v/>
      </c>
      <c r="BG5" s="151"/>
      <c r="BH5" s="151"/>
      <c r="BI5" s="44">
        <v>0</v>
      </c>
    </row>
    <row r="6" s="44" customFormat="1" hidden="1" customHeight="1" spans="1:61">
      <c r="A6" s="590"/>
      <c r="B6" s="590"/>
      <c r="C6" s="590"/>
      <c r="D6" s="590"/>
      <c r="E6" s="1053"/>
      <c r="F6" s="1053"/>
      <c r="G6" s="1053"/>
      <c r="H6" s="1053"/>
      <c r="I6" s="229" t="str">
        <f>S5&amp;".1"</f>
        <v>.1</v>
      </c>
      <c r="J6" s="590"/>
      <c r="K6" s="590"/>
      <c r="L6" s="611" t="s">
        <v>399</v>
      </c>
      <c r="M6" s="1057"/>
      <c r="N6" s="1057"/>
      <c r="O6" s="1057"/>
      <c r="P6" s="93">
        <v>1</v>
      </c>
      <c r="Q6" s="93"/>
      <c r="R6" s="94"/>
      <c r="S6" s="330"/>
      <c r="T6" s="1067"/>
      <c r="U6" s="1065"/>
      <c r="V6" s="1066"/>
      <c r="W6" s="1066"/>
      <c r="X6" s="1066"/>
      <c r="Y6" s="1066"/>
      <c r="Z6" s="1066"/>
      <c r="AA6" s="1066"/>
      <c r="AB6" s="1066"/>
      <c r="AC6" s="1091"/>
      <c r="AD6" s="1092"/>
      <c r="AE6" s="1066"/>
      <c r="AF6" s="1066"/>
      <c r="AG6" s="1066"/>
      <c r="AH6" s="1066"/>
      <c r="AI6" s="1066"/>
      <c r="AJ6" s="1066"/>
      <c r="AK6" s="1066"/>
      <c r="AL6" s="1066"/>
      <c r="AM6" s="1066"/>
      <c r="AN6" s="1066"/>
      <c r="AO6" s="1066"/>
      <c r="AP6" s="1066"/>
      <c r="AQ6" s="1066"/>
      <c r="AR6" s="1066"/>
      <c r="AS6" s="1066"/>
      <c r="AT6" s="1066"/>
      <c r="AU6" s="1066"/>
      <c r="AV6" s="1066"/>
      <c r="AW6" s="1066"/>
      <c r="AX6" s="1066"/>
      <c r="AY6" s="1066"/>
      <c r="AZ6" s="1066"/>
      <c r="BA6" s="1066"/>
      <c r="BB6" s="1091"/>
      <c r="BC6" s="995"/>
      <c r="BE6" s="151"/>
      <c r="BF6" s="151" t="str">
        <f t="shared" si="0"/>
        <v/>
      </c>
      <c r="BG6" s="151"/>
      <c r="BH6" s="151"/>
      <c r="BI6" s="44">
        <v>0</v>
      </c>
    </row>
    <row r="7" s="44" customFormat="1" hidden="1" customHeight="1" spans="1:61">
      <c r="A7" s="590"/>
      <c r="B7" s="590"/>
      <c r="C7" s="590"/>
      <c r="D7" s="590"/>
      <c r="E7" s="1053"/>
      <c r="F7" s="1053"/>
      <c r="G7" s="1053"/>
      <c r="H7" s="1053"/>
      <c r="I7" s="1058"/>
      <c r="J7" s="229" t="str">
        <f>S5&amp;".1"</f>
        <v>.1</v>
      </c>
      <c r="K7" s="590"/>
      <c r="L7" s="611"/>
      <c r="M7" s="1057"/>
      <c r="N7" s="1057"/>
      <c r="O7" s="1057"/>
      <c r="P7" s="93"/>
      <c r="Q7" s="93">
        <v>1</v>
      </c>
      <c r="R7" s="97"/>
      <c r="S7" s="330"/>
      <c r="T7" s="1068"/>
      <c r="U7" s="1065"/>
      <c r="V7" s="1066"/>
      <c r="W7" s="1066"/>
      <c r="X7" s="1066"/>
      <c r="Y7" s="1066"/>
      <c r="Z7" s="1066"/>
      <c r="AA7" s="1066"/>
      <c r="AB7" s="1066"/>
      <c r="AC7" s="1091"/>
      <c r="AD7" s="1092"/>
      <c r="AE7" s="1066"/>
      <c r="AF7" s="1066"/>
      <c r="AG7" s="1066"/>
      <c r="AH7" s="1066"/>
      <c r="AI7" s="1066"/>
      <c r="AJ7" s="1066"/>
      <c r="AK7" s="1066"/>
      <c r="AL7" s="1066"/>
      <c r="AM7" s="1066"/>
      <c r="AN7" s="1066"/>
      <c r="AO7" s="1066"/>
      <c r="AP7" s="1066"/>
      <c r="AQ7" s="1066"/>
      <c r="AR7" s="1066"/>
      <c r="AS7" s="1066"/>
      <c r="AT7" s="1066"/>
      <c r="AU7" s="1066"/>
      <c r="AV7" s="1066"/>
      <c r="AW7" s="1066"/>
      <c r="AX7" s="1066"/>
      <c r="AY7" s="1066"/>
      <c r="AZ7" s="1066"/>
      <c r="BA7" s="1066"/>
      <c r="BB7" s="1091"/>
      <c r="BC7" s="995"/>
      <c r="BE7" s="151"/>
      <c r="BF7" s="151" t="str">
        <f t="shared" si="0"/>
        <v/>
      </c>
      <c r="BG7" s="151"/>
      <c r="BH7" s="151"/>
      <c r="BI7" s="44">
        <v>0</v>
      </c>
    </row>
    <row r="8" ht="11.25" hidden="1" customHeight="1" spans="1:61">
      <c r="A8" s="46"/>
      <c r="B8" s="46"/>
      <c r="C8" s="46"/>
      <c r="D8" s="46"/>
      <c r="E8" s="1053"/>
      <c r="F8" s="1053"/>
      <c r="G8" s="1053"/>
      <c r="H8" s="1053"/>
      <c r="I8" s="1058"/>
      <c r="J8" s="1058"/>
      <c r="K8" s="229" t="e">
        <f>S4&amp;".1"</f>
        <v>#N/A</v>
      </c>
      <c r="L8" s="1054"/>
      <c r="P8" s="93"/>
      <c r="Q8" s="93"/>
      <c r="R8" s="1069">
        <v>1</v>
      </c>
      <c r="S8" s="1070" t="e">
        <f>$K8</f>
        <v>#N/A</v>
      </c>
      <c r="T8" s="1071"/>
      <c r="U8" s="84"/>
      <c r="V8" s="102"/>
      <c r="W8" s="138"/>
      <c r="X8" s="102"/>
      <c r="Y8" s="138"/>
      <c r="Z8" s="139"/>
      <c r="AA8" s="140" t="s">
        <v>66</v>
      </c>
      <c r="AB8" s="139"/>
      <c r="AC8" s="140" t="s">
        <v>66</v>
      </c>
      <c r="AD8" s="475" t="s">
        <v>66</v>
      </c>
      <c r="AE8" s="1093"/>
      <c r="AF8" s="664">
        <v>1</v>
      </c>
      <c r="AG8" s="1106"/>
      <c r="AH8" s="140" t="s">
        <v>66</v>
      </c>
      <c r="AI8" s="1093"/>
      <c r="AJ8" s="664">
        <v>1</v>
      </c>
      <c r="AK8" s="1107" t="s">
        <v>22</v>
      </c>
      <c r="AL8" s="140" t="s">
        <v>66</v>
      </c>
      <c r="AM8" s="903"/>
      <c r="AN8" s="664">
        <v>1</v>
      </c>
      <c r="AO8" s="1115"/>
      <c r="AP8" s="1116" t="s">
        <v>66</v>
      </c>
      <c r="AQ8" s="1117"/>
      <c r="AR8" s="664">
        <v>1</v>
      </c>
      <c r="AS8" s="449" t="s">
        <v>22</v>
      </c>
      <c r="AT8" s="102"/>
      <c r="AU8" s="138"/>
      <c r="AV8" s="102"/>
      <c r="AW8" s="138"/>
      <c r="AX8" s="139"/>
      <c r="AY8" s="140" t="s">
        <v>66</v>
      </c>
      <c r="AZ8" s="139"/>
      <c r="BA8" s="140" t="s">
        <v>66</v>
      </c>
      <c r="BB8" s="1120"/>
      <c r="BC8" s="141" t="s">
        <v>493</v>
      </c>
      <c r="BE8" s="151"/>
      <c r="BF8" s="151" t="str">
        <f t="shared" si="0"/>
        <v/>
      </c>
      <c r="BG8" s="151"/>
      <c r="BH8" s="151"/>
      <c r="BI8" s="43">
        <v>0</v>
      </c>
    </row>
    <row r="9" ht="11.25" hidden="1" customHeight="1" spans="1:61">
      <c r="A9" s="46"/>
      <c r="B9" s="46"/>
      <c r="C9" s="46"/>
      <c r="D9" s="46"/>
      <c r="E9" s="1053"/>
      <c r="F9" s="1053"/>
      <c r="G9" s="1053"/>
      <c r="H9" s="1053"/>
      <c r="I9" s="1058"/>
      <c r="J9" s="1058"/>
      <c r="K9" s="229"/>
      <c r="L9" s="1054"/>
      <c r="P9" s="93"/>
      <c r="Q9" s="93"/>
      <c r="R9" s="1069"/>
      <c r="S9" s="1072"/>
      <c r="T9" s="1073"/>
      <c r="U9" s="84"/>
      <c r="V9" s="1074"/>
      <c r="W9" s="1075"/>
      <c r="X9" s="1074"/>
      <c r="Y9" s="1075"/>
      <c r="Z9" s="1074"/>
      <c r="AA9" s="1074"/>
      <c r="AB9" s="1074"/>
      <c r="AC9" s="1074"/>
      <c r="AD9" s="477"/>
      <c r="AE9" s="1093"/>
      <c r="AF9" s="664"/>
      <c r="AG9" s="1106"/>
      <c r="AH9" s="140"/>
      <c r="AI9" s="1093"/>
      <c r="AJ9" s="664"/>
      <c r="AK9" s="1107"/>
      <c r="AL9" s="140"/>
      <c r="AM9" s="907"/>
      <c r="AN9" s="664"/>
      <c r="AO9" s="1115"/>
      <c r="AP9" s="1118"/>
      <c r="AQ9" s="331"/>
      <c r="AR9" s="332"/>
      <c r="AS9" s="332" t="s">
        <v>494</v>
      </c>
      <c r="AT9" s="1074"/>
      <c r="AU9" s="1075"/>
      <c r="AV9" s="1074"/>
      <c r="AW9" s="1075"/>
      <c r="AX9" s="1074"/>
      <c r="AY9" s="1074"/>
      <c r="AZ9" s="1074"/>
      <c r="BA9" s="1074"/>
      <c r="BB9" s="1121"/>
      <c r="BC9" s="144"/>
      <c r="BE9" s="151"/>
      <c r="BF9" s="151"/>
      <c r="BG9" s="151"/>
      <c r="BH9" s="151"/>
      <c r="BI9" s="43">
        <v>0</v>
      </c>
    </row>
    <row r="10" ht="11.25" hidden="1" customHeight="1" spans="1:61">
      <c r="A10" s="46"/>
      <c r="B10" s="46"/>
      <c r="C10" s="46"/>
      <c r="D10" s="46"/>
      <c r="E10" s="1053"/>
      <c r="F10" s="1053"/>
      <c r="G10" s="1053"/>
      <c r="H10" s="1053"/>
      <c r="I10" s="1058"/>
      <c r="J10" s="1058"/>
      <c r="K10" s="229"/>
      <c r="L10" s="1054"/>
      <c r="P10" s="93"/>
      <c r="Q10" s="93"/>
      <c r="R10" s="1069"/>
      <c r="S10" s="1072"/>
      <c r="T10" s="1073"/>
      <c r="U10" s="84"/>
      <c r="V10" s="1074"/>
      <c r="W10" s="1075"/>
      <c r="X10" s="1074"/>
      <c r="Y10" s="1075"/>
      <c r="Z10" s="1074"/>
      <c r="AA10" s="1074"/>
      <c r="AB10" s="1074"/>
      <c r="AC10" s="1074"/>
      <c r="AD10" s="477"/>
      <c r="AE10" s="1093"/>
      <c r="AF10" s="664"/>
      <c r="AG10" s="1106"/>
      <c r="AH10" s="140"/>
      <c r="AI10" s="1093"/>
      <c r="AJ10" s="664"/>
      <c r="AK10" s="1107"/>
      <c r="AL10" s="140"/>
      <c r="AM10" s="331"/>
      <c r="AN10" s="601"/>
      <c r="AO10" s="601" t="s">
        <v>495</v>
      </c>
      <c r="AP10" s="332"/>
      <c r="AQ10" s="332"/>
      <c r="AR10" s="332"/>
      <c r="AS10" s="1074"/>
      <c r="AT10" s="1074"/>
      <c r="AU10" s="1075"/>
      <c r="AV10" s="1074"/>
      <c r="AW10" s="1075"/>
      <c r="AX10" s="1074"/>
      <c r="AY10" s="1074"/>
      <c r="AZ10" s="1074"/>
      <c r="BA10" s="1074"/>
      <c r="BB10" s="1121"/>
      <c r="BC10" s="144"/>
      <c r="BE10" s="151"/>
      <c r="BF10" s="151"/>
      <c r="BG10" s="151"/>
      <c r="BH10" s="151"/>
      <c r="BI10" s="43">
        <v>0</v>
      </c>
    </row>
    <row r="11" ht="11.25" hidden="1" customHeight="1" spans="1:61">
      <c r="A11" s="46"/>
      <c r="B11" s="46"/>
      <c r="C11" s="46"/>
      <c r="D11" s="46"/>
      <c r="E11" s="1053"/>
      <c r="F11" s="1053"/>
      <c r="G11" s="1053"/>
      <c r="H11" s="1053"/>
      <c r="I11" s="1058"/>
      <c r="J11" s="1058"/>
      <c r="K11" s="229"/>
      <c r="L11" s="1054"/>
      <c r="P11" s="93"/>
      <c r="Q11" s="93"/>
      <c r="R11" s="1069"/>
      <c r="S11" s="1072"/>
      <c r="T11" s="1073"/>
      <c r="U11" s="84"/>
      <c r="V11" s="1074"/>
      <c r="W11" s="1075"/>
      <c r="X11" s="1074"/>
      <c r="Y11" s="1075"/>
      <c r="Z11" s="1074"/>
      <c r="AA11" s="1074"/>
      <c r="AB11" s="1074"/>
      <c r="AC11" s="1074"/>
      <c r="AD11" s="477"/>
      <c r="AE11" s="1093"/>
      <c r="AF11" s="664"/>
      <c r="AG11" s="1106"/>
      <c r="AH11" s="140"/>
      <c r="AI11" s="911"/>
      <c r="AJ11" s="227"/>
      <c r="AK11" s="1108" t="s">
        <v>496</v>
      </c>
      <c r="AL11" s="1074"/>
      <c r="AM11" s="1074"/>
      <c r="AN11" s="1074"/>
      <c r="AO11" s="1074"/>
      <c r="AP11" s="1074"/>
      <c r="AQ11" s="1074"/>
      <c r="AR11" s="1074"/>
      <c r="AS11" s="1074"/>
      <c r="AT11" s="1074"/>
      <c r="AU11" s="1075"/>
      <c r="AV11" s="1074"/>
      <c r="AW11" s="1075"/>
      <c r="AX11" s="1074"/>
      <c r="AY11" s="1074"/>
      <c r="AZ11" s="1074"/>
      <c r="BA11" s="1074"/>
      <c r="BB11" s="1121"/>
      <c r="BC11" s="144"/>
      <c r="BE11" s="151"/>
      <c r="BF11" s="151"/>
      <c r="BG11" s="151"/>
      <c r="BH11" s="151"/>
      <c r="BI11" s="43">
        <v>0</v>
      </c>
    </row>
    <row r="12" ht="11.25" hidden="1" customHeight="1" spans="1:61">
      <c r="A12" s="46"/>
      <c r="B12" s="46"/>
      <c r="C12" s="46"/>
      <c r="D12" s="46"/>
      <c r="E12" s="1053"/>
      <c r="F12" s="1053"/>
      <c r="G12" s="1053"/>
      <c r="H12" s="1053"/>
      <c r="I12" s="1058"/>
      <c r="J12" s="1058"/>
      <c r="K12" s="229"/>
      <c r="L12" s="1054"/>
      <c r="P12" s="93"/>
      <c r="Q12" s="93"/>
      <c r="R12" s="1069"/>
      <c r="S12" s="1076"/>
      <c r="T12" s="1077"/>
      <c r="U12" s="84"/>
      <c r="V12" s="1074"/>
      <c r="W12" s="1078" t="str">
        <f>Z8&amp;"-"&amp;AB8</f>
        <v>-</v>
      </c>
      <c r="X12" s="1074"/>
      <c r="Y12" s="1078" t="str">
        <f>AB8&amp;"-"&amp;AD8</f>
        <v>-да</v>
      </c>
      <c r="Z12" s="1074"/>
      <c r="AA12" s="1074"/>
      <c r="AB12" s="1074"/>
      <c r="AC12" s="1074"/>
      <c r="AD12" s="480"/>
      <c r="AE12" s="1094"/>
      <c r="AF12" s="1095"/>
      <c r="AG12" s="332" t="s">
        <v>497</v>
      </c>
      <c r="AH12" s="1074"/>
      <c r="AI12" s="1074"/>
      <c r="AJ12" s="1074"/>
      <c r="AK12" s="1074"/>
      <c r="AL12" s="1074"/>
      <c r="AM12" s="1074"/>
      <c r="AN12" s="1074"/>
      <c r="AO12" s="1074"/>
      <c r="AP12" s="1074"/>
      <c r="AQ12" s="1074"/>
      <c r="AR12" s="1074"/>
      <c r="AS12" s="1074"/>
      <c r="AT12" s="1074"/>
      <c r="AU12" s="1078" t="str">
        <f>AX8&amp;"-"&amp;AZ8</f>
        <v>-</v>
      </c>
      <c r="AV12" s="1074"/>
      <c r="AW12" s="1078" t="str">
        <f>AZ8&amp;"-"&amp;BB8</f>
        <v>-</v>
      </c>
      <c r="AX12" s="1074"/>
      <c r="AY12" s="1074"/>
      <c r="AZ12" s="1074"/>
      <c r="BA12" s="1074"/>
      <c r="BB12" s="1122" t="str">
        <f>BE8&amp;"-"&amp;BG8</f>
        <v>-</v>
      </c>
      <c r="BC12" s="144"/>
      <c r="BE12" s="151"/>
      <c r="BF12" s="151" t="str">
        <f t="shared" ref="BF12:BF18" si="1">IF(T12="","",T12)</f>
        <v/>
      </c>
      <c r="BG12" s="151"/>
      <c r="BH12" s="151"/>
      <c r="BI12" s="43">
        <v>0</v>
      </c>
    </row>
    <row r="13" ht="11.25" hidden="1" customHeight="1" spans="1:61">
      <c r="A13" s="46"/>
      <c r="B13" s="46"/>
      <c r="C13" s="46"/>
      <c r="D13" s="46"/>
      <c r="E13" s="1053"/>
      <c r="F13" s="1053"/>
      <c r="G13" s="1053"/>
      <c r="H13" s="1053"/>
      <c r="I13" s="1058"/>
      <c r="J13" s="229"/>
      <c r="K13" s="46"/>
      <c r="L13" s="1054"/>
      <c r="P13" s="93"/>
      <c r="Q13" s="93"/>
      <c r="R13" s="94"/>
      <c r="S13" s="105"/>
      <c r="T13" s="108" t="s">
        <v>460</v>
      </c>
      <c r="U13" s="107"/>
      <c r="V13" s="107"/>
      <c r="W13" s="107"/>
      <c r="X13" s="107"/>
      <c r="Y13" s="107"/>
      <c r="Z13" s="107"/>
      <c r="AA13" s="107"/>
      <c r="AB13" s="107"/>
      <c r="AC13" s="107"/>
      <c r="AD13" s="109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45"/>
      <c r="BC13" s="146"/>
      <c r="BE13" s="151"/>
      <c r="BF13" s="151" t="str">
        <f t="shared" si="1"/>
        <v>Добавить строку</v>
      </c>
      <c r="BG13" s="151"/>
      <c r="BH13" s="151"/>
      <c r="BI13" s="43">
        <v>0</v>
      </c>
    </row>
    <row r="14" s="44" customFormat="1" hidden="1" customHeight="1" spans="1:61">
      <c r="A14" s="590"/>
      <c r="B14" s="590"/>
      <c r="C14" s="590"/>
      <c r="D14" s="590"/>
      <c r="E14" s="1053"/>
      <c r="F14" s="1053"/>
      <c r="G14" s="1053"/>
      <c r="H14" s="1053"/>
      <c r="I14" s="229"/>
      <c r="J14" s="590"/>
      <c r="K14" s="590"/>
      <c r="L14" s="611"/>
      <c r="M14" s="1057"/>
      <c r="N14" s="1057"/>
      <c r="O14" s="1057"/>
      <c r="P14" s="93"/>
      <c r="Q14" s="93"/>
      <c r="R14" s="94"/>
      <c r="S14" s="1079"/>
      <c r="T14" s="1080"/>
      <c r="U14" s="1081"/>
      <c r="V14" s="1081"/>
      <c r="W14" s="1081"/>
      <c r="X14" s="1081"/>
      <c r="Y14" s="1081"/>
      <c r="Z14" s="1081"/>
      <c r="AA14" s="1081"/>
      <c r="AB14" s="1081"/>
      <c r="AC14" s="1081"/>
      <c r="AD14" s="1081"/>
      <c r="AE14" s="1081"/>
      <c r="AF14" s="1081"/>
      <c r="AG14" s="1081"/>
      <c r="AH14" s="1081"/>
      <c r="AI14" s="1081"/>
      <c r="AJ14" s="1081"/>
      <c r="AK14" s="1081"/>
      <c r="AL14" s="1081"/>
      <c r="AM14" s="1081"/>
      <c r="AN14" s="1081"/>
      <c r="AO14" s="1081"/>
      <c r="AP14" s="1081"/>
      <c r="AQ14" s="1081"/>
      <c r="AR14" s="1081"/>
      <c r="AS14" s="1081"/>
      <c r="AT14" s="1081"/>
      <c r="AU14" s="1081"/>
      <c r="AV14" s="1081"/>
      <c r="AW14" s="1081"/>
      <c r="AX14" s="1081"/>
      <c r="AY14" s="1081"/>
      <c r="AZ14" s="1081"/>
      <c r="BA14" s="1081"/>
      <c r="BB14" s="1081"/>
      <c r="BC14" s="1123"/>
      <c r="BE14" s="151"/>
      <c r="BF14" s="151" t="str">
        <f t="shared" si="1"/>
        <v/>
      </c>
      <c r="BG14" s="151"/>
      <c r="BH14" s="151"/>
      <c r="BI14" s="44">
        <v>0</v>
      </c>
    </row>
    <row r="15" s="44" customFormat="1" hidden="1" customHeight="1" spans="1:61">
      <c r="A15" s="590"/>
      <c r="B15" s="590"/>
      <c r="C15" s="590"/>
      <c r="D15" s="590"/>
      <c r="E15" s="1053"/>
      <c r="F15" s="1053"/>
      <c r="G15" s="1053"/>
      <c r="H15" s="1052"/>
      <c r="I15" s="590"/>
      <c r="J15" s="590"/>
      <c r="K15" s="590"/>
      <c r="L15" s="611"/>
      <c r="M15" s="283"/>
      <c r="N15" s="283"/>
      <c r="P15" s="152"/>
      <c r="Q15" s="1082"/>
      <c r="R15" s="1083"/>
      <c r="S15" s="1079"/>
      <c r="T15" s="1080"/>
      <c r="U15" s="1081"/>
      <c r="V15" s="1081"/>
      <c r="W15" s="1081"/>
      <c r="X15" s="1081"/>
      <c r="Y15" s="1081"/>
      <c r="Z15" s="1081"/>
      <c r="AA15" s="1081"/>
      <c r="AB15" s="1081"/>
      <c r="AC15" s="1081"/>
      <c r="AD15" s="1081"/>
      <c r="AE15" s="1081"/>
      <c r="AF15" s="1081"/>
      <c r="AG15" s="1081"/>
      <c r="AH15" s="1081"/>
      <c r="AI15" s="1081"/>
      <c r="AJ15" s="1081"/>
      <c r="AK15" s="1081"/>
      <c r="AL15" s="1081"/>
      <c r="AM15" s="1081"/>
      <c r="AN15" s="1081"/>
      <c r="AO15" s="1081"/>
      <c r="AP15" s="1081"/>
      <c r="AQ15" s="1081"/>
      <c r="AR15" s="1081"/>
      <c r="AS15" s="1081"/>
      <c r="AT15" s="1081"/>
      <c r="AU15" s="1081"/>
      <c r="AV15" s="1081"/>
      <c r="AW15" s="1081"/>
      <c r="AX15" s="1081"/>
      <c r="AY15" s="1081"/>
      <c r="AZ15" s="1081"/>
      <c r="BA15" s="1081"/>
      <c r="BB15" s="1081"/>
      <c r="BC15" s="1123"/>
      <c r="BE15" s="151"/>
      <c r="BF15" s="151" t="str">
        <f t="shared" si="1"/>
        <v/>
      </c>
      <c r="BG15" s="151"/>
      <c r="BH15" s="151"/>
      <c r="BI15" s="44">
        <v>0</v>
      </c>
    </row>
    <row r="16" s="44" customFormat="1" hidden="1" customHeight="1" spans="1:61">
      <c r="A16" s="590"/>
      <c r="B16" s="590"/>
      <c r="C16" s="590"/>
      <c r="D16" s="590"/>
      <c r="E16" s="1053"/>
      <c r="F16" s="1053"/>
      <c r="G16" s="1052"/>
      <c r="H16" s="590"/>
      <c r="I16" s="590"/>
      <c r="J16" s="590"/>
      <c r="K16" s="590"/>
      <c r="L16" s="611"/>
      <c r="M16" s="283"/>
      <c r="N16" s="283"/>
      <c r="P16" s="152"/>
      <c r="Q16" s="1082"/>
      <c r="R16" s="152"/>
      <c r="S16" s="1084"/>
      <c r="T16" s="1085"/>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E16" s="151"/>
      <c r="BF16" s="151" t="str">
        <f t="shared" si="1"/>
        <v/>
      </c>
      <c r="BG16" s="151"/>
      <c r="BH16" s="151"/>
      <c r="BI16" s="44">
        <v>0</v>
      </c>
    </row>
    <row r="17" s="44" customFormat="1" hidden="1" customHeight="1" spans="1:61">
      <c r="A17" s="590"/>
      <c r="B17" s="590"/>
      <c r="C17" s="590"/>
      <c r="D17" s="590"/>
      <c r="E17" s="1053"/>
      <c r="F17" s="1052"/>
      <c r="G17" s="590"/>
      <c r="H17" s="590"/>
      <c r="I17" s="590"/>
      <c r="J17" s="590"/>
      <c r="K17" s="590"/>
      <c r="L17" s="611"/>
      <c r="M17" s="1059"/>
      <c r="N17" s="1059"/>
      <c r="P17" s="152"/>
      <c r="Q17" s="1082"/>
      <c r="R17" s="152"/>
      <c r="S17" s="1084"/>
      <c r="T17" s="1085" t="s">
        <v>411</v>
      </c>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V17" s="307"/>
      <c r="AW17" s="307"/>
      <c r="AX17" s="307"/>
      <c r="AY17" s="307"/>
      <c r="AZ17" s="307"/>
      <c r="BA17" s="307"/>
      <c r="BB17" s="307"/>
      <c r="BC17" s="307"/>
      <c r="BE17" s="151"/>
      <c r="BF17" s="151" t="str">
        <f t="shared" si="1"/>
        <v>Добавить централизованную систему для дифференциации</v>
      </c>
      <c r="BG17" s="151"/>
      <c r="BH17" s="151"/>
      <c r="BI17" s="44">
        <v>0</v>
      </c>
    </row>
    <row r="18" s="44" customFormat="1" hidden="1" customHeight="1" spans="1:61">
      <c r="A18" s="590"/>
      <c r="B18" s="590"/>
      <c r="C18" s="590"/>
      <c r="D18" s="590"/>
      <c r="E18" s="1052"/>
      <c r="F18" s="590"/>
      <c r="G18" s="590"/>
      <c r="H18" s="590"/>
      <c r="I18" s="590"/>
      <c r="J18" s="590"/>
      <c r="K18" s="590"/>
      <c r="L18" s="611"/>
      <c r="M18" s="1059"/>
      <c r="N18" s="1059"/>
      <c r="P18" s="152"/>
      <c r="Q18" s="1082"/>
      <c r="R18" s="152"/>
      <c r="S18" s="1084"/>
      <c r="T18" s="1085" t="s">
        <v>412</v>
      </c>
      <c r="U18" s="307"/>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c r="AY18" s="307"/>
      <c r="AZ18" s="307"/>
      <c r="BA18" s="307"/>
      <c r="BB18" s="307"/>
      <c r="BC18" s="307"/>
      <c r="BE18" s="151"/>
      <c r="BF18" s="151" t="str">
        <f t="shared" si="1"/>
        <v>Добавить территорию для дифференциации</v>
      </c>
      <c r="BG18" s="151"/>
      <c r="BH18" s="151"/>
      <c r="BI18" s="44">
        <v>0</v>
      </c>
    </row>
    <row r="19" hidden="1" customHeight="1" spans="61:61">
      <c r="BI19" s="43">
        <v>0</v>
      </c>
    </row>
    <row r="20" hidden="1" customHeight="1" spans="30:61">
      <c r="AD20" s="307" t="s">
        <v>19</v>
      </c>
      <c r="AE20" s="1097"/>
      <c r="AF20" s="307">
        <v>1</v>
      </c>
      <c r="AG20" s="1109"/>
      <c r="AH20" s="307" t="s">
        <v>19</v>
      </c>
      <c r="AI20" s="1097"/>
      <c r="AJ20" s="307">
        <v>1</v>
      </c>
      <c r="AK20" s="1109"/>
      <c r="AL20" s="307" t="s">
        <v>19</v>
      </c>
      <c r="AM20" s="1110"/>
      <c r="AN20" s="307">
        <v>1</v>
      </c>
      <c r="AO20" s="630"/>
      <c r="AP20" s="307" t="s">
        <v>19</v>
      </c>
      <c r="AQ20" s="1110"/>
      <c r="AR20" s="307">
        <v>1</v>
      </c>
      <c r="AS20" s="630"/>
      <c r="AT20" s="103"/>
      <c r="AU20" s="1119"/>
      <c r="AV20" s="103"/>
      <c r="AW20" s="1119"/>
      <c r="AX20" s="1124"/>
      <c r="AY20" s="496" t="s">
        <v>66</v>
      </c>
      <c r="AZ20" s="1124"/>
      <c r="BA20" s="496" t="s">
        <v>66</v>
      </c>
      <c r="BI20" s="43">
        <v>0</v>
      </c>
    </row>
    <row r="21" hidden="1" customHeight="1" spans="56:61">
      <c r="BD21" s="37"/>
      <c r="BE21" s="37"/>
      <c r="BF21" s="37"/>
      <c r="BG21" s="37"/>
      <c r="BH21" s="37"/>
      <c r="BI21" s="43">
        <v>0</v>
      </c>
    </row>
    <row r="22" hidden="1" customHeight="1" spans="15:61">
      <c r="O22" s="1060" t="s">
        <v>413</v>
      </c>
      <c r="Z22" s="1098"/>
      <c r="AB22" s="1098"/>
      <c r="AX22" s="1098"/>
      <c r="AZ22" s="1098"/>
      <c r="BD22" s="37"/>
      <c r="BE22" s="37"/>
      <c r="BF22" s="37"/>
      <c r="BG22" s="37"/>
      <c r="BH22" s="37"/>
      <c r="BI22" s="43">
        <v>0</v>
      </c>
    </row>
    <row r="23" hidden="1" customHeight="1" spans="56:61">
      <c r="BD23" s="37"/>
      <c r="BE23" s="37"/>
      <c r="BF23" s="37"/>
      <c r="BG23" s="37"/>
      <c r="BH23" s="37"/>
      <c r="BI23" s="43">
        <v>0</v>
      </c>
    </row>
    <row r="24" s="1050" customFormat="1" hidden="1" customHeight="1" spans="13:61">
      <c r="M24" s="49"/>
      <c r="N24" s="49"/>
      <c r="O24" s="1050" t="s">
        <v>414</v>
      </c>
      <c r="P24" s="49"/>
      <c r="Q24" s="1086"/>
      <c r="R24" s="1086"/>
      <c r="AA24" s="1050" t="s">
        <v>416</v>
      </c>
      <c r="AC24" s="1050" t="s">
        <v>417</v>
      </c>
      <c r="AD24" s="1050" t="s">
        <v>461</v>
      </c>
      <c r="AH24" s="1050" t="s">
        <v>461</v>
      </c>
      <c r="AK24" s="1050" t="s">
        <v>498</v>
      </c>
      <c r="AL24" s="1050" t="s">
        <v>461</v>
      </c>
      <c r="AP24" s="1050" t="s">
        <v>461</v>
      </c>
      <c r="AY24" s="1050" t="s">
        <v>416</v>
      </c>
      <c r="BA24" s="1050" t="s">
        <v>417</v>
      </c>
      <c r="BD24" s="1125"/>
      <c r="BE24" s="1125"/>
      <c r="BF24" s="1125"/>
      <c r="BG24" s="1125"/>
      <c r="BH24" s="1125"/>
      <c r="BI24" s="1050">
        <v>0</v>
      </c>
    </row>
    <row r="25" hidden="1" customHeight="1" spans="15:61">
      <c r="O25" s="1054"/>
      <c r="BD25" s="37"/>
      <c r="BE25" s="37"/>
      <c r="BF25" s="37"/>
      <c r="BG25" s="37"/>
      <c r="BH25" s="37"/>
      <c r="BI25" s="43">
        <v>0</v>
      </c>
    </row>
    <row r="26" hidden="1" customHeight="1" spans="15:61">
      <c r="O26" s="1054"/>
      <c r="BD26" s="37"/>
      <c r="BE26" s="37"/>
      <c r="BF26" s="37"/>
      <c r="BG26" s="37"/>
      <c r="BH26" s="37"/>
      <c r="BI26" s="43">
        <v>0</v>
      </c>
    </row>
    <row r="27" ht="14.7" customHeight="1" spans="17:61">
      <c r="Q27" s="1087"/>
      <c r="R27" s="51"/>
      <c r="S27" s="52"/>
      <c r="T27" s="53"/>
      <c r="U27" s="53"/>
      <c r="BI27" s="43">
        <v>14</v>
      </c>
    </row>
    <row r="28" ht="14.7" customHeight="1" spans="17:61">
      <c r="Q28" s="1087"/>
      <c r="R28" s="51"/>
      <c r="S28" s="7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755"/>
      <c r="U28" s="755"/>
      <c r="V28" s="755"/>
      <c r="W28" s="755"/>
      <c r="X28" s="755"/>
      <c r="Y28" s="755"/>
      <c r="Z28" s="755"/>
      <c r="AA28" s="755"/>
      <c r="AB28" s="755"/>
      <c r="AC28" s="755"/>
      <c r="AD28" s="755"/>
      <c r="AE28" s="755"/>
      <c r="AF28" s="755"/>
      <c r="AG28" s="755"/>
      <c r="AH28" s="755"/>
      <c r="AI28" s="755"/>
      <c r="AJ28" s="755"/>
      <c r="AK28" s="755"/>
      <c r="AL28" s="755"/>
      <c r="AM28" s="755"/>
      <c r="AN28" s="755"/>
      <c r="AO28" s="755"/>
      <c r="AP28" s="755"/>
      <c r="AQ28" s="755"/>
      <c r="AR28" s="755"/>
      <c r="AS28" s="755"/>
      <c r="AT28" s="755"/>
      <c r="AU28" s="755"/>
      <c r="AV28" s="755"/>
      <c r="AW28" s="755"/>
      <c r="AX28" s="755"/>
      <c r="AY28" s="755"/>
      <c r="AZ28" s="755"/>
      <c r="BA28" s="121"/>
      <c r="BI28" s="43">
        <v>14</v>
      </c>
    </row>
    <row r="29" ht="14.7" customHeight="1" spans="17:61">
      <c r="Q29" s="1087"/>
      <c r="R29" s="51"/>
      <c r="S29" s="660" t="str">
        <f>IF(org=0,"Не определено",org)</f>
        <v>АО "Теплокоммунэнерго"</v>
      </c>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121"/>
      <c r="BI29" s="43">
        <v>14</v>
      </c>
    </row>
    <row r="30" hidden="1" customHeight="1" spans="17:61">
      <c r="Q30" s="1087"/>
      <c r="R30" s="51"/>
      <c r="S30" s="52"/>
      <c r="T30" s="53"/>
      <c r="U30" s="53"/>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I30" s="43">
        <v>0</v>
      </c>
    </row>
    <row r="31" s="36" customFormat="1" ht="25.5" hidden="1" customHeight="1" spans="1:61">
      <c r="A31" s="45"/>
      <c r="B31" s="45"/>
      <c r="C31" s="45"/>
      <c r="D31" s="45"/>
      <c r="E31" s="45"/>
      <c r="F31" s="45"/>
      <c r="G31" s="45"/>
      <c r="H31" s="45"/>
      <c r="I31" s="45"/>
      <c r="J31" s="45"/>
      <c r="K31" s="45"/>
      <c r="L31" s="1054"/>
      <c r="M31" s="45"/>
      <c r="N31" s="45"/>
      <c r="O31" s="45"/>
      <c r="P31" s="45"/>
      <c r="Q31" s="45"/>
      <c r="S31" s="5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58"/>
      <c r="U31" s="1088"/>
      <c r="V31" s="60" t="str">
        <f>IF(TITLE_NAME_OR_PR_CHANGE="",IF(TITLE_NAME_OR_PR="","",TITLE_NAME_OR_PR),TITLE_NAME_OR_PR_CHANGE)</f>
        <v/>
      </c>
      <c r="W31" s="60"/>
      <c r="X31" s="60"/>
      <c r="Y31" s="60"/>
      <c r="Z31" s="60"/>
      <c r="AA31" s="60"/>
      <c r="AB31" s="60"/>
      <c r="AC31" s="43"/>
      <c r="AD31" s="60" t="str">
        <f>IF(TITLE_NAME_OR_PR_CHANGE="",IF(TITLE_NAME_OR_PR="","",TITLE_NAME_OR_PR),TITLE_NAME_OR_PR_CHANGE)</f>
        <v/>
      </c>
      <c r="AE31" s="60"/>
      <c r="AF31" s="60"/>
      <c r="AG31" s="60"/>
      <c r="AH31" s="60"/>
      <c r="AI31" s="60"/>
      <c r="AJ31" s="60"/>
      <c r="AK31" s="60"/>
      <c r="AL31" s="60"/>
      <c r="AM31" s="60"/>
      <c r="AN31" s="60"/>
      <c r="AO31" s="60"/>
      <c r="AP31" s="60"/>
      <c r="AQ31" s="60"/>
      <c r="AR31" s="60"/>
      <c r="AS31" s="60"/>
      <c r="AT31" s="60"/>
      <c r="AU31" s="60"/>
      <c r="AV31" s="60"/>
      <c r="AW31" s="60"/>
      <c r="AX31" s="60"/>
      <c r="AY31" s="60"/>
      <c r="AZ31" s="60"/>
      <c r="BA31" s="43"/>
      <c r="BB31" s="43"/>
      <c r="BC31" s="122"/>
      <c r="BD31" s="151"/>
      <c r="BE31" s="151"/>
      <c r="BF31" s="151"/>
      <c r="BG31" s="151"/>
      <c r="BH31" s="151"/>
      <c r="BI31" s="36">
        <v>0</v>
      </c>
    </row>
    <row r="32" s="36" customFormat="1" ht="18.75" hidden="1" customHeight="1" spans="1:61">
      <c r="A32" s="45"/>
      <c r="B32" s="45"/>
      <c r="C32" s="45"/>
      <c r="D32" s="45"/>
      <c r="E32" s="45"/>
      <c r="F32" s="45"/>
      <c r="G32" s="45"/>
      <c r="H32" s="45"/>
      <c r="I32" s="45"/>
      <c r="J32" s="45"/>
      <c r="K32" s="45"/>
      <c r="L32" s="1054"/>
      <c r="M32" s="45"/>
      <c r="N32" s="45"/>
      <c r="O32" s="45"/>
      <c r="P32" s="45"/>
      <c r="Q32" s="45"/>
      <c r="S32" s="58" t="str">
        <f>"Дата документа об "&amp;IF(TITLE_DATE_PR_CHANGE="","утверждении","изменении")&amp;" тарифов"</f>
        <v>Дата документа об утверждении тарифов</v>
      </c>
      <c r="T32" s="58"/>
      <c r="U32" s="1088"/>
      <c r="V32" s="793" t="str">
        <f>IF(TITLE_DATE_PR_CHANGE="",IF(TITLE_DATE_PR="","",TITLE_DATE_PR),TITLE_DATE_PR_CHANGE)</f>
        <v/>
      </c>
      <c r="W32" s="793"/>
      <c r="X32" s="793"/>
      <c r="Y32" s="793"/>
      <c r="Z32" s="793"/>
      <c r="AA32" s="793"/>
      <c r="AB32" s="793"/>
      <c r="AC32" s="43"/>
      <c r="AD32" s="793" t="str">
        <f>IF(TITLE_DATE_PR_CHANGE="",IF(TITLE_DATE_PR="","",TITLE_DATE_PR),TITLE_DATE_PR_CHANGE)</f>
        <v/>
      </c>
      <c r="AE32" s="793"/>
      <c r="AF32" s="793"/>
      <c r="AG32" s="793"/>
      <c r="AH32" s="793"/>
      <c r="AI32" s="793"/>
      <c r="AJ32" s="793"/>
      <c r="AK32" s="793"/>
      <c r="AL32" s="793"/>
      <c r="AM32" s="793"/>
      <c r="AN32" s="793"/>
      <c r="AO32" s="793"/>
      <c r="AP32" s="793"/>
      <c r="AQ32" s="793"/>
      <c r="AR32" s="793"/>
      <c r="AS32" s="793"/>
      <c r="AT32" s="793"/>
      <c r="AU32" s="793"/>
      <c r="AV32" s="793"/>
      <c r="AW32" s="793"/>
      <c r="AX32" s="793"/>
      <c r="AY32" s="793"/>
      <c r="AZ32" s="793"/>
      <c r="BA32" s="43"/>
      <c r="BB32" s="43"/>
      <c r="BC32" s="122"/>
      <c r="BD32" s="151"/>
      <c r="BE32" s="151"/>
      <c r="BF32" s="151"/>
      <c r="BG32" s="151"/>
      <c r="BH32" s="151"/>
      <c r="BI32" s="36">
        <v>0</v>
      </c>
    </row>
    <row r="33" s="36" customFormat="1" ht="18.75" hidden="1" customHeight="1" spans="1:61">
      <c r="A33" s="45"/>
      <c r="B33" s="45"/>
      <c r="C33" s="45"/>
      <c r="D33" s="45"/>
      <c r="E33" s="45"/>
      <c r="F33" s="45"/>
      <c r="G33" s="45"/>
      <c r="H33" s="45"/>
      <c r="I33" s="45"/>
      <c r="J33" s="45"/>
      <c r="K33" s="45"/>
      <c r="L33" s="1054"/>
      <c r="M33" s="45"/>
      <c r="N33" s="45"/>
      <c r="O33" s="45"/>
      <c r="P33" s="45"/>
      <c r="Q33" s="45"/>
      <c r="S33" s="58" t="str">
        <f>"Номер документа об "&amp;IF(TITLE_DATE_PR_CHANGE="","утверждении","изменении")&amp;" тарифов"</f>
        <v>Номер документа об утверждении тарифов</v>
      </c>
      <c r="T33" s="58"/>
      <c r="U33" s="1088"/>
      <c r="V33" s="60" t="str">
        <f>IF(TITLE_NUMBER_PR_CHANGE="",IF(TITLE_NUMBER_PR="","",TITLE_NUMBER_PR),TITLE_NUMBER_PR_CHANGE)</f>
        <v/>
      </c>
      <c r="W33" s="60"/>
      <c r="X33" s="60"/>
      <c r="Y33" s="60"/>
      <c r="Z33" s="60"/>
      <c r="AA33" s="60"/>
      <c r="AB33" s="60"/>
      <c r="AC33" s="43"/>
      <c r="AD33" s="60" t="str">
        <f>IF(TITLE_NUMBER_PR_CHANGE="",IF(TITLE_NUMBER_PR="","",TITLE_NUMBER_PR),TITLE_NUMBER_PR_CHANGE)</f>
        <v/>
      </c>
      <c r="AE33" s="60"/>
      <c r="AF33" s="60"/>
      <c r="AG33" s="60"/>
      <c r="AH33" s="60"/>
      <c r="AI33" s="60"/>
      <c r="AJ33" s="60"/>
      <c r="AK33" s="60"/>
      <c r="AL33" s="60"/>
      <c r="AM33" s="60"/>
      <c r="AN33" s="60"/>
      <c r="AO33" s="60"/>
      <c r="AP33" s="60"/>
      <c r="AQ33" s="60"/>
      <c r="AR33" s="60"/>
      <c r="AS33" s="60"/>
      <c r="AT33" s="60"/>
      <c r="AU33" s="60"/>
      <c r="AV33" s="60"/>
      <c r="AW33" s="60"/>
      <c r="AX33" s="60"/>
      <c r="AY33" s="60"/>
      <c r="AZ33" s="60"/>
      <c r="BA33" s="43"/>
      <c r="BB33" s="43"/>
      <c r="BC33" s="122"/>
      <c r="BD33" s="151"/>
      <c r="BE33" s="151"/>
      <c r="BF33" s="151"/>
      <c r="BG33" s="151"/>
      <c r="BH33" s="151"/>
      <c r="BI33" s="36">
        <v>0</v>
      </c>
    </row>
    <row r="34" s="36" customFormat="1" ht="18.75" hidden="1" customHeight="1" spans="1:61">
      <c r="A34" s="45"/>
      <c r="B34" s="45"/>
      <c r="C34" s="45"/>
      <c r="D34" s="45"/>
      <c r="E34" s="45"/>
      <c r="F34" s="45"/>
      <c r="G34" s="45"/>
      <c r="H34" s="45"/>
      <c r="I34" s="45"/>
      <c r="J34" s="45"/>
      <c r="K34" s="45"/>
      <c r="L34" s="1054"/>
      <c r="M34" s="45"/>
      <c r="N34" s="45"/>
      <c r="O34" s="45"/>
      <c r="P34" s="45"/>
      <c r="Q34" s="45"/>
      <c r="S34" s="58" t="s">
        <v>43</v>
      </c>
      <c r="T34" s="58"/>
      <c r="U34" s="1088"/>
      <c r="V34" s="60" t="str">
        <f>IF(TITLE_IST_PUB_CHANGE="",IF(TITLE_IST_PUB="","",TITLE_IST_PUB),TITLE_IST_PUB_CHANGE)</f>
        <v/>
      </c>
      <c r="W34" s="60"/>
      <c r="X34" s="60"/>
      <c r="Y34" s="60"/>
      <c r="Z34" s="60"/>
      <c r="AA34" s="60"/>
      <c r="AB34" s="60"/>
      <c r="AC34" s="43"/>
      <c r="AD34" s="60" t="str">
        <f>IF(TITLE_IST_PUB_CHANGE="",IF(TITLE_IST_PUB="","",TITLE_IST_PUB),TITLE_IST_PUB_CHANGE)</f>
        <v/>
      </c>
      <c r="AE34" s="60"/>
      <c r="AF34" s="60"/>
      <c r="AG34" s="60"/>
      <c r="AH34" s="60"/>
      <c r="AI34" s="60"/>
      <c r="AJ34" s="60"/>
      <c r="AK34" s="60"/>
      <c r="AL34" s="60"/>
      <c r="AM34" s="60"/>
      <c r="AN34" s="60"/>
      <c r="AO34" s="60"/>
      <c r="AP34" s="60"/>
      <c r="AQ34" s="60"/>
      <c r="AR34" s="60"/>
      <c r="AS34" s="60"/>
      <c r="AT34" s="60"/>
      <c r="AU34" s="60"/>
      <c r="AV34" s="60"/>
      <c r="AW34" s="60"/>
      <c r="AX34" s="60"/>
      <c r="AY34" s="60"/>
      <c r="AZ34" s="60"/>
      <c r="BA34" s="43"/>
      <c r="BB34" s="43"/>
      <c r="BC34" s="122"/>
      <c r="BD34" s="151"/>
      <c r="BE34" s="151"/>
      <c r="BF34" s="151"/>
      <c r="BG34" s="151"/>
      <c r="BH34" s="151"/>
      <c r="BI34" s="36">
        <v>0</v>
      </c>
    </row>
    <row r="35" hidden="1" customHeight="1" spans="17:61">
      <c r="Q35" s="1087"/>
      <c r="R35" s="51"/>
      <c r="S35" s="52"/>
      <c r="T35" s="53"/>
      <c r="U35" s="53"/>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I35" s="43">
        <v>0</v>
      </c>
    </row>
    <row r="36" s="36" customFormat="1" ht="18.75" hidden="1" customHeight="1" spans="1:61">
      <c r="A36" s="45"/>
      <c r="B36" s="45"/>
      <c r="C36" s="45"/>
      <c r="D36" s="45"/>
      <c r="E36" s="45"/>
      <c r="F36" s="45"/>
      <c r="G36" s="45"/>
      <c r="H36" s="45"/>
      <c r="I36" s="45"/>
      <c r="J36" s="45"/>
      <c r="K36" s="45"/>
      <c r="L36" s="1054"/>
      <c r="M36" s="45"/>
      <c r="N36" s="45"/>
      <c r="O36" s="45"/>
      <c r="P36" s="45"/>
      <c r="Q36" s="45"/>
      <c r="S36" s="58" t="str">
        <f>"Дата подачи заявления об "&amp;IF(TITLE_DATE_PR_CHANGE="","утверждении","изменении")&amp;" тарифов"</f>
        <v>Дата подачи заявления об утверждении тарифов</v>
      </c>
      <c r="T36" s="58"/>
      <c r="U36" s="1088"/>
      <c r="V36" s="793" t="str">
        <f>IF(TITLE_DATE_PR_CHANGE="",IF(TITLE_DATE_PR="","",TITLE_DATE_PR),TITLE_DATE_PR_CHANGE)</f>
        <v/>
      </c>
      <c r="W36" s="793"/>
      <c r="X36" s="793"/>
      <c r="Y36" s="793"/>
      <c r="Z36" s="793"/>
      <c r="AA36" s="793"/>
      <c r="AB36" s="793"/>
      <c r="AC36" s="43"/>
      <c r="AD36" s="793" t="str">
        <f>IF(TITLE_DATE_PR_CHANGE="",IF(TITLE_DATE_PR="","",TITLE_DATE_PR),TITLE_DATE_PR_CHANGE)</f>
        <v/>
      </c>
      <c r="AE36" s="793"/>
      <c r="AF36" s="793"/>
      <c r="AG36" s="793"/>
      <c r="AH36" s="793"/>
      <c r="AI36" s="793"/>
      <c r="AJ36" s="793"/>
      <c r="AK36" s="793"/>
      <c r="AL36" s="793"/>
      <c r="AM36" s="793"/>
      <c r="AN36" s="793"/>
      <c r="AO36" s="793"/>
      <c r="AP36" s="793"/>
      <c r="AQ36" s="793"/>
      <c r="AR36" s="793"/>
      <c r="AS36" s="793"/>
      <c r="AT36" s="793"/>
      <c r="AU36" s="793"/>
      <c r="AV36" s="793"/>
      <c r="AW36" s="793"/>
      <c r="AX36" s="793"/>
      <c r="AY36" s="793"/>
      <c r="AZ36" s="793"/>
      <c r="BA36" s="43"/>
      <c r="BB36" s="43"/>
      <c r="BC36" s="122"/>
      <c r="BD36" s="151"/>
      <c r="BE36" s="151"/>
      <c r="BF36" s="151"/>
      <c r="BG36" s="151"/>
      <c r="BH36" s="151"/>
      <c r="BI36" s="36">
        <v>0</v>
      </c>
    </row>
    <row r="37" s="36" customFormat="1" ht="18.75" hidden="1" customHeight="1" spans="1:61">
      <c r="A37" s="45"/>
      <c r="B37" s="45"/>
      <c r="C37" s="45"/>
      <c r="D37" s="45"/>
      <c r="E37" s="45"/>
      <c r="F37" s="45"/>
      <c r="G37" s="45"/>
      <c r="H37" s="45"/>
      <c r="I37" s="45"/>
      <c r="J37" s="45"/>
      <c r="K37" s="45"/>
      <c r="L37" s="1054"/>
      <c r="M37" s="45"/>
      <c r="N37" s="45"/>
      <c r="O37" s="45"/>
      <c r="P37" s="45"/>
      <c r="Q37" s="45"/>
      <c r="S37" s="58" t="str">
        <f>"Номер подачи заявления об "&amp;IF(TITLE_DATE_PR_CHANGE="","утверждении","изменении")&amp;" тарифов"</f>
        <v>Номер подачи заявления об утверждении тарифов</v>
      </c>
      <c r="T37" s="58"/>
      <c r="U37" s="1088"/>
      <c r="V37" s="60" t="str">
        <f>IF(TITLE_NUMBER_PR_CHANGE="",IF(TITLE_NUMBER_PR="","",TITLE_NUMBER_PR),TITLE_NUMBER_PR_CHANGE)</f>
        <v/>
      </c>
      <c r="W37" s="60"/>
      <c r="X37" s="60"/>
      <c r="Y37" s="60"/>
      <c r="Z37" s="60"/>
      <c r="AA37" s="60"/>
      <c r="AB37" s="60"/>
      <c r="AC37" s="43"/>
      <c r="AD37" s="60" t="str">
        <f>IF(TITLE_NUMBER_PR_CHANGE="",IF(TITLE_NUMBER_PR="","",TITLE_NUMBER_PR),TITLE_NUMBER_PR_CHANGE)</f>
        <v/>
      </c>
      <c r="AE37" s="60"/>
      <c r="AF37" s="60"/>
      <c r="AG37" s="60"/>
      <c r="AH37" s="60"/>
      <c r="AI37" s="60"/>
      <c r="AJ37" s="60"/>
      <c r="AK37" s="60"/>
      <c r="AL37" s="60"/>
      <c r="AM37" s="60"/>
      <c r="AN37" s="60"/>
      <c r="AO37" s="60"/>
      <c r="AP37" s="60"/>
      <c r="AQ37" s="60"/>
      <c r="AR37" s="60"/>
      <c r="AS37" s="60"/>
      <c r="AT37" s="60"/>
      <c r="AU37" s="60"/>
      <c r="AV37" s="60"/>
      <c r="AW37" s="60"/>
      <c r="AX37" s="60"/>
      <c r="AY37" s="60"/>
      <c r="AZ37" s="60"/>
      <c r="BA37" s="43"/>
      <c r="BB37" s="43"/>
      <c r="BC37" s="122"/>
      <c r="BD37" s="151"/>
      <c r="BE37" s="151"/>
      <c r="BF37" s="151"/>
      <c r="BG37" s="151"/>
      <c r="BH37" s="151"/>
      <c r="BI37" s="36">
        <v>0</v>
      </c>
    </row>
    <row r="38" s="36" customFormat="1" hidden="1" customHeight="1" spans="1:61">
      <c r="A38" s="45"/>
      <c r="B38" s="45"/>
      <c r="C38" s="45"/>
      <c r="D38" s="45"/>
      <c r="E38" s="45"/>
      <c r="F38" s="45"/>
      <c r="G38" s="45"/>
      <c r="H38" s="45"/>
      <c r="I38" s="45"/>
      <c r="J38" s="45"/>
      <c r="K38" s="45"/>
      <c r="L38" s="1054"/>
      <c r="M38" s="45"/>
      <c r="N38" s="45"/>
      <c r="O38" s="45"/>
      <c r="P38" s="45"/>
      <c r="Q38" s="45"/>
      <c r="S38" s="43"/>
      <c r="T38" s="43"/>
      <c r="U38" s="61"/>
      <c r="V38" s="43"/>
      <c r="W38" s="43"/>
      <c r="X38" s="43"/>
      <c r="Y38" s="43"/>
      <c r="Z38" s="43"/>
      <c r="AA38" s="43"/>
      <c r="AB38" s="43"/>
      <c r="AC38" s="44" t="s">
        <v>419</v>
      </c>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4" t="s">
        <v>419</v>
      </c>
      <c r="BD38" s="151"/>
      <c r="BE38" s="151"/>
      <c r="BF38" s="151"/>
      <c r="BG38" s="151"/>
      <c r="BH38" s="151"/>
      <c r="BI38" s="36">
        <v>0</v>
      </c>
    </row>
    <row r="39" ht="14.7" customHeight="1" spans="17:61">
      <c r="Q39" s="1087"/>
      <c r="R39" s="51"/>
      <c r="S39" s="52"/>
      <c r="T39" s="53"/>
      <c r="U39" s="62"/>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I39" s="43">
        <v>14</v>
      </c>
    </row>
    <row r="40" ht="14.7" customHeight="1" spans="17:61">
      <c r="Q40" s="1087"/>
      <c r="R40" s="51"/>
      <c r="S40" s="64" t="s">
        <v>296</v>
      </c>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t="s">
        <v>297</v>
      </c>
      <c r="BI40" s="43">
        <v>14</v>
      </c>
    </row>
    <row r="41" ht="14.7" customHeight="1" spans="17:61">
      <c r="Q41" s="1087"/>
      <c r="R41" s="51"/>
      <c r="S41" s="65" t="s">
        <v>89</v>
      </c>
      <c r="T41" s="66" t="s">
        <v>501</v>
      </c>
      <c r="U41" s="67"/>
      <c r="V41" s="68" t="s">
        <v>421</v>
      </c>
      <c r="W41" s="69"/>
      <c r="X41" s="69"/>
      <c r="Y41" s="69"/>
      <c r="Z41" s="69"/>
      <c r="AA41" s="69"/>
      <c r="AB41" s="123"/>
      <c r="AC41" s="124" t="s">
        <v>422</v>
      </c>
      <c r="AD41" s="913" t="s">
        <v>502</v>
      </c>
      <c r="AE41" s="1099"/>
      <c r="AF41" s="1099"/>
      <c r="AG41" s="1111"/>
      <c r="AH41" s="913" t="s">
        <v>503</v>
      </c>
      <c r="AI41" s="1099"/>
      <c r="AJ41" s="1099"/>
      <c r="AK41" s="1111"/>
      <c r="AL41" s="913" t="s">
        <v>504</v>
      </c>
      <c r="AM41" s="1099"/>
      <c r="AN41" s="1099"/>
      <c r="AO41" s="1111"/>
      <c r="AP41" s="913" t="s">
        <v>505</v>
      </c>
      <c r="AQ41" s="1099"/>
      <c r="AR41" s="1099"/>
      <c r="AS41" s="1111"/>
      <c r="AT41" s="68" t="s">
        <v>421</v>
      </c>
      <c r="AU41" s="69"/>
      <c r="AV41" s="69"/>
      <c r="AW41" s="69"/>
      <c r="AX41" s="69"/>
      <c r="AY41" s="69"/>
      <c r="AZ41" s="123"/>
      <c r="BA41" s="124" t="s">
        <v>422</v>
      </c>
      <c r="BB41" s="125" t="s">
        <v>424</v>
      </c>
      <c r="BC41" s="64"/>
      <c r="BI41" s="43">
        <v>14</v>
      </c>
    </row>
    <row r="42" ht="35.7" customHeight="1" spans="17:61">
      <c r="Q42" s="1087"/>
      <c r="R42" s="51"/>
      <c r="S42" s="65"/>
      <c r="T42" s="66"/>
      <c r="U42" s="70"/>
      <c r="V42" s="903" t="s">
        <v>506</v>
      </c>
      <c r="W42" s="904"/>
      <c r="X42" s="903" t="s">
        <v>507</v>
      </c>
      <c r="Y42" s="904"/>
      <c r="Z42" s="903" t="s">
        <v>508</v>
      </c>
      <c r="AA42" s="1100"/>
      <c r="AB42" s="904"/>
      <c r="AC42" s="129"/>
      <c r="AD42" s="1101"/>
      <c r="AE42" s="1102"/>
      <c r="AF42" s="1102"/>
      <c r="AG42" s="1112"/>
      <c r="AH42" s="1101"/>
      <c r="AI42" s="1102"/>
      <c r="AJ42" s="1102"/>
      <c r="AK42" s="1112"/>
      <c r="AL42" s="1101"/>
      <c r="AM42" s="1102"/>
      <c r="AN42" s="1102"/>
      <c r="AO42" s="1112"/>
      <c r="AP42" s="1101"/>
      <c r="AQ42" s="1102"/>
      <c r="AR42" s="1102"/>
      <c r="AS42" s="1112"/>
      <c r="AT42" s="903" t="s">
        <v>506</v>
      </c>
      <c r="AU42" s="904"/>
      <c r="AV42" s="903" t="s">
        <v>507</v>
      </c>
      <c r="AW42" s="904"/>
      <c r="AX42" s="903" t="s">
        <v>508</v>
      </c>
      <c r="AY42" s="1100"/>
      <c r="AZ42" s="904"/>
      <c r="BA42" s="129"/>
      <c r="BB42" s="130"/>
      <c r="BC42" s="64"/>
      <c r="BI42" s="43">
        <v>34</v>
      </c>
    </row>
    <row r="43" ht="14.7" customHeight="1" spans="17:61">
      <c r="Q43" s="1087"/>
      <c r="R43" s="51"/>
      <c r="S43" s="65"/>
      <c r="T43" s="66"/>
      <c r="U43" s="70"/>
      <c r="V43" s="907"/>
      <c r="W43" s="908"/>
      <c r="X43" s="907"/>
      <c r="Y43" s="908"/>
      <c r="Z43" s="907"/>
      <c r="AA43" s="1103"/>
      <c r="AB43" s="908"/>
      <c r="AC43" s="129"/>
      <c r="AD43" s="1101"/>
      <c r="AE43" s="1102"/>
      <c r="AF43" s="1102"/>
      <c r="AG43" s="1112"/>
      <c r="AH43" s="1101"/>
      <c r="AI43" s="1102"/>
      <c r="AJ43" s="1102"/>
      <c r="AK43" s="1112"/>
      <c r="AL43" s="1101"/>
      <c r="AM43" s="1102"/>
      <c r="AN43" s="1102"/>
      <c r="AO43" s="1112"/>
      <c r="AP43" s="1101"/>
      <c r="AQ43" s="1102"/>
      <c r="AR43" s="1102"/>
      <c r="AS43" s="1112"/>
      <c r="AT43" s="907"/>
      <c r="AU43" s="908"/>
      <c r="AV43" s="907"/>
      <c r="AW43" s="908"/>
      <c r="AX43" s="907"/>
      <c r="AY43" s="1103"/>
      <c r="AZ43" s="908"/>
      <c r="BA43" s="129"/>
      <c r="BB43" s="130"/>
      <c r="BC43" s="64"/>
      <c r="BI43" s="43">
        <v>14</v>
      </c>
    </row>
    <row r="44" ht="14.7" customHeight="1" spans="1:61">
      <c r="A44" s="45"/>
      <c r="B44" s="45" t="s">
        <v>133</v>
      </c>
      <c r="C44" s="45" t="s">
        <v>134</v>
      </c>
      <c r="D44" s="45" t="s">
        <v>135</v>
      </c>
      <c r="E44" s="1054" t="s">
        <v>429</v>
      </c>
      <c r="F44" s="1054" t="s">
        <v>430</v>
      </c>
      <c r="G44" s="1054" t="s">
        <v>431</v>
      </c>
      <c r="H44" s="1054" t="s">
        <v>432</v>
      </c>
      <c r="I44" s="1054" t="s">
        <v>433</v>
      </c>
      <c r="J44" s="1054" t="s">
        <v>434</v>
      </c>
      <c r="K44" s="1054" t="s">
        <v>435</v>
      </c>
      <c r="L44" s="1054" t="s">
        <v>414</v>
      </c>
      <c r="Q44" s="1087"/>
      <c r="R44" s="51"/>
      <c r="S44" s="65"/>
      <c r="T44" s="66"/>
      <c r="U44" s="72"/>
      <c r="V44" s="66" t="s">
        <v>470</v>
      </c>
      <c r="W44" s="66" t="s">
        <v>471</v>
      </c>
      <c r="X44" s="66" t="s">
        <v>470</v>
      </c>
      <c r="Y44" s="66" t="s">
        <v>471</v>
      </c>
      <c r="Z44" s="131" t="s">
        <v>438</v>
      </c>
      <c r="AA44" s="132" t="s">
        <v>439</v>
      </c>
      <c r="AB44" s="133"/>
      <c r="AC44" s="134"/>
      <c r="AD44" s="1104"/>
      <c r="AE44" s="1105"/>
      <c r="AF44" s="1105"/>
      <c r="AG44" s="1113"/>
      <c r="AH44" s="1104"/>
      <c r="AI44" s="1105"/>
      <c r="AJ44" s="1105"/>
      <c r="AK44" s="1113"/>
      <c r="AL44" s="1104"/>
      <c r="AM44" s="1105"/>
      <c r="AN44" s="1105"/>
      <c r="AO44" s="1113"/>
      <c r="AP44" s="1104"/>
      <c r="AQ44" s="1105"/>
      <c r="AR44" s="1105"/>
      <c r="AS44" s="1113"/>
      <c r="AT44" s="66" t="s">
        <v>470</v>
      </c>
      <c r="AU44" s="66" t="s">
        <v>471</v>
      </c>
      <c r="AV44" s="66" t="s">
        <v>470</v>
      </c>
      <c r="AW44" s="66" t="s">
        <v>471</v>
      </c>
      <c r="AX44" s="131" t="s">
        <v>438</v>
      </c>
      <c r="AY44" s="132" t="s">
        <v>439</v>
      </c>
      <c r="AZ44" s="133"/>
      <c r="BA44" s="134"/>
      <c r="BB44" s="135"/>
      <c r="BC44" s="64"/>
      <c r="BI44" s="43">
        <v>14</v>
      </c>
    </row>
    <row r="45" s="37" customFormat="1" hidden="1" customHeight="1" spans="1:61">
      <c r="A45" s="45"/>
      <c r="B45" s="45"/>
      <c r="C45" s="45"/>
      <c r="D45" s="45"/>
      <c r="E45" s="45"/>
      <c r="F45" s="45"/>
      <c r="G45" s="45"/>
      <c r="H45" s="45"/>
      <c r="I45" s="45"/>
      <c r="J45" s="45"/>
      <c r="K45" s="45"/>
      <c r="L45" s="1054"/>
      <c r="M45" s="39"/>
      <c r="N45" s="39"/>
      <c r="O45" s="39"/>
      <c r="P45" s="1057"/>
      <c r="Q45" s="76"/>
      <c r="R45" s="76">
        <v>1</v>
      </c>
      <c r="S45" s="77" t="s">
        <v>107</v>
      </c>
      <c r="T45" s="78" t="s">
        <v>108</v>
      </c>
      <c r="U45" s="79" t="str">
        <f ca="1">OFFSET(U45,0,-1)</f>
        <v>2</v>
      </c>
      <c r="V45" s="80">
        <f ca="1" t="shared" ref="V45:AA45" si="2">OFFSET(V45,0,-1)+1</f>
        <v>3</v>
      </c>
      <c r="W45" s="80">
        <f ca="1" t="shared" si="2"/>
        <v>4</v>
      </c>
      <c r="X45" s="80">
        <f ca="1" t="shared" si="2"/>
        <v>5</v>
      </c>
      <c r="Y45" s="80">
        <f ca="1" t="shared" si="2"/>
        <v>6</v>
      </c>
      <c r="Z45" s="80">
        <f ca="1" t="shared" si="2"/>
        <v>7</v>
      </c>
      <c r="AA45" s="80">
        <f ca="1" t="shared" si="2"/>
        <v>8</v>
      </c>
      <c r="AB45" s="80"/>
      <c r="AC45" s="80">
        <f ca="1">OFFSET(AC45,0,-2)+1</f>
        <v>9</v>
      </c>
      <c r="AD45" s="80">
        <f ca="1">OFFSET(AD45,0,-1)+1</f>
        <v>10</v>
      </c>
      <c r="AE45" s="80"/>
      <c r="AF45" s="80"/>
      <c r="AG45" s="80"/>
      <c r="AH45" s="80"/>
      <c r="AI45" s="80"/>
      <c r="AJ45" s="80"/>
      <c r="AK45" s="80"/>
      <c r="AL45" s="80"/>
      <c r="AM45" s="80"/>
      <c r="AN45" s="80"/>
      <c r="AO45" s="80"/>
      <c r="AP45" s="80"/>
      <c r="AQ45" s="80"/>
      <c r="AR45" s="80"/>
      <c r="AS45" s="80"/>
      <c r="AT45" s="80"/>
      <c r="AU45" s="80"/>
      <c r="AV45" s="80"/>
      <c r="AW45" s="80">
        <f ca="1">OFFSET(AW45,0,-1)+1</f>
        <v>1</v>
      </c>
      <c r="AX45" s="80">
        <f ca="1">OFFSET(AX45,0,-1)+1</f>
        <v>2</v>
      </c>
      <c r="AY45" s="80">
        <f ca="1">OFFSET(AY45,0,-1)+1</f>
        <v>3</v>
      </c>
      <c r="AZ45" s="80"/>
      <c r="BA45" s="80">
        <f ca="1">OFFSET(BA45,0,-2)+1</f>
        <v>4</v>
      </c>
      <c r="BB45" s="79">
        <f ca="1">OFFSET(BB45,0,-1)</f>
        <v>4</v>
      </c>
      <c r="BC45" s="80">
        <f ca="1">OFFSET(BC45,0,-1)+1</f>
        <v>5</v>
      </c>
      <c r="BD45" s="44"/>
      <c r="BE45" s="44"/>
      <c r="BF45" s="44"/>
      <c r="BG45" s="44"/>
      <c r="BH45" s="44"/>
      <c r="BI45" s="37">
        <v>0</v>
      </c>
    </row>
    <row r="46" ht="22.05" customHeight="1" spans="1:61">
      <c r="A46" s="46" t="s">
        <v>257</v>
      </c>
      <c r="B46" s="46"/>
      <c r="C46" s="46"/>
      <c r="D46" s="46"/>
      <c r="E46" s="1052">
        <v>1</v>
      </c>
      <c r="F46" s="46"/>
      <c r="G46" s="46"/>
      <c r="H46" s="46"/>
      <c r="I46" s="46"/>
      <c r="J46" s="46"/>
      <c r="K46" s="46"/>
      <c r="L46" s="1054"/>
      <c r="M46" s="47"/>
      <c r="N46" s="47"/>
      <c r="O46" s="47"/>
      <c r="Q46" s="264"/>
      <c r="R46" s="82"/>
      <c r="S46" s="65">
        <f>INDEX(PT_DIFFERENTIATION_NUM_NTAR,MATCH(A46,PT_DIFFERENTIATION_NTAR_ID,0))</f>
        <v>0</v>
      </c>
      <c r="T46" s="83" t="s">
        <v>121</v>
      </c>
      <c r="U46" s="84"/>
      <c r="V46" s="1061"/>
      <c r="W46" s="1061"/>
      <c r="X46" s="1061"/>
      <c r="Y46" s="1061"/>
      <c r="Z46" s="1061"/>
      <c r="AA46" s="1061"/>
      <c r="AB46" s="1061"/>
      <c r="AC46" s="1089"/>
      <c r="AD46" s="1090" t="str">
        <f>INDEX(PT_DIFFERENTIATION_NTAR,MATCH(A46,PT_DIFFERENTIATION_NTAR_ID,0))</f>
        <v/>
      </c>
      <c r="AE46" s="1061"/>
      <c r="AF46" s="1061"/>
      <c r="AG46" s="1061"/>
      <c r="AH46" s="1061"/>
      <c r="AI46" s="1061"/>
      <c r="AJ46" s="1061"/>
      <c r="AK46" s="1061"/>
      <c r="AL46" s="1061"/>
      <c r="AM46" s="1061"/>
      <c r="AN46" s="1061"/>
      <c r="AO46" s="1061"/>
      <c r="AP46" s="1061"/>
      <c r="AQ46" s="1061"/>
      <c r="AR46" s="1061"/>
      <c r="AS46" s="1061"/>
      <c r="AT46" s="1061"/>
      <c r="AU46" s="1061"/>
      <c r="AV46" s="1061"/>
      <c r="AW46" s="1061"/>
      <c r="AX46" s="1061"/>
      <c r="AY46" s="1061"/>
      <c r="AZ46" s="1061"/>
      <c r="BA46" s="1061"/>
      <c r="BB46" s="1089"/>
      <c r="BC46" s="1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51"/>
      <c r="BF46" s="151" t="str">
        <f t="shared" ref="BF46:BF52" si="3">IF(T46="","",T46)</f>
        <v>Наименование тарифа</v>
      </c>
      <c r="BG46" s="151"/>
      <c r="BH46" s="151"/>
      <c r="BI46" s="43">
        <v>21</v>
      </c>
    </row>
    <row r="47" ht="22.05" customHeight="1" spans="1:61">
      <c r="A47" s="46" t="s">
        <v>257</v>
      </c>
      <c r="B47" s="46" t="s">
        <v>258</v>
      </c>
      <c r="C47" s="46"/>
      <c r="D47" s="46"/>
      <c r="E47" s="1053"/>
      <c r="F47" s="1052">
        <v>1</v>
      </c>
      <c r="G47" s="46"/>
      <c r="H47" s="46"/>
      <c r="I47" s="46"/>
      <c r="J47" s="46"/>
      <c r="K47" s="46"/>
      <c r="L47" s="1054"/>
      <c r="M47" s="47"/>
      <c r="N47" s="47"/>
      <c r="O47" s="47"/>
      <c r="P47" s="48"/>
      <c r="Q47" s="1062"/>
      <c r="R47" s="88"/>
      <c r="S47" s="65" t="str">
        <f>INDEX(PT_DIFFERENTIATION_NUM_TER,MATCH(B47,PT_DIFFERENTIATION_TER_ID,0))</f>
        <v>.</v>
      </c>
      <c r="T47" s="89" t="s">
        <v>393</v>
      </c>
      <c r="U47" s="84"/>
      <c r="V47" s="1061"/>
      <c r="W47" s="1061"/>
      <c r="X47" s="1061"/>
      <c r="Y47" s="1061"/>
      <c r="Z47" s="1061"/>
      <c r="AA47" s="1061"/>
      <c r="AB47" s="1061"/>
      <c r="AC47" s="1089"/>
      <c r="AD47" s="1090" t="str">
        <f>INDEX(PT_DIFFERENTIATION_TER,MATCH(B47,PT_DIFFERENTIATION_TER_ID,0))</f>
        <v/>
      </c>
      <c r="AE47" s="1061"/>
      <c r="AF47" s="1061"/>
      <c r="AG47" s="1061"/>
      <c r="AH47" s="1061"/>
      <c r="AI47" s="1061"/>
      <c r="AJ47" s="1061"/>
      <c r="AK47" s="1061"/>
      <c r="AL47" s="1061"/>
      <c r="AM47" s="1061"/>
      <c r="AN47" s="1061"/>
      <c r="AO47" s="1061"/>
      <c r="AP47" s="1061"/>
      <c r="AQ47" s="1061"/>
      <c r="AR47" s="1061"/>
      <c r="AS47" s="1061"/>
      <c r="AT47" s="1061"/>
      <c r="AU47" s="1061"/>
      <c r="AV47" s="1061"/>
      <c r="AW47" s="1061"/>
      <c r="AX47" s="1061"/>
      <c r="AY47" s="1061"/>
      <c r="AZ47" s="1061"/>
      <c r="BA47" s="1061"/>
      <c r="BB47" s="1089"/>
      <c r="BC47" s="136" t="s">
        <v>394</v>
      </c>
      <c r="BE47" s="151"/>
      <c r="BF47" s="151" t="str">
        <f t="shared" si="3"/>
        <v>Территория действия тарифа</v>
      </c>
      <c r="BG47" s="151"/>
      <c r="BH47" s="151"/>
      <c r="BI47" s="43">
        <v>21</v>
      </c>
    </row>
    <row r="48" ht="35.7" customHeight="1" spans="1:61">
      <c r="A48" s="46" t="s">
        <v>257</v>
      </c>
      <c r="B48" s="46" t="s">
        <v>258</v>
      </c>
      <c r="C48" s="46" t="s">
        <v>259</v>
      </c>
      <c r="D48" s="46"/>
      <c r="E48" s="1053"/>
      <c r="F48" s="1053"/>
      <c r="G48" s="1052">
        <v>1</v>
      </c>
      <c r="H48" s="46"/>
      <c r="I48" s="46"/>
      <c r="J48" s="46"/>
      <c r="K48" s="46"/>
      <c r="L48" s="1054"/>
      <c r="M48" s="47"/>
      <c r="N48" s="47"/>
      <c r="O48" s="47"/>
      <c r="P48" s="1055"/>
      <c r="Q48" s="1062"/>
      <c r="R48" s="88"/>
      <c r="S48" s="65" t="str">
        <f>INDEX(PT_DIFFERENTIATION_NUM_CS,MATCH(C48,PT_DIFFERENTIATION_CS_ID,0))</f>
        <v>..</v>
      </c>
      <c r="T48" s="91" t="s">
        <v>524</v>
      </c>
      <c r="U48" s="84"/>
      <c r="V48" s="1061"/>
      <c r="W48" s="1061"/>
      <c r="X48" s="1061"/>
      <c r="Y48" s="1061"/>
      <c r="Z48" s="1061"/>
      <c r="AA48" s="1061"/>
      <c r="AB48" s="1061"/>
      <c r="AC48" s="1089"/>
      <c r="AD48" s="1090" t="str">
        <f>INDEX(PT_DIFFERENTIATION_CS,MATCH(C48,PT_DIFFERENTIATION_CS_ID,0))</f>
        <v/>
      </c>
      <c r="AE48" s="1061"/>
      <c r="AF48" s="1061"/>
      <c r="AG48" s="1061"/>
      <c r="AH48" s="1061"/>
      <c r="AI48" s="1061"/>
      <c r="AJ48" s="1061"/>
      <c r="AK48" s="1061"/>
      <c r="AL48" s="1061"/>
      <c r="AM48" s="1061"/>
      <c r="AN48" s="1061"/>
      <c r="AO48" s="1061"/>
      <c r="AP48" s="1061"/>
      <c r="AQ48" s="1061"/>
      <c r="AR48" s="1061"/>
      <c r="AS48" s="1061"/>
      <c r="AT48" s="1061"/>
      <c r="AU48" s="1061"/>
      <c r="AV48" s="1061"/>
      <c r="AW48" s="1061"/>
      <c r="AX48" s="1061"/>
      <c r="AY48" s="1061"/>
      <c r="AZ48" s="1061"/>
      <c r="BA48" s="1061"/>
      <c r="BB48" s="1089"/>
      <c r="BC48" s="136" t="s">
        <v>525</v>
      </c>
      <c r="BE48" s="151"/>
      <c r="BF48" s="151" t="str">
        <f t="shared" si="3"/>
        <v>Наименование централизованной системы горячего водоснабжения</v>
      </c>
      <c r="BG48" s="151"/>
      <c r="BH48" s="151"/>
      <c r="BI48" s="43">
        <v>34</v>
      </c>
    </row>
    <row r="49" s="44" customFormat="1" hidden="1" customHeight="1" spans="1:61">
      <c r="A49" s="590" t="s">
        <v>257</v>
      </c>
      <c r="B49" s="590" t="s">
        <v>258</v>
      </c>
      <c r="C49" s="590" t="s">
        <v>259</v>
      </c>
      <c r="D49" s="590" t="s">
        <v>538</v>
      </c>
      <c r="E49" s="1053"/>
      <c r="F49" s="1053"/>
      <c r="G49" s="1053"/>
      <c r="H49" s="1052">
        <v>1</v>
      </c>
      <c r="I49" s="590"/>
      <c r="J49" s="590"/>
      <c r="K49" s="590"/>
      <c r="L49" s="611"/>
      <c r="M49" s="283"/>
      <c r="N49" s="283"/>
      <c r="O49" s="283"/>
      <c r="P49" s="1056"/>
      <c r="Q49" s="1063"/>
      <c r="R49" s="97"/>
      <c r="S49" s="330"/>
      <c r="T49" s="1064"/>
      <c r="U49" s="1065"/>
      <c r="V49" s="1066"/>
      <c r="W49" s="1066"/>
      <c r="X49" s="1066"/>
      <c r="Y49" s="1066"/>
      <c r="Z49" s="1066"/>
      <c r="AA49" s="1066"/>
      <c r="AB49" s="1066"/>
      <c r="AC49" s="1091"/>
      <c r="AD49" s="1092"/>
      <c r="AE49" s="1066"/>
      <c r="AF49" s="1066"/>
      <c r="AG49" s="1066"/>
      <c r="AH49" s="1066"/>
      <c r="AI49" s="1066"/>
      <c r="AJ49" s="1066"/>
      <c r="AK49" s="1066"/>
      <c r="AL49" s="1066"/>
      <c r="AM49" s="1066"/>
      <c r="AN49" s="1066"/>
      <c r="AO49" s="1066"/>
      <c r="AP49" s="1066"/>
      <c r="AQ49" s="1066"/>
      <c r="AR49" s="1066"/>
      <c r="AS49" s="1066"/>
      <c r="AT49" s="1066"/>
      <c r="AU49" s="1066"/>
      <c r="AV49" s="1066"/>
      <c r="AW49" s="1066"/>
      <c r="AX49" s="1066"/>
      <c r="AY49" s="1066"/>
      <c r="AZ49" s="1066"/>
      <c r="BA49" s="1066"/>
      <c r="BB49" s="1091"/>
      <c r="BC49" s="995" t="s">
        <v>398</v>
      </c>
      <c r="BE49" s="151"/>
      <c r="BF49" s="151" t="str">
        <f t="shared" si="3"/>
        <v/>
      </c>
      <c r="BG49" s="151"/>
      <c r="BH49" s="151"/>
      <c r="BI49" s="44">
        <v>0</v>
      </c>
    </row>
    <row r="50" s="44" customFormat="1" hidden="1" customHeight="1" spans="1:61">
      <c r="A50" s="590" t="s">
        <v>257</v>
      </c>
      <c r="B50" s="590" t="s">
        <v>258</v>
      </c>
      <c r="C50" s="590" t="s">
        <v>259</v>
      </c>
      <c r="D50" s="590" t="s">
        <v>538</v>
      </c>
      <c r="E50" s="1053"/>
      <c r="F50" s="1053"/>
      <c r="G50" s="1053"/>
      <c r="H50" s="1053"/>
      <c r="I50" s="229" t="str">
        <f>S49&amp;".1"</f>
        <v>.1</v>
      </c>
      <c r="J50" s="590"/>
      <c r="K50" s="590"/>
      <c r="L50" s="611" t="s">
        <v>399</v>
      </c>
      <c r="M50" s="1057"/>
      <c r="N50" s="1057"/>
      <c r="O50" s="1057"/>
      <c r="P50" s="93">
        <v>1</v>
      </c>
      <c r="Q50" s="93"/>
      <c r="R50" s="94"/>
      <c r="S50" s="330"/>
      <c r="T50" s="1067"/>
      <c r="U50" s="1065"/>
      <c r="V50" s="1066"/>
      <c r="W50" s="1066"/>
      <c r="X50" s="1066"/>
      <c r="Y50" s="1066"/>
      <c r="Z50" s="1066"/>
      <c r="AA50" s="1066"/>
      <c r="AB50" s="1066"/>
      <c r="AC50" s="1091"/>
      <c r="AD50" s="1092"/>
      <c r="AE50" s="1066"/>
      <c r="AF50" s="1066"/>
      <c r="AG50" s="1066"/>
      <c r="AH50" s="1066"/>
      <c r="AI50" s="1066"/>
      <c r="AJ50" s="1066"/>
      <c r="AK50" s="1066"/>
      <c r="AL50" s="1066"/>
      <c r="AM50" s="1066"/>
      <c r="AN50" s="1066"/>
      <c r="AO50" s="1066"/>
      <c r="AP50" s="1066"/>
      <c r="AQ50" s="1066"/>
      <c r="AR50" s="1066"/>
      <c r="AS50" s="1066"/>
      <c r="AT50" s="1066"/>
      <c r="AU50" s="1066"/>
      <c r="AV50" s="1066"/>
      <c r="AW50" s="1066"/>
      <c r="AX50" s="1066"/>
      <c r="AY50" s="1066"/>
      <c r="AZ50" s="1066"/>
      <c r="BA50" s="1066"/>
      <c r="BB50" s="1091"/>
      <c r="BC50" s="995"/>
      <c r="BE50" s="151"/>
      <c r="BF50" s="151" t="str">
        <f t="shared" si="3"/>
        <v/>
      </c>
      <c r="BG50" s="151"/>
      <c r="BH50" s="151"/>
      <c r="BI50" s="44">
        <v>0</v>
      </c>
    </row>
    <row r="51" s="44" customFormat="1" hidden="1" customHeight="1" spans="1:61">
      <c r="A51" s="590" t="s">
        <v>257</v>
      </c>
      <c r="B51" s="590" t="s">
        <v>258</v>
      </c>
      <c r="C51" s="590" t="s">
        <v>259</v>
      </c>
      <c r="D51" s="590" t="s">
        <v>538</v>
      </c>
      <c r="E51" s="1053"/>
      <c r="F51" s="1053"/>
      <c r="G51" s="1053"/>
      <c r="H51" s="1053"/>
      <c r="I51" s="1058"/>
      <c r="J51" s="229" t="str">
        <f>S49&amp;".1"</f>
        <v>.1</v>
      </c>
      <c r="K51" s="590"/>
      <c r="L51" s="611"/>
      <c r="M51" s="1057"/>
      <c r="N51" s="1057"/>
      <c r="O51" s="1057"/>
      <c r="P51" s="93"/>
      <c r="Q51" s="93">
        <v>1</v>
      </c>
      <c r="R51" s="97"/>
      <c r="S51" s="330"/>
      <c r="T51" s="1068"/>
      <c r="U51" s="1065"/>
      <c r="V51" s="1066"/>
      <c r="W51" s="1066"/>
      <c r="X51" s="1066"/>
      <c r="Y51" s="1066"/>
      <c r="Z51" s="1066"/>
      <c r="AA51" s="1066"/>
      <c r="AB51" s="1066"/>
      <c r="AC51" s="1091"/>
      <c r="AD51" s="1092"/>
      <c r="AE51" s="1066"/>
      <c r="AF51" s="1066"/>
      <c r="AG51" s="1066"/>
      <c r="AH51" s="1066"/>
      <c r="AI51" s="1066"/>
      <c r="AJ51" s="1066"/>
      <c r="AK51" s="1066"/>
      <c r="AL51" s="1066"/>
      <c r="AM51" s="1066"/>
      <c r="AN51" s="1114"/>
      <c r="AO51" s="1114"/>
      <c r="AP51" s="1066"/>
      <c r="AQ51" s="1066"/>
      <c r="AR51" s="1066"/>
      <c r="AS51" s="1066"/>
      <c r="AT51" s="1066"/>
      <c r="AU51" s="1066"/>
      <c r="AV51" s="1066"/>
      <c r="AW51" s="1066"/>
      <c r="AX51" s="1066"/>
      <c r="AY51" s="1066"/>
      <c r="AZ51" s="1066"/>
      <c r="BA51" s="1066"/>
      <c r="BB51" s="1091"/>
      <c r="BC51" s="995"/>
      <c r="BE51" s="151"/>
      <c r="BF51" s="151" t="str">
        <f t="shared" si="3"/>
        <v/>
      </c>
      <c r="BG51" s="151"/>
      <c r="BH51" s="151"/>
      <c r="BI51" s="44">
        <v>0</v>
      </c>
    </row>
    <row r="52" ht="11.55" customHeight="1" spans="1:61">
      <c r="A52" s="46" t="s">
        <v>257</v>
      </c>
      <c r="B52" s="46" t="s">
        <v>258</v>
      </c>
      <c r="C52" s="46" t="s">
        <v>259</v>
      </c>
      <c r="D52" s="46" t="s">
        <v>538</v>
      </c>
      <c r="E52" s="1053"/>
      <c r="F52" s="1053"/>
      <c r="G52" s="1053"/>
      <c r="H52" s="1053"/>
      <c r="I52" s="1058"/>
      <c r="J52" s="1058"/>
      <c r="K52" s="229" t="str">
        <f>S48&amp;".1"</f>
        <v>...1</v>
      </c>
      <c r="L52" s="1054"/>
      <c r="P52" s="93"/>
      <c r="Q52" s="93"/>
      <c r="R52" s="97">
        <v>1</v>
      </c>
      <c r="S52" s="1070" t="str">
        <f>$K52</f>
        <v>...1</v>
      </c>
      <c r="T52" s="1071"/>
      <c r="U52" s="84"/>
      <c r="V52" s="102"/>
      <c r="W52" s="138"/>
      <c r="X52" s="102"/>
      <c r="Y52" s="138"/>
      <c r="Z52" s="139"/>
      <c r="AA52" s="140" t="s">
        <v>66</v>
      </c>
      <c r="AB52" s="139"/>
      <c r="AC52" s="140" t="s">
        <v>66</v>
      </c>
      <c r="AD52" s="475" t="s">
        <v>66</v>
      </c>
      <c r="AE52" s="1093"/>
      <c r="AF52" s="664">
        <v>1</v>
      </c>
      <c r="AG52" s="1106"/>
      <c r="AH52" s="140" t="s">
        <v>66</v>
      </c>
      <c r="AI52" s="1093"/>
      <c r="AJ52" s="664">
        <v>1</v>
      </c>
      <c r="AK52" s="1107" t="s">
        <v>22</v>
      </c>
      <c r="AL52" s="140" t="s">
        <v>66</v>
      </c>
      <c r="AM52" s="903"/>
      <c r="AN52" s="664">
        <v>1</v>
      </c>
      <c r="AO52" s="1115"/>
      <c r="AP52" s="1116" t="s">
        <v>66</v>
      </c>
      <c r="AQ52" s="1117"/>
      <c r="AR52" s="664">
        <v>1</v>
      </c>
      <c r="AS52" s="449" t="s">
        <v>22</v>
      </c>
      <c r="AT52" s="102"/>
      <c r="AU52" s="138"/>
      <c r="AV52" s="102"/>
      <c r="AW52" s="138"/>
      <c r="AX52" s="139"/>
      <c r="AY52" s="140" t="s">
        <v>66</v>
      </c>
      <c r="AZ52" s="139"/>
      <c r="BA52" s="140" t="s">
        <v>66</v>
      </c>
      <c r="BB52" s="1120"/>
      <c r="BC52" s="141" t="s">
        <v>493</v>
      </c>
      <c r="BE52" s="151"/>
      <c r="BF52" s="151" t="str">
        <f t="shared" si="3"/>
        <v/>
      </c>
      <c r="BG52" s="151"/>
      <c r="BH52" s="151"/>
      <c r="BI52" s="43">
        <v>11</v>
      </c>
    </row>
    <row r="53" ht="11.55" customHeight="1" spans="1:61">
      <c r="A53" s="46"/>
      <c r="B53" s="46"/>
      <c r="C53" s="46"/>
      <c r="D53" s="46"/>
      <c r="E53" s="1053"/>
      <c r="F53" s="1053"/>
      <c r="G53" s="1053"/>
      <c r="H53" s="1053"/>
      <c r="I53" s="1058"/>
      <c r="J53" s="1058"/>
      <c r="K53" s="229"/>
      <c r="L53" s="1054"/>
      <c r="P53" s="93"/>
      <c r="Q53" s="93"/>
      <c r="R53" s="97"/>
      <c r="S53" s="1072"/>
      <c r="T53" s="1073"/>
      <c r="U53" s="84"/>
      <c r="V53" s="1074"/>
      <c r="W53" s="1075"/>
      <c r="X53" s="1074"/>
      <c r="Y53" s="1075"/>
      <c r="Z53" s="1074"/>
      <c r="AA53" s="1074"/>
      <c r="AB53" s="1074"/>
      <c r="AC53" s="1074"/>
      <c r="AD53" s="477"/>
      <c r="AE53" s="1093"/>
      <c r="AF53" s="664"/>
      <c r="AG53" s="1106"/>
      <c r="AH53" s="140"/>
      <c r="AI53" s="1093"/>
      <c r="AJ53" s="664"/>
      <c r="AK53" s="1107"/>
      <c r="AL53" s="140"/>
      <c r="AM53" s="907"/>
      <c r="AN53" s="664"/>
      <c r="AO53" s="1115"/>
      <c r="AP53" s="1118"/>
      <c r="AQ53" s="331"/>
      <c r="AR53" s="332"/>
      <c r="AS53" s="332" t="s">
        <v>494</v>
      </c>
      <c r="AT53" s="1074"/>
      <c r="AU53" s="1075"/>
      <c r="AV53" s="1074"/>
      <c r="AW53" s="1075"/>
      <c r="AX53" s="1074"/>
      <c r="AY53" s="1074"/>
      <c r="AZ53" s="1074"/>
      <c r="BA53" s="1074"/>
      <c r="BB53" s="1121"/>
      <c r="BC53" s="144"/>
      <c r="BE53" s="151"/>
      <c r="BF53" s="151"/>
      <c r="BG53" s="151"/>
      <c r="BH53" s="151"/>
      <c r="BI53" s="43">
        <v>11</v>
      </c>
    </row>
    <row r="54" ht="11.55" customHeight="1" spans="1:61">
      <c r="A54" s="46" t="s">
        <v>257</v>
      </c>
      <c r="B54" s="46"/>
      <c r="C54" s="46"/>
      <c r="D54" s="46"/>
      <c r="E54" s="1053"/>
      <c r="F54" s="1053"/>
      <c r="G54" s="1053"/>
      <c r="H54" s="1053"/>
      <c r="I54" s="1058"/>
      <c r="J54" s="1058"/>
      <c r="K54" s="229"/>
      <c r="L54" s="1054"/>
      <c r="P54" s="93"/>
      <c r="Q54" s="93"/>
      <c r="R54" s="97"/>
      <c r="S54" s="1072"/>
      <c r="T54" s="1073"/>
      <c r="U54" s="84"/>
      <c r="V54" s="1074"/>
      <c r="W54" s="1075"/>
      <c r="X54" s="1074"/>
      <c r="Y54" s="1075"/>
      <c r="Z54" s="1074"/>
      <c r="AA54" s="1074"/>
      <c r="AB54" s="1074"/>
      <c r="AC54" s="1074"/>
      <c r="AD54" s="477"/>
      <c r="AE54" s="1093"/>
      <c r="AF54" s="664"/>
      <c r="AG54" s="1106"/>
      <c r="AH54" s="140"/>
      <c r="AI54" s="1093"/>
      <c r="AJ54" s="664"/>
      <c r="AK54" s="1107"/>
      <c r="AL54" s="140"/>
      <c r="AM54" s="331"/>
      <c r="AN54" s="601"/>
      <c r="AO54" s="601" t="s">
        <v>495</v>
      </c>
      <c r="AP54" s="332"/>
      <c r="AQ54" s="332"/>
      <c r="AR54" s="332"/>
      <c r="AS54" s="1074"/>
      <c r="AT54" s="1074"/>
      <c r="AU54" s="1075"/>
      <c r="AV54" s="1074"/>
      <c r="AW54" s="1075"/>
      <c r="AX54" s="1074"/>
      <c r="AY54" s="1074"/>
      <c r="AZ54" s="1074"/>
      <c r="BA54" s="1074"/>
      <c r="BB54" s="1121"/>
      <c r="BC54" s="144"/>
      <c r="BE54" s="151"/>
      <c r="BF54" s="151"/>
      <c r="BG54" s="151"/>
      <c r="BH54" s="151"/>
      <c r="BI54" s="43">
        <v>11</v>
      </c>
    </row>
    <row r="55" ht="11.55" customHeight="1" spans="1:61">
      <c r="A55" s="46" t="s">
        <v>257</v>
      </c>
      <c r="B55" s="46"/>
      <c r="C55" s="46"/>
      <c r="D55" s="46"/>
      <c r="E55" s="1053"/>
      <c r="F55" s="1053"/>
      <c r="G55" s="1053"/>
      <c r="H55" s="1053"/>
      <c r="I55" s="1058"/>
      <c r="J55" s="1058"/>
      <c r="K55" s="229"/>
      <c r="L55" s="1054"/>
      <c r="P55" s="93"/>
      <c r="Q55" s="93"/>
      <c r="R55" s="97"/>
      <c r="S55" s="1072"/>
      <c r="T55" s="1073"/>
      <c r="U55" s="84"/>
      <c r="V55" s="1074"/>
      <c r="W55" s="1075"/>
      <c r="X55" s="1074"/>
      <c r="Y55" s="1075"/>
      <c r="Z55" s="1074"/>
      <c r="AA55" s="1074"/>
      <c r="AB55" s="1074"/>
      <c r="AC55" s="1074"/>
      <c r="AD55" s="477"/>
      <c r="AE55" s="1093"/>
      <c r="AF55" s="664"/>
      <c r="AG55" s="1106"/>
      <c r="AH55" s="140"/>
      <c r="AI55" s="911"/>
      <c r="AJ55" s="227"/>
      <c r="AK55" s="1108" t="s">
        <v>496</v>
      </c>
      <c r="AL55" s="1074"/>
      <c r="AM55" s="1074"/>
      <c r="AN55" s="1074"/>
      <c r="AO55" s="1074"/>
      <c r="AP55" s="1074"/>
      <c r="AQ55" s="1074"/>
      <c r="AR55" s="1074"/>
      <c r="AS55" s="1074"/>
      <c r="AT55" s="1074"/>
      <c r="AU55" s="1075"/>
      <c r="AV55" s="1074"/>
      <c r="AW55" s="1075"/>
      <c r="AX55" s="1074"/>
      <c r="AY55" s="1074"/>
      <c r="AZ55" s="1074"/>
      <c r="BA55" s="1074"/>
      <c r="BB55" s="1121"/>
      <c r="BC55" s="144"/>
      <c r="BE55" s="151"/>
      <c r="BF55" s="151"/>
      <c r="BG55" s="151"/>
      <c r="BH55" s="151"/>
      <c r="BI55" s="43">
        <v>11</v>
      </c>
    </row>
    <row r="56" ht="11.55" customHeight="1" spans="1:61">
      <c r="A56" s="46" t="s">
        <v>257</v>
      </c>
      <c r="B56" s="46" t="s">
        <v>258</v>
      </c>
      <c r="C56" s="46" t="s">
        <v>259</v>
      </c>
      <c r="D56" s="46" t="s">
        <v>538</v>
      </c>
      <c r="E56" s="1053"/>
      <c r="F56" s="1053"/>
      <c r="G56" s="1053"/>
      <c r="H56" s="1053"/>
      <c r="I56" s="1058"/>
      <c r="J56" s="1058"/>
      <c r="K56" s="229"/>
      <c r="L56" s="1054"/>
      <c r="P56" s="93"/>
      <c r="Q56" s="93"/>
      <c r="R56" s="97"/>
      <c r="S56" s="1076"/>
      <c r="T56" s="1077"/>
      <c r="U56" s="84"/>
      <c r="V56" s="1074"/>
      <c r="W56" s="1078" t="str">
        <f>Z52&amp;"-"&amp;AB52</f>
        <v>-</v>
      </c>
      <c r="X56" s="1074"/>
      <c r="Y56" s="1078" t="str">
        <f>AB52&amp;"-"&amp;AD52</f>
        <v>-да</v>
      </c>
      <c r="Z56" s="1074"/>
      <c r="AA56" s="1074"/>
      <c r="AB56" s="1074"/>
      <c r="AC56" s="1074"/>
      <c r="AD56" s="480"/>
      <c r="AE56" s="1094"/>
      <c r="AF56" s="1095"/>
      <c r="AG56" s="332" t="s">
        <v>497</v>
      </c>
      <c r="AH56" s="1074"/>
      <c r="AI56" s="1074"/>
      <c r="AJ56" s="1074"/>
      <c r="AK56" s="1074"/>
      <c r="AL56" s="1074"/>
      <c r="AM56" s="1074"/>
      <c r="AN56" s="1074"/>
      <c r="AO56" s="1074"/>
      <c r="AP56" s="1074"/>
      <c r="AQ56" s="1074"/>
      <c r="AR56" s="1074"/>
      <c r="AS56" s="1074"/>
      <c r="AT56" s="1074"/>
      <c r="AU56" s="1078" t="str">
        <f>AX52&amp;"-"&amp;AZ52</f>
        <v>-</v>
      </c>
      <c r="AV56" s="1074"/>
      <c r="AW56" s="1078" t="str">
        <f>AZ52&amp;"-"&amp;BB52</f>
        <v>-</v>
      </c>
      <c r="AX56" s="1074"/>
      <c r="AY56" s="1074"/>
      <c r="AZ56" s="1074"/>
      <c r="BA56" s="1074"/>
      <c r="BB56" s="1122" t="str">
        <f>BE52&amp;"-"&amp;BG52</f>
        <v>-</v>
      </c>
      <c r="BC56" s="144"/>
      <c r="BE56" s="151"/>
      <c r="BF56" s="151" t="str">
        <f t="shared" ref="BF56:BF63" si="4">IF(T56="","",T56)</f>
        <v/>
      </c>
      <c r="BG56" s="151"/>
      <c r="BH56" s="151"/>
      <c r="BI56" s="43">
        <v>11</v>
      </c>
    </row>
    <row r="57" ht="11.55" customHeight="1" spans="1:61">
      <c r="A57" s="46" t="s">
        <v>257</v>
      </c>
      <c r="B57" s="46" t="s">
        <v>258</v>
      </c>
      <c r="C57" s="46" t="s">
        <v>259</v>
      </c>
      <c r="D57" s="46" t="s">
        <v>538</v>
      </c>
      <c r="E57" s="1053"/>
      <c r="F57" s="1053"/>
      <c r="G57" s="1053"/>
      <c r="H57" s="1053"/>
      <c r="I57" s="1058"/>
      <c r="J57" s="229"/>
      <c r="K57" s="46"/>
      <c r="L57" s="1054"/>
      <c r="P57" s="93"/>
      <c r="Q57" s="93"/>
      <c r="R57" s="94"/>
      <c r="S57" s="105"/>
      <c r="T57" s="108" t="s">
        <v>460</v>
      </c>
      <c r="U57" s="107"/>
      <c r="V57" s="107"/>
      <c r="W57" s="107"/>
      <c r="X57" s="107"/>
      <c r="Y57" s="107"/>
      <c r="Z57" s="107"/>
      <c r="AA57" s="107"/>
      <c r="AB57" s="107"/>
      <c r="AC57" s="145"/>
      <c r="AD57" s="1096"/>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45"/>
      <c r="BC57" s="146"/>
      <c r="BE57" s="151"/>
      <c r="BF57" s="151" t="str">
        <f t="shared" si="4"/>
        <v>Добавить строку</v>
      </c>
      <c r="BG57" s="151"/>
      <c r="BH57" s="151"/>
      <c r="BI57" s="43">
        <v>11</v>
      </c>
    </row>
    <row r="58" s="44" customFormat="1" hidden="1" customHeight="1" spans="1:61">
      <c r="A58" s="590" t="s">
        <v>257</v>
      </c>
      <c r="B58" s="590" t="s">
        <v>258</v>
      </c>
      <c r="C58" s="590" t="s">
        <v>259</v>
      </c>
      <c r="D58" s="590" t="s">
        <v>538</v>
      </c>
      <c r="E58" s="1053"/>
      <c r="F58" s="1053"/>
      <c r="G58" s="1053"/>
      <c r="H58" s="1053"/>
      <c r="I58" s="229"/>
      <c r="J58" s="590"/>
      <c r="K58" s="590"/>
      <c r="L58" s="611"/>
      <c r="M58" s="1057"/>
      <c r="N58" s="1057"/>
      <c r="O58" s="1057"/>
      <c r="P58" s="93"/>
      <c r="Q58" s="93"/>
      <c r="R58" s="94"/>
      <c r="S58" s="1079"/>
      <c r="T58" s="1080"/>
      <c r="U58" s="1081"/>
      <c r="V58" s="1081"/>
      <c r="W58" s="1081"/>
      <c r="X58" s="1081"/>
      <c r="Y58" s="1081"/>
      <c r="Z58" s="1081"/>
      <c r="AA58" s="1081"/>
      <c r="AB58" s="1081"/>
      <c r="AC58" s="1081"/>
      <c r="AD58" s="1081"/>
      <c r="AE58" s="1081"/>
      <c r="AF58" s="1081"/>
      <c r="AG58" s="1081"/>
      <c r="AH58" s="1081"/>
      <c r="AI58" s="1081"/>
      <c r="AJ58" s="1081"/>
      <c r="AK58" s="1081"/>
      <c r="AL58" s="1081"/>
      <c r="AM58" s="1081"/>
      <c r="AN58" s="1081"/>
      <c r="AO58" s="1081"/>
      <c r="AP58" s="1081"/>
      <c r="AQ58" s="1081"/>
      <c r="AR58" s="1081"/>
      <c r="AS58" s="1081"/>
      <c r="AT58" s="1081"/>
      <c r="AU58" s="1081"/>
      <c r="AV58" s="1081"/>
      <c r="AW58" s="1081"/>
      <c r="AX58" s="1081"/>
      <c r="AY58" s="1081"/>
      <c r="AZ58" s="1081"/>
      <c r="BA58" s="1081"/>
      <c r="BB58" s="1081"/>
      <c r="BC58" s="1123"/>
      <c r="BE58" s="151"/>
      <c r="BF58" s="151" t="str">
        <f t="shared" si="4"/>
        <v/>
      </c>
      <c r="BG58" s="151"/>
      <c r="BH58" s="151"/>
      <c r="BI58" s="44">
        <v>0</v>
      </c>
    </row>
    <row r="59" s="44" customFormat="1" hidden="1" customHeight="1" spans="1:61">
      <c r="A59" s="590" t="s">
        <v>257</v>
      </c>
      <c r="B59" s="590" t="s">
        <v>258</v>
      </c>
      <c r="C59" s="590" t="s">
        <v>259</v>
      </c>
      <c r="D59" s="590" t="s">
        <v>538</v>
      </c>
      <c r="E59" s="1053"/>
      <c r="F59" s="1053"/>
      <c r="G59" s="1053"/>
      <c r="H59" s="1052"/>
      <c r="I59" s="590"/>
      <c r="J59" s="590"/>
      <c r="K59" s="590"/>
      <c r="L59" s="611"/>
      <c r="M59" s="283"/>
      <c r="N59" s="283"/>
      <c r="P59" s="152"/>
      <c r="Q59" s="1082"/>
      <c r="R59" s="1083"/>
      <c r="S59" s="1079"/>
      <c r="T59" s="1080"/>
      <c r="U59" s="1081"/>
      <c r="V59" s="1081"/>
      <c r="W59" s="1081"/>
      <c r="X59" s="1081"/>
      <c r="Y59" s="1081"/>
      <c r="Z59" s="1081"/>
      <c r="AA59" s="1081"/>
      <c r="AB59" s="1081"/>
      <c r="AC59" s="1081"/>
      <c r="AD59" s="1081"/>
      <c r="AE59" s="1081"/>
      <c r="AF59" s="1081"/>
      <c r="AG59" s="1081"/>
      <c r="AH59" s="1081"/>
      <c r="AI59" s="1081"/>
      <c r="AJ59" s="1081"/>
      <c r="AK59" s="1081"/>
      <c r="AL59" s="1081"/>
      <c r="AM59" s="1081"/>
      <c r="AN59" s="1081"/>
      <c r="AO59" s="1081"/>
      <c r="AP59" s="1081"/>
      <c r="AQ59" s="1081"/>
      <c r="AR59" s="1081"/>
      <c r="AS59" s="1081"/>
      <c r="AT59" s="1081"/>
      <c r="AU59" s="1081"/>
      <c r="AV59" s="1081"/>
      <c r="AW59" s="1081"/>
      <c r="AX59" s="1081"/>
      <c r="AY59" s="1081"/>
      <c r="AZ59" s="1081"/>
      <c r="BA59" s="1081"/>
      <c r="BB59" s="1081"/>
      <c r="BC59" s="1123"/>
      <c r="BE59" s="151"/>
      <c r="BF59" s="151" t="str">
        <f t="shared" si="4"/>
        <v/>
      </c>
      <c r="BG59" s="151"/>
      <c r="BH59" s="151"/>
      <c r="BI59" s="44">
        <v>0</v>
      </c>
    </row>
    <row r="60" s="44" customFormat="1" hidden="1" customHeight="1" spans="1:61">
      <c r="A60" s="590" t="s">
        <v>257</v>
      </c>
      <c r="B60" s="590" t="s">
        <v>258</v>
      </c>
      <c r="C60" s="590" t="s">
        <v>259</v>
      </c>
      <c r="D60" s="590"/>
      <c r="E60" s="1053"/>
      <c r="F60" s="1053"/>
      <c r="G60" s="1052"/>
      <c r="H60" s="590"/>
      <c r="I60" s="590"/>
      <c r="J60" s="590"/>
      <c r="K60" s="590"/>
      <c r="L60" s="611"/>
      <c r="M60" s="283"/>
      <c r="N60" s="283"/>
      <c r="P60" s="152"/>
      <c r="Q60" s="1082"/>
      <c r="R60" s="152"/>
      <c r="S60" s="1084"/>
      <c r="T60" s="1085"/>
      <c r="U60" s="307"/>
      <c r="V60" s="307"/>
      <c r="W60" s="307"/>
      <c r="X60" s="307"/>
      <c r="Y60" s="307"/>
      <c r="Z60" s="307"/>
      <c r="AA60" s="307"/>
      <c r="AB60" s="307"/>
      <c r="AC60" s="307"/>
      <c r="AD60" s="307"/>
      <c r="AE60" s="307"/>
      <c r="AF60" s="307"/>
      <c r="AG60" s="307"/>
      <c r="AH60" s="307"/>
      <c r="AI60" s="307"/>
      <c r="AJ60" s="307"/>
      <c r="AK60" s="307"/>
      <c r="AL60" s="307"/>
      <c r="AM60" s="307"/>
      <c r="AN60" s="307"/>
      <c r="AO60" s="307"/>
      <c r="AP60" s="307"/>
      <c r="AQ60" s="307"/>
      <c r="AR60" s="307"/>
      <c r="AS60" s="307"/>
      <c r="AT60" s="307"/>
      <c r="AU60" s="307"/>
      <c r="AV60" s="307"/>
      <c r="AW60" s="307"/>
      <c r="AX60" s="307"/>
      <c r="AY60" s="307"/>
      <c r="AZ60" s="307"/>
      <c r="BA60" s="307"/>
      <c r="BB60" s="307"/>
      <c r="BC60" s="307"/>
      <c r="BE60" s="151"/>
      <c r="BF60" s="151" t="str">
        <f t="shared" si="4"/>
        <v/>
      </c>
      <c r="BG60" s="151"/>
      <c r="BH60" s="151"/>
      <c r="BI60" s="44">
        <v>0</v>
      </c>
    </row>
    <row r="61" s="44" customFormat="1" hidden="1" customHeight="1" spans="1:61">
      <c r="A61" s="590" t="s">
        <v>257</v>
      </c>
      <c r="B61" s="590" t="s">
        <v>258</v>
      </c>
      <c r="C61" s="590"/>
      <c r="D61" s="590"/>
      <c r="E61" s="1053"/>
      <c r="F61" s="1052"/>
      <c r="G61" s="590"/>
      <c r="H61" s="590"/>
      <c r="I61" s="590"/>
      <c r="J61" s="590"/>
      <c r="K61" s="590"/>
      <c r="L61" s="611"/>
      <c r="M61" s="1059"/>
      <c r="N61" s="1059"/>
      <c r="P61" s="152"/>
      <c r="Q61" s="1082"/>
      <c r="R61" s="152"/>
      <c r="S61" s="1084"/>
      <c r="T61" s="1085" t="s">
        <v>411</v>
      </c>
      <c r="U61" s="307"/>
      <c r="V61" s="307"/>
      <c r="W61" s="307"/>
      <c r="X61" s="307"/>
      <c r="Y61" s="307"/>
      <c r="Z61" s="307"/>
      <c r="AA61" s="307"/>
      <c r="AB61" s="307"/>
      <c r="AC61" s="307"/>
      <c r="AD61" s="307"/>
      <c r="AE61" s="307"/>
      <c r="AF61" s="307"/>
      <c r="AG61" s="307"/>
      <c r="AH61" s="307"/>
      <c r="AI61" s="307"/>
      <c r="AJ61" s="307"/>
      <c r="AK61" s="307"/>
      <c r="AL61" s="307"/>
      <c r="AM61" s="307"/>
      <c r="AN61" s="307"/>
      <c r="AO61" s="307"/>
      <c r="AP61" s="307"/>
      <c r="AQ61" s="307"/>
      <c r="AR61" s="307"/>
      <c r="AS61" s="307"/>
      <c r="AT61" s="307"/>
      <c r="AU61" s="307"/>
      <c r="AV61" s="307"/>
      <c r="AW61" s="307"/>
      <c r="AX61" s="307"/>
      <c r="AY61" s="307"/>
      <c r="AZ61" s="307"/>
      <c r="BA61" s="307"/>
      <c r="BB61" s="307"/>
      <c r="BC61" s="307"/>
      <c r="BE61" s="151"/>
      <c r="BF61" s="151" t="str">
        <f t="shared" si="4"/>
        <v>Добавить централизованную систему для дифференциации</v>
      </c>
      <c r="BG61" s="151"/>
      <c r="BH61" s="151"/>
      <c r="BI61" s="44">
        <v>0</v>
      </c>
    </row>
    <row r="62" s="44" customFormat="1" hidden="1" customHeight="1" spans="1:61">
      <c r="A62" s="590" t="s">
        <v>257</v>
      </c>
      <c r="B62" s="590"/>
      <c r="C62" s="590"/>
      <c r="D62" s="590"/>
      <c r="E62" s="1052"/>
      <c r="F62" s="590"/>
      <c r="G62" s="590"/>
      <c r="H62" s="590"/>
      <c r="I62" s="590"/>
      <c r="J62" s="590"/>
      <c r="K62" s="590"/>
      <c r="L62" s="611"/>
      <c r="M62" s="1059"/>
      <c r="N62" s="1059"/>
      <c r="P62" s="152"/>
      <c r="Q62" s="1082"/>
      <c r="R62" s="152"/>
      <c r="S62" s="1084"/>
      <c r="T62" s="1085" t="s">
        <v>412</v>
      </c>
      <c r="U62" s="307"/>
      <c r="V62" s="307"/>
      <c r="W62" s="307"/>
      <c r="X62" s="307"/>
      <c r="Y62" s="307"/>
      <c r="Z62" s="307"/>
      <c r="AA62" s="307"/>
      <c r="AB62" s="307"/>
      <c r="AC62" s="307"/>
      <c r="AD62" s="307"/>
      <c r="AE62" s="307"/>
      <c r="AF62" s="307"/>
      <c r="AG62" s="307"/>
      <c r="AH62" s="307"/>
      <c r="AI62" s="307"/>
      <c r="AJ62" s="307"/>
      <c r="AK62" s="307"/>
      <c r="AL62" s="307"/>
      <c r="AM62" s="307"/>
      <c r="AN62" s="307"/>
      <c r="AO62" s="307"/>
      <c r="AP62" s="307"/>
      <c r="AQ62" s="307"/>
      <c r="AR62" s="307"/>
      <c r="AS62" s="307"/>
      <c r="AT62" s="307"/>
      <c r="AU62" s="307"/>
      <c r="AV62" s="307"/>
      <c r="AW62" s="307"/>
      <c r="AX62" s="307"/>
      <c r="AY62" s="307"/>
      <c r="AZ62" s="307"/>
      <c r="BA62" s="307"/>
      <c r="BB62" s="307"/>
      <c r="BC62" s="307"/>
      <c r="BE62" s="151"/>
      <c r="BF62" s="151" t="str">
        <f t="shared" si="4"/>
        <v>Добавить территорию для дифференциации</v>
      </c>
      <c r="BG62" s="151"/>
      <c r="BH62" s="151"/>
      <c r="BI62" s="44">
        <v>0</v>
      </c>
    </row>
    <row r="63" s="44" customFormat="1" hidden="1" customHeight="1" spans="1:61">
      <c r="A63" s="590"/>
      <c r="B63" s="590"/>
      <c r="C63" s="590"/>
      <c r="D63" s="590"/>
      <c r="E63" s="590"/>
      <c r="F63" s="590"/>
      <c r="G63" s="590"/>
      <c r="H63" s="590"/>
      <c r="I63" s="590"/>
      <c r="J63" s="590"/>
      <c r="K63" s="590"/>
      <c r="L63" s="611"/>
      <c r="M63" s="1059"/>
      <c r="N63" s="1059"/>
      <c r="P63" s="152"/>
      <c r="Q63" s="1082"/>
      <c r="R63" s="152"/>
      <c r="S63" s="1084"/>
      <c r="T63" s="1085" t="s">
        <v>440</v>
      </c>
      <c r="U63" s="307"/>
      <c r="V63" s="307"/>
      <c r="W63" s="307"/>
      <c r="X63" s="307"/>
      <c r="Y63" s="307"/>
      <c r="Z63" s="307"/>
      <c r="AA63" s="307"/>
      <c r="AB63" s="307"/>
      <c r="AC63" s="307"/>
      <c r="AD63" s="307"/>
      <c r="AE63" s="307"/>
      <c r="AF63" s="307"/>
      <c r="AG63" s="307"/>
      <c r="AH63" s="307"/>
      <c r="AI63" s="307"/>
      <c r="AJ63" s="307"/>
      <c r="AK63" s="307"/>
      <c r="AL63" s="307"/>
      <c r="AM63" s="307"/>
      <c r="AN63" s="307"/>
      <c r="AO63" s="307"/>
      <c r="AP63" s="307"/>
      <c r="AQ63" s="307"/>
      <c r="AR63" s="307"/>
      <c r="AS63" s="307"/>
      <c r="AT63" s="307"/>
      <c r="AU63" s="307"/>
      <c r="AV63" s="307"/>
      <c r="AW63" s="307"/>
      <c r="AX63" s="307"/>
      <c r="AY63" s="307"/>
      <c r="AZ63" s="307"/>
      <c r="BA63" s="307"/>
      <c r="BB63" s="307"/>
      <c r="BC63" s="307"/>
      <c r="BE63" s="151"/>
      <c r="BF63" s="151" t="str">
        <f t="shared" si="4"/>
        <v>Добавить наименование тарифа</v>
      </c>
      <c r="BG63" s="151"/>
      <c r="BH63" s="151"/>
      <c r="BI63" s="44">
        <v>0</v>
      </c>
    </row>
    <row r="64" ht="11.55" customHeight="1" spans="13:61">
      <c r="M64" s="38"/>
      <c r="N64" s="38"/>
      <c r="O64" s="38"/>
      <c r="P64" s="38"/>
      <c r="Q64" s="38"/>
      <c r="R64" s="43"/>
      <c r="S64" s="43"/>
      <c r="BD64" s="43"/>
      <c r="BE64" s="43"/>
      <c r="BF64" s="43"/>
      <c r="BG64" s="43"/>
      <c r="BH64" s="43"/>
      <c r="BI64" s="43">
        <v>11</v>
      </c>
    </row>
    <row r="65" ht="19.95" customHeight="1" spans="15:61">
      <c r="O65" s="38"/>
      <c r="S65" s="786"/>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I65" s="43">
        <v>19</v>
      </c>
    </row>
    <row r="66" ht="14.7" customHeight="1" spans="15:61">
      <c r="O66" s="38"/>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I66" s="43">
        <v>14</v>
      </c>
    </row>
    <row r="67" ht="19.95" customHeight="1" spans="15:61">
      <c r="O67" s="38"/>
      <c r="S67" s="786"/>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I67" s="43">
        <v>19</v>
      </c>
    </row>
    <row r="68" ht="14.7" customHeight="1" spans="15:61">
      <c r="O68" s="38"/>
      <c r="BI68" s="43">
        <v>14</v>
      </c>
    </row>
    <row r="69" hidden="1" customHeight="1" spans="1:61">
      <c r="A69" s="38" t="s">
        <v>83</v>
      </c>
      <c r="B69" s="38">
        <v>0</v>
      </c>
      <c r="C69" s="38">
        <v>0</v>
      </c>
      <c r="D69" s="38">
        <v>0</v>
      </c>
      <c r="E69" s="38">
        <v>0</v>
      </c>
      <c r="F69" s="38">
        <v>0</v>
      </c>
      <c r="G69" s="38">
        <v>0</v>
      </c>
      <c r="H69" s="38">
        <v>0</v>
      </c>
      <c r="I69" s="38">
        <v>0</v>
      </c>
      <c r="J69" s="38">
        <v>0</v>
      </c>
      <c r="K69" s="38">
        <v>0</v>
      </c>
      <c r="L69" s="48">
        <v>0</v>
      </c>
      <c r="M69" s="39">
        <v>0</v>
      </c>
      <c r="N69" s="39">
        <v>0</v>
      </c>
      <c r="O69" s="39">
        <v>0</v>
      </c>
      <c r="P69" s="39">
        <v>0</v>
      </c>
      <c r="Q69" s="1051">
        <v>0</v>
      </c>
      <c r="R69" s="41">
        <v>3</v>
      </c>
      <c r="S69" s="42">
        <v>12</v>
      </c>
      <c r="T69" s="43">
        <v>31</v>
      </c>
      <c r="U69" s="43">
        <v>0</v>
      </c>
      <c r="V69" s="43">
        <v>0</v>
      </c>
      <c r="W69" s="43">
        <v>0</v>
      </c>
      <c r="X69" s="43">
        <v>0</v>
      </c>
      <c r="Y69" s="43">
        <v>0</v>
      </c>
      <c r="Z69" s="43">
        <v>0</v>
      </c>
      <c r="AA69" s="43">
        <v>0</v>
      </c>
      <c r="AB69" s="43">
        <v>0</v>
      </c>
      <c r="AC69" s="43">
        <v>0</v>
      </c>
      <c r="AD69" s="43">
        <v>3</v>
      </c>
      <c r="AE69" s="43">
        <v>3</v>
      </c>
      <c r="AF69" s="43">
        <v>3</v>
      </c>
      <c r="AG69" s="43">
        <v>24</v>
      </c>
      <c r="AH69" s="43">
        <v>3</v>
      </c>
      <c r="AI69" s="43">
        <v>3</v>
      </c>
      <c r="AJ69" s="43">
        <v>3</v>
      </c>
      <c r="AK69" s="43">
        <v>24</v>
      </c>
      <c r="AL69" s="43">
        <v>3</v>
      </c>
      <c r="AM69" s="43">
        <v>3</v>
      </c>
      <c r="AN69" s="43">
        <v>3</v>
      </c>
      <c r="AO69" s="43">
        <v>18</v>
      </c>
      <c r="AP69" s="43">
        <v>3</v>
      </c>
      <c r="AQ69" s="43">
        <v>3</v>
      </c>
      <c r="AR69" s="43">
        <v>3</v>
      </c>
      <c r="AS69" s="43">
        <v>18</v>
      </c>
      <c r="AT69" s="43">
        <v>21</v>
      </c>
      <c r="AU69" s="43">
        <v>21</v>
      </c>
      <c r="AV69" s="43">
        <v>21</v>
      </c>
      <c r="AW69" s="43">
        <v>21</v>
      </c>
      <c r="AX69" s="43">
        <v>11</v>
      </c>
      <c r="AY69" s="43">
        <v>3</v>
      </c>
      <c r="AZ69" s="43">
        <v>11</v>
      </c>
      <c r="BA69" s="43">
        <v>0</v>
      </c>
      <c r="BB69" s="43">
        <v>4</v>
      </c>
      <c r="BC69" s="43">
        <v>115</v>
      </c>
      <c r="BD69" s="44">
        <v>10</v>
      </c>
      <c r="BE69" s="44">
        <v>10</v>
      </c>
      <c r="BF69" s="44">
        <v>10</v>
      </c>
      <c r="BG69" s="44">
        <v>10</v>
      </c>
      <c r="BH69" s="44">
        <v>10</v>
      </c>
      <c r="BI69" s="43">
        <v>23</v>
      </c>
    </row>
  </sheetData>
  <sheetProtection formatColumns="0" formatRows="0" insertRows="0" deleteColumns="0" deleteRows="0" sort="0" autoFilter="0"/>
  <mergeCells count="122">
    <mergeCell ref="V2:AC2"/>
    <mergeCell ref="AD2:BB2"/>
    <mergeCell ref="V3:AC3"/>
    <mergeCell ref="AD3:BB3"/>
    <mergeCell ref="V4:AC4"/>
    <mergeCell ref="AD4:BB4"/>
    <mergeCell ref="V5:AC5"/>
    <mergeCell ref="AD5:BB5"/>
    <mergeCell ref="V6:AC6"/>
    <mergeCell ref="AD6:BB6"/>
    <mergeCell ref="V7:AC7"/>
    <mergeCell ref="AD7:BB7"/>
    <mergeCell ref="S28:AZ28"/>
    <mergeCell ref="S29:AZ29"/>
    <mergeCell ref="S31:T31"/>
    <mergeCell ref="V31:AB31"/>
    <mergeCell ref="AD31:AZ31"/>
    <mergeCell ref="S32:T32"/>
    <mergeCell ref="V32:AB32"/>
    <mergeCell ref="AD32:AZ32"/>
    <mergeCell ref="S33:T33"/>
    <mergeCell ref="V33:AB33"/>
    <mergeCell ref="AD33:AZ33"/>
    <mergeCell ref="S34:T34"/>
    <mergeCell ref="V34:AB34"/>
    <mergeCell ref="AD34:AZ34"/>
    <mergeCell ref="S36:T36"/>
    <mergeCell ref="V36:AB36"/>
    <mergeCell ref="AD36:AZ36"/>
    <mergeCell ref="S37:T37"/>
    <mergeCell ref="V37:AB37"/>
    <mergeCell ref="AD37:AZ37"/>
    <mergeCell ref="V39:AC39"/>
    <mergeCell ref="AD39:BA39"/>
    <mergeCell ref="S40:BB40"/>
    <mergeCell ref="V41:AB41"/>
    <mergeCell ref="AT41:AZ41"/>
    <mergeCell ref="AA44:AB44"/>
    <mergeCell ref="AY44:AZ44"/>
    <mergeCell ref="AA45:AB45"/>
    <mergeCell ref="AY45:AZ45"/>
    <mergeCell ref="V46:AC46"/>
    <mergeCell ref="AD46:BB46"/>
    <mergeCell ref="V47:AC47"/>
    <mergeCell ref="AD47:BB47"/>
    <mergeCell ref="V48:AC48"/>
    <mergeCell ref="AD48:BB48"/>
    <mergeCell ref="V49:AC49"/>
    <mergeCell ref="AD49:BB49"/>
    <mergeCell ref="V50:AC50"/>
    <mergeCell ref="AD50:BB50"/>
    <mergeCell ref="V51:AC51"/>
    <mergeCell ref="AD51:BB51"/>
    <mergeCell ref="T65:BC65"/>
    <mergeCell ref="T67:BC67"/>
    <mergeCell ref="E2:E18"/>
    <mergeCell ref="E46:E62"/>
    <mergeCell ref="F3:F17"/>
    <mergeCell ref="F47:F61"/>
    <mergeCell ref="G4:G16"/>
    <mergeCell ref="G48:G60"/>
    <mergeCell ref="H5:H15"/>
    <mergeCell ref="H49:H59"/>
    <mergeCell ref="I6:I14"/>
    <mergeCell ref="I50:I58"/>
    <mergeCell ref="J7:J13"/>
    <mergeCell ref="J51:J57"/>
    <mergeCell ref="K8:K12"/>
    <mergeCell ref="K52:K56"/>
    <mergeCell ref="P6:P14"/>
    <mergeCell ref="P50:P58"/>
    <mergeCell ref="Q7:Q13"/>
    <mergeCell ref="Q51:Q57"/>
    <mergeCell ref="R8:R12"/>
    <mergeCell ref="S8:S12"/>
    <mergeCell ref="S41:S44"/>
    <mergeCell ref="S52:S56"/>
    <mergeCell ref="T8:T12"/>
    <mergeCell ref="T41:T44"/>
    <mergeCell ref="T52:T56"/>
    <mergeCell ref="AC41:AC44"/>
    <mergeCell ref="AD8:AD12"/>
    <mergeCell ref="AD52:AD56"/>
    <mergeCell ref="AE8:AE11"/>
    <mergeCell ref="AE52:AE55"/>
    <mergeCell ref="AF8:AF11"/>
    <mergeCell ref="AF52:AF55"/>
    <mergeCell ref="AG8:AG11"/>
    <mergeCell ref="AG52:AG55"/>
    <mergeCell ref="AH8:AH11"/>
    <mergeCell ref="AH52:AH55"/>
    <mergeCell ref="AI8:AI10"/>
    <mergeCell ref="AI52:AI54"/>
    <mergeCell ref="AJ8:AJ10"/>
    <mergeCell ref="AJ52:AJ54"/>
    <mergeCell ref="AK8:AK10"/>
    <mergeCell ref="AK52:AK54"/>
    <mergeCell ref="AL8:AL10"/>
    <mergeCell ref="AL52:AL54"/>
    <mergeCell ref="AM8:AM9"/>
    <mergeCell ref="AM52:AM53"/>
    <mergeCell ref="AN8:AN9"/>
    <mergeCell ref="AN52:AN53"/>
    <mergeCell ref="AO8:AO9"/>
    <mergeCell ref="AO52:AO53"/>
    <mergeCell ref="AP8:AP9"/>
    <mergeCell ref="AP52:AP53"/>
    <mergeCell ref="BA41:BA44"/>
    <mergeCell ref="BB41:BB44"/>
    <mergeCell ref="BC8:BC13"/>
    <mergeCell ref="BC40:BC44"/>
    <mergeCell ref="BC52:BC57"/>
    <mergeCell ref="AD41:AG44"/>
    <mergeCell ref="AH41:AK44"/>
    <mergeCell ref="AL41:AO44"/>
    <mergeCell ref="AP41:AS44"/>
    <mergeCell ref="Z42:AB43"/>
    <mergeCell ref="AX42:AZ43"/>
    <mergeCell ref="V42:W43"/>
    <mergeCell ref="X42:Y43"/>
    <mergeCell ref="AT42:AU43"/>
    <mergeCell ref="AV42:AW43"/>
  </mergeCells>
  <dataValidations count="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X8 AZ8 AX20 AZ20 Z52 AB52 AX52 AZ52 Z65589 AB65589 AX65589 AZ65589 Z131125 AB131125 AX131125 AZ131125 Z196661 AB196661 AX196661 AZ196661 Z262197 AB262197 AX262197 AZ262197 Z327733 AB327733 AX327733 AZ327733 Z393269 AB393269 AX393269 AZ393269 Z458805 AB458805 AX458805 AZ458805 Z524341 AB524341 AX524341 AZ524341 Z589877 AB589877 AX589877 AZ589877 Z655413 AB655413 AX655413 AZ655413 Z720949 AB720949 AX720949 AZ720949 Z786485 AB786485 AX786485 AZ786485 Z852021 AB852021 AX852021 AZ852021 Z917557 AB917557 AX917557 AZ917557 Z983093 AB983093 AX983093 AZ983093"/>
    <dataValidation allowBlank="1" showInputMessage="1" showErrorMessage="1" prompt="Для выбора выполните двойной щелчок левой клавиши мыши по соответствующей ячейке." sqref="AA8 AC8:AD8 AP8 AY8 BA8 AD20 AG20:AH20 AK20:AL20 AP20 AY20 BA20 AA52 AC52:AD52 AP52 AY52 BA52 AA65589 AC65589 AY65589 BA65589 AA131125 AC131125 AY131125 BA131125 AA196661 AC196661 AY196661 BA196661 AA262197 AC262197 AY262197 BA262197 AA327733 AC327733 AY327733 BA327733 AA393269 AC393269 AY393269 BA393269 AA458805 AC458805 AY458805 BA458805 AA524341 AC524341 AY524341 BA524341 AA589877 AC589877 AY589877 BA589877 AA655413 AC655413 AY655413 BA655413 AA720949 AC720949 AY720949 BA720949 AA786485 AC786485 AY786485 BA786485 AA852021 AC852021 AY852021 BA852021 AA917557 AC917557 AY917557 BA917557 AA983093 AC983093 AY983093 BA983093 AH8:AH9 AH52:AH53 AK8:AL9 AK52:AL53"/>
    <dataValidation type="textLength" operator="lessThanOrEqual" allowBlank="1" showInputMessage="1" showErrorMessage="1" errorTitle="Ошибка" error="Допускается ввод не более 900 символов!" sqref="AS8 AS52 T8:T12 T52:T56 BC65583:BC65590 BC131119:BC131126 BC196655:BC196662 BC262191:BC262198 BC327727:BC327734 BC393263:BC393270 BC458799:BC458806 BC524335:BC524342 BC589871:BC589878 BC655407:BC655414 BC720943:BC720950 BC786479:BC786486 BC852015:BC852022 BC917551:BC917558 BC983087:BC983094">
      <formula1>900</formula1>
    </dataValidation>
    <dataValidation allowBlank="1" promptTitle="checkPeriodRange" sqref="W12 Y12 AU12 AW12 BB12 W56 Y56 AU56 AW56 BB56 W65590 Y65590 AW65590 W131126 Y131126 AW131126 W196662 Y196662 AW196662 W262198 Y262198 AW262198 W327734 Y327734 AW327734 W393270 Y393270 AW393270 W458806 Y458806 AW458806 W524342 Y524342 AW524342 W589878 Y589878 AW589878 W655414 Y655414 AW655414 W720950 Y720950 AW720950 W786486 Y786486 AW786486 W852022 Y852022 AW852022 W917558 Y917558 AW917558 W983094 Y983094 AW983094"/>
    <dataValidation type="list" allowBlank="1" showInputMessage="1" showErrorMessage="1" errorTitle="Ошибка" error="Выберите значение из списка" sqref="AD65587:AS65587 AD131123:AS131123 AD196659:AS196659 AD262195:AS262195 AD327731:AS327731 AD393267:AS393267 AD458803:AS458803 AD524339:AS524339 AD589875:AS589875 AD655411:AS655411 AD720947:AS720947 AD786483:AS786483 AD852019:AS852019 AD917555:AS917555 AD983091:AS983091">
      <formula1>kind_of_scheme_in</formula1>
    </dataValidation>
    <dataValidation type="list" allowBlank="1" showInputMessage="1" errorTitle="Ошибка" error="Выберите значение из списка" prompt="Выберите значение из списка" sqref="V65588:BB65588 V131124:BB131124 V196660:BB196660 V262196:BB262196 V327732:BB327732 V393268:BB393268 V458804:BB458804 V524340:BB524340 V589876:BB589876 V655412:BB655412 V720948:BB720948 V786484:BB786484 V852020:BB852020 V917556:BB917556 V983092:BB983092">
      <formula1>kind_of_cons</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decimal" operator="between" allowBlank="1" showErrorMessage="1" errorTitle="Ошибка" error="Допускается ввод только действительных чисел!" sqref="AG8:AG11 AG52:AG55 AO8:AO9 AO52:AO53">
      <formula1>-9.99999999999999E+23</formula1>
      <formula2>9.99999999999999E+23</formula2>
    </dataValidation>
    <dataValidation allowBlank="1" sqref="S65591:BC65597 S524343:BC524349 S983095:BC983101 S458807:BC458813 S917559:BC917565 S393271:BC393277 S852023:BC852029 S327735:BC327741 S786487:BC786493 S262199:BC262205 S720951:BC720957 S196663:BC196669 S655415:BC655421 S131127:BC131133 S589879:BC589885"/>
  </dataValidations>
  <pageMargins left="0.7" right="0.7" top="0.75" bottom="0.75" header="0.3" footer="0.3"/>
  <pageSetup paperSize="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F303"/>
  <sheetViews>
    <sheetView showGridLines="0" zoomScale="90" zoomScaleNormal="90" workbookViewId="0">
      <pane xSplit="8" ySplit="29" topLeftCell="I30" activePane="bottomRight" state="frozen"/>
      <selection/>
      <selection pane="topRight"/>
      <selection pane="bottomLeft"/>
      <selection pane="bottomRight" activeCell="A1" sqref="A1"/>
    </sheetView>
  </sheetViews>
  <sheetFormatPr defaultColWidth="9.14285714285714" defaultRowHeight="11.25" customHeight="1"/>
  <cols>
    <col min="1" max="1" width="10.7142857142857" style="957" hidden="1" customWidth="1"/>
    <col min="2" max="2" width="16.847619047619" style="38" hidden="1" customWidth="1"/>
    <col min="3" max="3" width="5.57142857142857" style="44" hidden="1" customWidth="1"/>
    <col min="4" max="4" width="3" style="43" customWidth="1"/>
    <col min="5" max="5" width="7" style="43" customWidth="1"/>
    <col min="6" max="6" width="54" style="43" customWidth="1"/>
    <col min="7" max="7" width="10" style="43" customWidth="1"/>
    <col min="8" max="8" width="40.7142857142857" style="43" hidden="1" customWidth="1"/>
    <col min="9" max="9" width="40.7142857142857" style="43" customWidth="1"/>
    <col min="10" max="10" width="102" style="43" customWidth="1"/>
    <col min="11" max="11" width="9" style="38" customWidth="1"/>
    <col min="12" max="12" width="5" style="44" customWidth="1"/>
    <col min="13" max="13" width="3" style="44" customWidth="1"/>
    <col min="14" max="17" width="3" style="38" customWidth="1"/>
    <col min="18" max="18" width="10" style="44" customWidth="1"/>
    <col min="19" max="19" width="34" style="38" customWidth="1"/>
    <col min="20" max="20" width="9" style="38" customWidth="1"/>
    <col min="21" max="21" width="8" style="958" customWidth="1"/>
    <col min="22" max="26" width="8" style="38" customWidth="1"/>
    <col min="27" max="31" width="8" style="575" customWidth="1"/>
    <col min="32" max="32" width="9.14285714285714" style="43" hidden="1"/>
  </cols>
  <sheetData>
    <row r="1" ht="22.5" hidden="1" customHeight="1" spans="32:32">
      <c r="AF1" s="43" t="s">
        <v>14</v>
      </c>
    </row>
    <row r="2" ht="23.25" hidden="1" customHeight="1" spans="2:32">
      <c r="B2" s="86"/>
      <c r="C2" s="307" t="s">
        <v>539</v>
      </c>
      <c r="D2" s="522"/>
      <c r="E2" s="1012">
        <f>B2</f>
        <v>0</v>
      </c>
      <c r="F2" s="1013"/>
      <c r="G2" s="64" t="s">
        <v>540</v>
      </c>
      <c r="H2" s="64" t="s">
        <v>540</v>
      </c>
      <c r="I2" s="64" t="s">
        <v>540</v>
      </c>
      <c r="J2" s="83" t="s">
        <v>541</v>
      </c>
      <c r="K2" s="978"/>
      <c r="AF2" s="43">
        <v>0</v>
      </c>
    </row>
    <row r="3" s="44" customFormat="1" ht="0.75" hidden="1" customHeight="1" spans="2:32">
      <c r="B3" s="86"/>
      <c r="C3" s="307"/>
      <c r="D3" s="307"/>
      <c r="E3" s="1014"/>
      <c r="F3" s="1015" t="s">
        <v>542</v>
      </c>
      <c r="G3" s="675"/>
      <c r="H3" s="675">
        <f>H4*H5+H6</f>
        <v>0</v>
      </c>
      <c r="I3" s="675">
        <f>I4*I5+I6</f>
        <v>0</v>
      </c>
      <c r="J3" s="394"/>
      <c r="AF3" s="44">
        <v>0</v>
      </c>
    </row>
    <row r="4" ht="23.25" hidden="1" customHeight="1" spans="2:32">
      <c r="B4" s="86"/>
      <c r="C4" s="307"/>
      <c r="D4" s="522"/>
      <c r="E4" s="1012" t="str">
        <f>B2&amp;".1"</f>
        <v>.1</v>
      </c>
      <c r="F4" s="930" t="s">
        <v>543</v>
      </c>
      <c r="G4" s="1016"/>
      <c r="H4" s="102"/>
      <c r="I4" s="102"/>
      <c r="J4" s="83" t="s">
        <v>544</v>
      </c>
      <c r="K4" s="978"/>
      <c r="AF4" s="43">
        <v>0</v>
      </c>
    </row>
    <row r="5" ht="18.75" hidden="1" customHeight="1" spans="2:32">
      <c r="B5" s="86"/>
      <c r="C5" s="307"/>
      <c r="D5" s="522"/>
      <c r="E5" s="1012" t="str">
        <f>B2&amp;".2"</f>
        <v>.2</v>
      </c>
      <c r="F5" s="930" t="s">
        <v>545</v>
      </c>
      <c r="G5" s="64" t="s">
        <v>546</v>
      </c>
      <c r="H5" s="102"/>
      <c r="I5" s="102"/>
      <c r="J5" s="83"/>
      <c r="K5" s="978"/>
      <c r="AF5" s="43">
        <v>0</v>
      </c>
    </row>
    <row r="6" ht="18.75" hidden="1" customHeight="1" spans="2:32">
      <c r="B6" s="86"/>
      <c r="C6" s="307"/>
      <c r="D6" s="522"/>
      <c r="E6" s="1012" t="str">
        <f>B2&amp;".3"</f>
        <v>.3</v>
      </c>
      <c r="F6" s="930" t="s">
        <v>547</v>
      </c>
      <c r="G6" s="64" t="s">
        <v>546</v>
      </c>
      <c r="H6" s="102"/>
      <c r="I6" s="102"/>
      <c r="J6" s="83"/>
      <c r="K6" s="978"/>
      <c r="AF6" s="43">
        <v>0</v>
      </c>
    </row>
    <row r="7" ht="18.75" hidden="1" customHeight="1" spans="2:32">
      <c r="B7" s="86"/>
      <c r="C7" s="307"/>
      <c r="D7" s="522"/>
      <c r="E7" s="1012" t="str">
        <f>B2&amp;".4"</f>
        <v>.4</v>
      </c>
      <c r="F7" s="930" t="s">
        <v>548</v>
      </c>
      <c r="G7" s="64" t="s">
        <v>540</v>
      </c>
      <c r="H7" s="811"/>
      <c r="I7" s="811"/>
      <c r="J7" s="83"/>
      <c r="K7" s="978"/>
      <c r="AF7" s="43">
        <v>0</v>
      </c>
    </row>
    <row r="8" s="38" customFormat="1" hidden="1" customHeight="1" spans="1:32">
      <c r="A8" s="957"/>
      <c r="C8" s="44"/>
      <c r="H8" s="38">
        <v>4</v>
      </c>
      <c r="I8" s="38">
        <v>4</v>
      </c>
      <c r="L8" s="44"/>
      <c r="M8" s="44"/>
      <c r="R8" s="44"/>
      <c r="AF8" s="38">
        <v>0</v>
      </c>
    </row>
    <row r="9" s="38" customFormat="1" ht="22.5" hidden="1" customHeight="1" spans="1:32">
      <c r="A9" s="957"/>
      <c r="C9" s="44"/>
      <c r="D9" s="834"/>
      <c r="E9" s="64"/>
      <c r="F9" s="219"/>
      <c r="G9" s="64" t="s">
        <v>546</v>
      </c>
      <c r="H9" s="102"/>
      <c r="I9" s="102"/>
      <c r="J9" s="977" t="s">
        <v>549</v>
      </c>
      <c r="K9" s="978"/>
      <c r="L9" s="44"/>
      <c r="M9" s="44"/>
      <c r="R9" s="44"/>
      <c r="U9" s="958"/>
      <c r="AA9" s="575"/>
      <c r="AB9" s="575"/>
      <c r="AC9" s="575"/>
      <c r="AD9" s="575"/>
      <c r="AE9" s="575"/>
      <c r="AF9" s="38">
        <v>0</v>
      </c>
    </row>
    <row r="10" hidden="1" customHeight="1" spans="32:32">
      <c r="AF10" s="43">
        <v>0</v>
      </c>
    </row>
    <row r="11" ht="18.75" hidden="1" customHeight="1" spans="4:32">
      <c r="D11" s="522"/>
      <c r="E11" s="1012"/>
      <c r="F11" s="219"/>
      <c r="G11" s="64" t="s">
        <v>550</v>
      </c>
      <c r="H11" s="102"/>
      <c r="I11" s="102"/>
      <c r="J11" s="83" t="s">
        <v>551</v>
      </c>
      <c r="K11" s="978"/>
      <c r="AF11" s="43">
        <v>0</v>
      </c>
    </row>
    <row r="12" hidden="1" customHeight="1" spans="32:32">
      <c r="AF12" s="43">
        <v>0</v>
      </c>
    </row>
    <row r="13" ht="22.5" hidden="1" customHeight="1" spans="4:32">
      <c r="D13" s="522"/>
      <c r="E13" s="1012"/>
      <c r="F13" s="219"/>
      <c r="G13" s="127" t="s">
        <v>552</v>
      </c>
      <c r="H13" s="975"/>
      <c r="I13" s="975"/>
      <c r="J13" s="1027" t="s">
        <v>553</v>
      </c>
      <c r="K13" s="978"/>
      <c r="AF13" s="43">
        <v>0</v>
      </c>
    </row>
    <row r="14" hidden="1" customHeight="1" spans="32:32">
      <c r="AF14" s="43">
        <v>0</v>
      </c>
    </row>
    <row r="15" ht="22.5" hidden="1" customHeight="1" spans="4:32">
      <c r="D15" s="522"/>
      <c r="E15" s="1012"/>
      <c r="F15" s="219"/>
      <c r="G15" s="64" t="s">
        <v>554</v>
      </c>
      <c r="H15" s="975"/>
      <c r="I15" s="975"/>
      <c r="J15" s="83" t="s">
        <v>555</v>
      </c>
      <c r="K15" s="978"/>
      <c r="AF15" s="43">
        <v>0</v>
      </c>
    </row>
    <row r="16" hidden="1" customHeight="1" spans="32:32">
      <c r="AF16" s="43">
        <v>0</v>
      </c>
    </row>
    <row r="17" ht="22.5" hidden="1" customHeight="1" spans="4:32">
      <c r="D17" s="522"/>
      <c r="E17" s="1012"/>
      <c r="F17" s="219"/>
      <c r="G17" s="64" t="s">
        <v>556</v>
      </c>
      <c r="H17" s="975"/>
      <c r="I17" s="975"/>
      <c r="J17" s="83" t="s">
        <v>557</v>
      </c>
      <c r="K17" s="978"/>
      <c r="AF17" s="43">
        <v>0</v>
      </c>
    </row>
    <row r="18" hidden="1" customHeight="1" spans="32:32">
      <c r="AF18" s="43">
        <v>0</v>
      </c>
    </row>
    <row r="19" s="575" customFormat="1" hidden="1" customHeight="1" spans="1:32">
      <c r="A19" s="957"/>
      <c r="B19" s="38"/>
      <c r="C19" s="44"/>
      <c r="J19" s="575">
        <v>4</v>
      </c>
      <c r="K19" s="38"/>
      <c r="L19" s="44"/>
      <c r="M19" s="44"/>
      <c r="N19" s="38"/>
      <c r="O19" s="38"/>
      <c r="P19" s="38"/>
      <c r="Q19" s="38"/>
      <c r="R19" s="44"/>
      <c r="S19" s="38"/>
      <c r="T19" s="38"/>
      <c r="U19" s="958"/>
      <c r="V19" s="38"/>
      <c r="W19" s="38"/>
      <c r="X19" s="38"/>
      <c r="Y19" s="38"/>
      <c r="Z19" s="38"/>
      <c r="AF19" s="575">
        <v>0</v>
      </c>
    </row>
    <row r="20" ht="11.55" customHeight="1" spans="32:32">
      <c r="AF20" s="43">
        <v>11</v>
      </c>
    </row>
    <row r="21" ht="25.2" customHeight="1" spans="5:32">
      <c r="E21" s="75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755"/>
      <c r="G21" s="755"/>
      <c r="H21" s="755"/>
      <c r="I21" s="755"/>
      <c r="J21" s="121"/>
      <c r="AF21" s="43">
        <v>24</v>
      </c>
    </row>
    <row r="22" ht="25.2" customHeight="1" spans="5:32">
      <c r="E22" s="660" t="str">
        <f>IF(org=0,"Не определено",org)</f>
        <v>АО "Теплокоммунэнерго"</v>
      </c>
      <c r="F22" s="660"/>
      <c r="G22" s="660"/>
      <c r="H22" s="660"/>
      <c r="I22" s="660"/>
      <c r="AF22" s="43">
        <v>24</v>
      </c>
    </row>
    <row r="23" ht="11.55" customHeight="1" spans="5:32">
      <c r="E23" s="899"/>
      <c r="F23" s="899"/>
      <c r="G23" s="899"/>
      <c r="H23" s="899"/>
      <c r="I23" s="899"/>
      <c r="AF23" s="43">
        <v>11</v>
      </c>
    </row>
    <row r="24" s="44" customFormat="1" ht="1.05" customHeight="1" spans="1:32">
      <c r="A24" s="307"/>
      <c r="H24" s="959"/>
      <c r="I24" s="959" t="s">
        <v>115</v>
      </c>
      <c r="AF24" s="44">
        <v>1</v>
      </c>
    </row>
    <row r="25" ht="11.55" customHeight="1" spans="5:32">
      <c r="E25" s="756"/>
      <c r="F25" s="757" t="s">
        <v>103</v>
      </c>
      <c r="G25" s="758"/>
      <c r="H25" s="924" t="str">
        <f>IF(H24="","",INDEX(DIFFERENTIATION_UNMERGE_VD,MATCH(H24,DIFFERENTIATION_ID_DIFF,0)))</f>
        <v/>
      </c>
      <c r="I25" s="924">
        <f>IF(I24="","",INDEX(DIFFERENTIATION_UNMERGE_VD,MATCH(I24,DIFFERENTIATION_ID_DIFF,0)))</f>
        <v>0</v>
      </c>
      <c r="J25" s="64"/>
      <c r="AF25" s="43">
        <v>11</v>
      </c>
    </row>
    <row r="26" ht="11.55" customHeight="1" spans="5:32">
      <c r="E26" s="756"/>
      <c r="F26" s="757" t="s">
        <v>558</v>
      </c>
      <c r="G26" s="758"/>
      <c r="H26" s="924" t="str">
        <f>IF(H24="","",INDEX(DIFFERENTIATION_UNMERGE_AREA,MATCH(H24,DIFFERENTIATION_ID_DIFF,0)))</f>
        <v/>
      </c>
      <c r="I26" s="924" t="str">
        <f>IF(I24="","",INDEX(DIFFERENTIATION_UNMERGE_AREA,MATCH(I24,DIFFERENTIATION_ID_DIFF,0)))</f>
        <v/>
      </c>
      <c r="J26" s="64"/>
      <c r="AF26" s="43">
        <v>11</v>
      </c>
    </row>
    <row r="27" ht="11.55" customHeight="1" spans="5:32">
      <c r="E27" s="756"/>
      <c r="F27" s="757" t="s">
        <v>559</v>
      </c>
      <c r="G27" s="758"/>
      <c r="H27" s="924" t="str">
        <f>IF(H24="","",INDEX(DIFFERENTIATION_UNMERGE_SYSTEM,MATCH(H24,DIFFERENTIATION_ID_DIFF,0)))</f>
        <v/>
      </c>
      <c r="I27" s="924" t="str">
        <f>IF(I24="","",INDEX(DIFFERENTIATION_UNMERGE_SYSTEM,MATCH(I24,DIFFERENTIATION_ID_DIFF,0)))</f>
        <v>без дифференциации</v>
      </c>
      <c r="J27" s="64"/>
      <c r="AF27" s="43">
        <v>11</v>
      </c>
    </row>
    <row r="28" ht="11.55" customHeight="1" spans="5:32">
      <c r="E28" s="761" t="s">
        <v>296</v>
      </c>
      <c r="F28" s="762"/>
      <c r="G28" s="762"/>
      <c r="H28" s="757"/>
      <c r="I28" s="757"/>
      <c r="J28" s="64"/>
      <c r="AF28" s="43">
        <v>11</v>
      </c>
    </row>
    <row r="29" ht="24" customHeight="1" spans="5:32">
      <c r="E29" s="64" t="s">
        <v>89</v>
      </c>
      <c r="F29" s="64" t="s">
        <v>298</v>
      </c>
      <c r="G29" s="64" t="s">
        <v>560</v>
      </c>
      <c r="H29" s="64" t="s">
        <v>299</v>
      </c>
      <c r="I29" s="64" t="s">
        <v>299</v>
      </c>
      <c r="J29" s="64"/>
      <c r="AF29" s="43">
        <v>23</v>
      </c>
    </row>
    <row r="30" ht="19.95" customHeight="1" spans="4:32">
      <c r="D30" s="522"/>
      <c r="E30" s="1012">
        <f>FHD_NUM_P_1</f>
        <v>1</v>
      </c>
      <c r="F30" s="393" t="str">
        <f>FHD_P_1</f>
        <v>Выручка от регулируемого вида деятельности с распределением по видам деятельности</v>
      </c>
      <c r="G30" s="64" t="s">
        <v>546</v>
      </c>
      <c r="H30" s="928"/>
      <c r="I30" s="928"/>
      <c r="J30" s="83" t="str">
        <f>FHD_NOTE_P_1</f>
        <v>Указывается выручка от регулируемого вида деятельности с распределением по видам деятельности.</v>
      </c>
      <c r="K30" s="978"/>
      <c r="AF30" s="43">
        <v>19</v>
      </c>
    </row>
    <row r="31" ht="11.55" customHeight="1" spans="4:32">
      <c r="D31" s="522"/>
      <c r="E31" s="1012">
        <f>FHD_NUM_P_2</f>
        <v>2</v>
      </c>
      <c r="F31" s="393" t="str">
        <f>FHD_P_2</f>
        <v>Себестоимость производимых товаров (оказываемых услуг) по регулируемому виду деятельности, включая:</v>
      </c>
      <c r="G31" s="64" t="s">
        <v>546</v>
      </c>
      <c r="H31" s="391">
        <f>SUMIF($K32:$K71,$K31,H32:H71)</f>
        <v>0</v>
      </c>
      <c r="I31" s="391">
        <f>SUMIF($K32:$K71,$K31,I32:I71)</f>
        <v>0</v>
      </c>
      <c r="J31" s="83" t="str">
        <f>FHD_NOTE_P_2</f>
        <v>Указывается суммарная себестоимость производимых товаров.</v>
      </c>
      <c r="K31" s="44" t="s">
        <v>561</v>
      </c>
      <c r="AF31" s="43">
        <v>11</v>
      </c>
    </row>
    <row r="32" ht="11.55" customHeight="1" spans="4:32">
      <c r="D32" s="522"/>
      <c r="E32" s="1012" t="str">
        <f>FHD_NUM_P_3</f>
        <v>2.1</v>
      </c>
      <c r="F32" s="669" t="str">
        <f>FHD_P_3</f>
        <v>Расходы на приобретаемую тепловую энергию (мощность), теплоноситель</v>
      </c>
      <c r="G32" s="64" t="s">
        <v>546</v>
      </c>
      <c r="H32" s="928"/>
      <c r="I32" s="928"/>
      <c r="J32" s="83" t="str">
        <f>FHD_NOTE_P_3</f>
        <v/>
      </c>
      <c r="K32" s="44" t="str">
        <f t="shared" ref="K32:K70" si="0">IF((LEN(E32)-LEN(SUBSTITUTE(E32,".","")))/LEN(".")=1,"p","")</f>
        <v>p</v>
      </c>
      <c r="AF32" s="43">
        <v>11</v>
      </c>
    </row>
    <row r="33" customHeight="1" spans="1:32">
      <c r="A33" s="1017" t="s">
        <v>562</v>
      </c>
      <c r="D33" s="522"/>
      <c r="E33" s="1012" t="str">
        <f>FHD_NUM_P_4</f>
        <v>2.2</v>
      </c>
      <c r="F33" s="66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64" t="s">
        <v>546</v>
      </c>
      <c r="H33" s="391">
        <f>SUMIF($F34:$F40,$F3,H34:H40)</f>
        <v>0</v>
      </c>
      <c r="I33" s="391">
        <f>SUMIF($F34:$F40,$F3,I34:I40)</f>
        <v>0</v>
      </c>
      <c r="J33" s="83" t="str">
        <f>FHD_NOTE_P_4</f>
        <v>Указываются суммарные расходы на приобретение топлива всех видов.</v>
      </c>
      <c r="K33" s="44" t="str">
        <f t="shared" si="0"/>
        <v>p</v>
      </c>
      <c r="AF33" s="43">
        <v>0</v>
      </c>
    </row>
    <row r="34" s="37" customFormat="1" ht="0.75" customHeight="1" spans="1:32">
      <c r="A34" s="1017"/>
      <c r="B34" s="1001" t="str">
        <f>E33&amp;".0"</f>
        <v>2.2.0</v>
      </c>
      <c r="C34" s="307"/>
      <c r="D34" s="1002"/>
      <c r="E34" s="1018"/>
      <c r="F34" s="1019"/>
      <c r="G34" s="1020"/>
      <c r="H34" s="1021"/>
      <c r="I34" s="1021"/>
      <c r="J34" s="1028"/>
      <c r="K34" s="44" t="str">
        <f t="shared" si="0"/>
        <v/>
      </c>
      <c r="L34" s="44"/>
      <c r="M34" s="44"/>
      <c r="N34" s="44"/>
      <c r="O34" s="44"/>
      <c r="P34" s="44"/>
      <c r="Q34" s="44"/>
      <c r="R34" s="44"/>
      <c r="S34" s="44"/>
      <c r="T34" s="44"/>
      <c r="U34" s="1029"/>
      <c r="V34" s="44"/>
      <c r="W34" s="44"/>
      <c r="X34" s="44"/>
      <c r="Y34" s="44"/>
      <c r="Z34" s="44"/>
      <c r="AA34" s="976"/>
      <c r="AB34" s="976"/>
      <c r="AC34" s="976"/>
      <c r="AD34" s="976"/>
      <c r="AE34" s="976"/>
      <c r="AF34" s="37">
        <v>0</v>
      </c>
    </row>
    <row r="35" s="37" customFormat="1" ht="0.75" customHeight="1" spans="1:32">
      <c r="A35" s="1017"/>
      <c r="B35" s="1001"/>
      <c r="C35" s="307"/>
      <c r="D35" s="1002"/>
      <c r="E35" s="1022"/>
      <c r="F35" s="1023"/>
      <c r="G35" s="1020"/>
      <c r="H35" s="1024"/>
      <c r="I35" s="1024"/>
      <c r="J35" s="1028"/>
      <c r="K35" s="44" t="str">
        <f t="shared" si="0"/>
        <v/>
      </c>
      <c r="L35" s="44"/>
      <c r="M35" s="44"/>
      <c r="N35" s="44"/>
      <c r="O35" s="44"/>
      <c r="P35" s="44"/>
      <c r="Q35" s="44"/>
      <c r="R35" s="44"/>
      <c r="S35" s="44"/>
      <c r="T35" s="44"/>
      <c r="U35" s="1029"/>
      <c r="V35" s="44"/>
      <c r="W35" s="44"/>
      <c r="X35" s="44"/>
      <c r="Y35" s="44"/>
      <c r="Z35" s="44"/>
      <c r="AA35" s="976"/>
      <c r="AB35" s="976"/>
      <c r="AC35" s="976"/>
      <c r="AD35" s="976"/>
      <c r="AE35" s="976"/>
      <c r="AF35" s="37">
        <v>0</v>
      </c>
    </row>
    <row r="36" s="37" customFormat="1" ht="0.75" customHeight="1" spans="1:32">
      <c r="A36" s="1017"/>
      <c r="B36" s="1001"/>
      <c r="C36" s="307"/>
      <c r="D36" s="1002"/>
      <c r="E36" s="1022"/>
      <c r="F36" s="1023"/>
      <c r="G36" s="1020"/>
      <c r="H36" s="1024"/>
      <c r="I36" s="1024"/>
      <c r="J36" s="1028"/>
      <c r="K36" s="44" t="str">
        <f t="shared" si="0"/>
        <v/>
      </c>
      <c r="L36" s="44"/>
      <c r="M36" s="44"/>
      <c r="N36" s="44"/>
      <c r="O36" s="44"/>
      <c r="P36" s="44"/>
      <c r="Q36" s="44"/>
      <c r="R36" s="44"/>
      <c r="S36" s="44"/>
      <c r="T36" s="44"/>
      <c r="U36" s="1029"/>
      <c r="V36" s="44"/>
      <c r="W36" s="44"/>
      <c r="X36" s="44"/>
      <c r="Y36" s="44"/>
      <c r="Z36" s="44"/>
      <c r="AA36" s="976"/>
      <c r="AB36" s="976"/>
      <c r="AC36" s="976"/>
      <c r="AD36" s="976"/>
      <c r="AE36" s="976"/>
      <c r="AF36" s="37">
        <v>0</v>
      </c>
    </row>
    <row r="37" s="37" customFormat="1" ht="0.75" customHeight="1" spans="1:32">
      <c r="A37" s="1017"/>
      <c r="B37" s="1001"/>
      <c r="C37" s="307"/>
      <c r="D37" s="1002"/>
      <c r="E37" s="1022"/>
      <c r="F37" s="1023"/>
      <c r="G37" s="1020"/>
      <c r="H37" s="1024"/>
      <c r="I37" s="1024"/>
      <c r="J37" s="1028"/>
      <c r="K37" s="44" t="str">
        <f t="shared" si="0"/>
        <v/>
      </c>
      <c r="L37" s="44"/>
      <c r="M37" s="44"/>
      <c r="N37" s="44"/>
      <c r="O37" s="44"/>
      <c r="P37" s="44"/>
      <c r="Q37" s="44"/>
      <c r="R37" s="44"/>
      <c r="S37" s="44"/>
      <c r="T37" s="44"/>
      <c r="U37" s="1029"/>
      <c r="V37" s="44"/>
      <c r="W37" s="44"/>
      <c r="X37" s="44"/>
      <c r="Y37" s="44"/>
      <c r="Z37" s="44"/>
      <c r="AA37" s="976"/>
      <c r="AB37" s="976"/>
      <c r="AC37" s="976"/>
      <c r="AD37" s="976"/>
      <c r="AE37" s="976"/>
      <c r="AF37" s="37">
        <v>0</v>
      </c>
    </row>
    <row r="38" s="37" customFormat="1" ht="0.75" customHeight="1" spans="1:32">
      <c r="A38" s="1017"/>
      <c r="B38" s="1001"/>
      <c r="C38" s="307"/>
      <c r="D38" s="1002"/>
      <c r="E38" s="1022"/>
      <c r="F38" s="1023"/>
      <c r="G38" s="1020"/>
      <c r="H38" s="1024"/>
      <c r="I38" s="1024"/>
      <c r="J38" s="1028"/>
      <c r="K38" s="44" t="str">
        <f t="shared" si="0"/>
        <v/>
      </c>
      <c r="L38" s="44"/>
      <c r="M38" s="44"/>
      <c r="N38" s="44"/>
      <c r="O38" s="44"/>
      <c r="P38" s="44"/>
      <c r="Q38" s="44"/>
      <c r="R38" s="44"/>
      <c r="S38" s="44"/>
      <c r="T38" s="44"/>
      <c r="U38" s="1029"/>
      <c r="V38" s="44"/>
      <c r="W38" s="44"/>
      <c r="X38" s="44"/>
      <c r="Y38" s="44"/>
      <c r="Z38" s="44"/>
      <c r="AA38" s="976"/>
      <c r="AB38" s="976"/>
      <c r="AC38" s="976"/>
      <c r="AD38" s="976"/>
      <c r="AE38" s="976"/>
      <c r="AF38" s="37">
        <v>0</v>
      </c>
    </row>
    <row r="39" s="37" customFormat="1" ht="0.75" customHeight="1" spans="1:32">
      <c r="A39" s="1017"/>
      <c r="B39" s="1001"/>
      <c r="C39" s="307"/>
      <c r="D39" s="1002"/>
      <c r="E39" s="1022"/>
      <c r="F39" s="1023"/>
      <c r="G39" s="1020"/>
      <c r="H39" s="1021"/>
      <c r="I39" s="1021"/>
      <c r="J39" s="1028"/>
      <c r="K39" s="44" t="str">
        <f t="shared" si="0"/>
        <v/>
      </c>
      <c r="L39" s="44"/>
      <c r="M39" s="44"/>
      <c r="N39" s="44"/>
      <c r="O39" s="44"/>
      <c r="P39" s="44"/>
      <c r="Q39" s="44"/>
      <c r="R39" s="44"/>
      <c r="S39" s="44"/>
      <c r="T39" s="44"/>
      <c r="U39" s="1029"/>
      <c r="V39" s="44"/>
      <c r="W39" s="44"/>
      <c r="X39" s="44"/>
      <c r="Y39" s="44"/>
      <c r="Z39" s="44"/>
      <c r="AA39" s="976"/>
      <c r="AB39" s="976"/>
      <c r="AC39" s="976"/>
      <c r="AD39" s="976"/>
      <c r="AE39" s="976"/>
      <c r="AF39" s="37">
        <v>0</v>
      </c>
    </row>
    <row r="40" s="38" customFormat="1" ht="15" customHeight="1" spans="1:32">
      <c r="A40" s="1017"/>
      <c r="C40" s="44"/>
      <c r="D40" s="217"/>
      <c r="E40" s="971"/>
      <c r="F40" s="780" t="s">
        <v>563</v>
      </c>
      <c r="G40" s="402"/>
      <c r="H40" s="921"/>
      <c r="I40" s="921"/>
      <c r="J40" s="67"/>
      <c r="K40" s="44" t="str">
        <f t="shared" si="0"/>
        <v/>
      </c>
      <c r="L40" s="44"/>
      <c r="M40" s="44"/>
      <c r="R40" s="44"/>
      <c r="U40" s="958"/>
      <c r="AA40" s="575"/>
      <c r="AB40" s="575"/>
      <c r="AC40" s="575"/>
      <c r="AD40" s="575"/>
      <c r="AE40" s="575"/>
      <c r="AF40" s="38">
        <v>0</v>
      </c>
    </row>
    <row r="41" hidden="1" customHeight="1" spans="1:32">
      <c r="A41" s="1017" t="s">
        <v>564</v>
      </c>
      <c r="D41" s="522"/>
      <c r="E41" s="1012" t="str">
        <f>FHD_NUM_P_5</f>
        <v/>
      </c>
      <c r="F41" s="669" t="str">
        <f>FHD_P_5</f>
        <v/>
      </c>
      <c r="G41" s="64" t="s">
        <v>546</v>
      </c>
      <c r="H41" s="928"/>
      <c r="I41" s="928"/>
      <c r="J41" s="83" t="str">
        <f>FHD_NOTE_P_5</f>
        <v/>
      </c>
      <c r="K41" s="44" t="str">
        <f t="shared" si="0"/>
        <v/>
      </c>
      <c r="AF41" s="43">
        <v>0</v>
      </c>
    </row>
    <row r="42" hidden="1" customHeight="1" spans="1:32">
      <c r="A42" s="1017"/>
      <c r="D42" s="522"/>
      <c r="E42" s="1012" t="str">
        <f>FHD_NUM_P_6</f>
        <v/>
      </c>
      <c r="F42" s="669" t="str">
        <f>FHD_P_6</f>
        <v/>
      </c>
      <c r="G42" s="64" t="s">
        <v>546</v>
      </c>
      <c r="H42" s="928"/>
      <c r="I42" s="928"/>
      <c r="J42" s="83" t="str">
        <f>FHD_NOTE_P_6</f>
        <v/>
      </c>
      <c r="K42" s="44" t="str">
        <f t="shared" si="0"/>
        <v/>
      </c>
      <c r="AF42" s="43">
        <v>0</v>
      </c>
    </row>
    <row r="43" hidden="1" customHeight="1" spans="1:32">
      <c r="A43" s="1017"/>
      <c r="D43" s="522"/>
      <c r="E43" s="1012" t="str">
        <f>FHD_NUM_P_7</f>
        <v/>
      </c>
      <c r="F43" s="669" t="str">
        <f>FHD_P_7</f>
        <v/>
      </c>
      <c r="G43" s="64" t="s">
        <v>546</v>
      </c>
      <c r="H43" s="928"/>
      <c r="I43" s="928"/>
      <c r="J43" s="83" t="str">
        <f>FHD_NOTE_P_7</f>
        <v/>
      </c>
      <c r="K43" s="44" t="str">
        <f t="shared" si="0"/>
        <v/>
      </c>
      <c r="AF43" s="43">
        <v>0</v>
      </c>
    </row>
    <row r="44" ht="11.55" customHeight="1" spans="4:32">
      <c r="D44" s="522"/>
      <c r="E44" s="1012" t="str">
        <f>FHD_NUM_P_8</f>
        <v>2.3</v>
      </c>
      <c r="F44" s="669" t="str">
        <f>FHD_P_8</f>
        <v>Расходы на приобретаемую электрическую энергию (мощность), используемую в технологическом процессе</v>
      </c>
      <c r="G44" s="64" t="s">
        <v>546</v>
      </c>
      <c r="H44" s="928"/>
      <c r="I44" s="928"/>
      <c r="J44" s="83" t="str">
        <f>FHD_NOTE_P_8</f>
        <v/>
      </c>
      <c r="K44" s="44" t="str">
        <f t="shared" si="0"/>
        <v>p</v>
      </c>
      <c r="AF44" s="43">
        <v>11</v>
      </c>
    </row>
    <row r="45" ht="11.55" customHeight="1" spans="4:32">
      <c r="D45" s="522"/>
      <c r="E45" s="1012" t="str">
        <f>FHD_NUM_P_9</f>
        <v>2.3.1</v>
      </c>
      <c r="F45" s="929" t="str">
        <f>FHD_P_9</f>
        <v>Средневзвешенная стоимость 1 кВт.ч (с учетом мощности)</v>
      </c>
      <c r="G45" s="64" t="s">
        <v>565</v>
      </c>
      <c r="H45" s="928"/>
      <c r="I45" s="928"/>
      <c r="J45" s="83" t="str">
        <f>FHD_NOTE_P_9</f>
        <v/>
      </c>
      <c r="K45" s="44" t="str">
        <f t="shared" si="0"/>
        <v/>
      </c>
      <c r="AF45" s="43">
        <v>11</v>
      </c>
    </row>
    <row r="46" s="38" customFormat="1" ht="11.55" customHeight="1" spans="1:32">
      <c r="A46" s="957"/>
      <c r="C46" s="44"/>
      <c r="D46" s="1025"/>
      <c r="E46" s="1012" t="str">
        <f>FHD_NUM_P_10</f>
        <v>2.3.2</v>
      </c>
      <c r="F46" s="929" t="str">
        <f>FHD_P_10</f>
        <v>Объём приобретения электрической энергии</v>
      </c>
      <c r="G46" s="64" t="s">
        <v>566</v>
      </c>
      <c r="H46" s="928"/>
      <c r="I46" s="928"/>
      <c r="J46" s="83" t="str">
        <f>FHD_NOTE_P_10</f>
        <v/>
      </c>
      <c r="K46" s="44" t="str">
        <f t="shared" si="0"/>
        <v/>
      </c>
      <c r="L46" s="44"/>
      <c r="M46" s="44"/>
      <c r="R46" s="44"/>
      <c r="U46" s="958"/>
      <c r="AA46" s="575"/>
      <c r="AB46" s="575"/>
      <c r="AC46" s="575"/>
      <c r="AD46" s="575"/>
      <c r="AE46" s="575"/>
      <c r="AF46" s="38">
        <v>11</v>
      </c>
    </row>
    <row r="47" s="38" customFormat="1" customHeight="1" spans="1:32">
      <c r="A47" s="985" t="s">
        <v>567</v>
      </c>
      <c r="C47" s="44"/>
      <c r="D47" s="973"/>
      <c r="E47" s="1012" t="str">
        <f>FHD_NUM_P_11</f>
        <v>2.4</v>
      </c>
      <c r="F47" s="669" t="str">
        <f>FHD_P_11</f>
        <v>Расходы на приобретение холодной воды, используемой в технологическом процессе</v>
      </c>
      <c r="G47" s="64" t="s">
        <v>546</v>
      </c>
      <c r="H47" s="928"/>
      <c r="I47" s="928"/>
      <c r="J47" s="83" t="str">
        <f>FHD_NOTE_P_11</f>
        <v/>
      </c>
      <c r="K47" s="44" t="str">
        <f t="shared" si="0"/>
        <v>p</v>
      </c>
      <c r="L47" s="44"/>
      <c r="M47" s="44"/>
      <c r="R47" s="44"/>
      <c r="U47" s="958"/>
      <c r="AA47" s="575"/>
      <c r="AB47" s="575"/>
      <c r="AC47" s="575"/>
      <c r="AD47" s="575"/>
      <c r="AE47" s="575"/>
      <c r="AF47" s="38">
        <v>0</v>
      </c>
    </row>
    <row r="48" s="38" customFormat="1" ht="18.75" customHeight="1" spans="1:32">
      <c r="A48" s="985" t="s">
        <v>568</v>
      </c>
      <c r="C48" s="44"/>
      <c r="D48" s="522"/>
      <c r="E48" s="1012" t="str">
        <f>FHD_NUM_P_12</f>
        <v>2.5</v>
      </c>
      <c r="F48" s="669" t="str">
        <f>FHD_P_12</f>
        <v>Расходы на  химические реагенты, используемые в технологическом процессе</v>
      </c>
      <c r="G48" s="64" t="s">
        <v>546</v>
      </c>
      <c r="H48" s="986"/>
      <c r="I48" s="986"/>
      <c r="J48" s="83" t="str">
        <f>FHD_NOTE_P_12</f>
        <v/>
      </c>
      <c r="K48" s="44" t="str">
        <f t="shared" si="0"/>
        <v>p</v>
      </c>
      <c r="L48" s="44"/>
      <c r="M48" s="44"/>
      <c r="R48" s="44"/>
      <c r="U48" s="958"/>
      <c r="AA48" s="575"/>
      <c r="AB48" s="575"/>
      <c r="AC48" s="575"/>
      <c r="AD48" s="575"/>
      <c r="AE48" s="575"/>
      <c r="AF48" s="38">
        <v>18</v>
      </c>
    </row>
    <row r="49" s="47" customFormat="1" ht="11.55" customHeight="1" spans="1:32">
      <c r="A49" s="1026"/>
      <c r="C49" s="283"/>
      <c r="D49" s="521"/>
      <c r="E49" s="1012" t="str">
        <f>FHD_NUM_P_13</f>
        <v>2.6</v>
      </c>
      <c r="F49" s="66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64" t="s">
        <v>546</v>
      </c>
      <c r="H49" s="928"/>
      <c r="I49" s="928"/>
      <c r="J49" s="83" t="str">
        <f>FHD_NOTE_P_13</f>
        <v/>
      </c>
      <c r="K49" s="44" t="str">
        <f t="shared" si="0"/>
        <v>p</v>
      </c>
      <c r="L49" s="283"/>
      <c r="M49" s="283"/>
      <c r="R49" s="283"/>
      <c r="U49" s="1030"/>
      <c r="AA49" s="1031"/>
      <c r="AB49" s="1031"/>
      <c r="AC49" s="1031"/>
      <c r="AD49" s="1031"/>
      <c r="AE49" s="1031"/>
      <c r="AF49" s="47">
        <v>11</v>
      </c>
    </row>
    <row r="50" s="47" customFormat="1" ht="11.55" customHeight="1" spans="1:32">
      <c r="A50" s="1026"/>
      <c r="C50" s="283"/>
      <c r="D50" s="521"/>
      <c r="E50" s="1012" t="str">
        <f>FHD_NUM_P_14</f>
        <v>2.6.1</v>
      </c>
      <c r="F50" s="929" t="str">
        <f>FHD_P_14</f>
        <v>Расходы на оплату труда основного производственного персонала</v>
      </c>
      <c r="G50" s="64" t="s">
        <v>546</v>
      </c>
      <c r="H50" s="928"/>
      <c r="I50" s="928"/>
      <c r="J50" s="83" t="str">
        <f>FHD_NOTE_P_14</f>
        <v/>
      </c>
      <c r="K50" s="44" t="str">
        <f t="shared" si="0"/>
        <v/>
      </c>
      <c r="L50" s="283"/>
      <c r="M50" s="283"/>
      <c r="R50" s="283"/>
      <c r="U50" s="1030"/>
      <c r="AA50" s="1031"/>
      <c r="AB50" s="1031"/>
      <c r="AC50" s="1031"/>
      <c r="AD50" s="1031"/>
      <c r="AE50" s="1031"/>
      <c r="AF50" s="47">
        <v>11</v>
      </c>
    </row>
    <row r="51" s="47" customFormat="1" ht="11.55" customHeight="1" spans="1:32">
      <c r="A51" s="1026"/>
      <c r="C51" s="283"/>
      <c r="D51" s="521"/>
      <c r="E51" s="1012" t="str">
        <f>FHD_NUM_P_15</f>
        <v>2.6.2</v>
      </c>
      <c r="F51" s="929" t="str">
        <f>FHD_P_15</f>
        <v>Страховые взносы на обязательное социальное страхование, выплачиваемые из фонда оплаты труда основного производственного персонала</v>
      </c>
      <c r="G51" s="64" t="s">
        <v>546</v>
      </c>
      <c r="H51" s="928"/>
      <c r="I51" s="928"/>
      <c r="J51" s="83" t="str">
        <f>FHD_NOTE_P_15</f>
        <v/>
      </c>
      <c r="K51" s="44" t="str">
        <f t="shared" si="0"/>
        <v/>
      </c>
      <c r="L51" s="283"/>
      <c r="M51" s="283"/>
      <c r="R51" s="283"/>
      <c r="U51" s="1030"/>
      <c r="AA51" s="1031"/>
      <c r="AB51" s="1031"/>
      <c r="AC51" s="1031"/>
      <c r="AD51" s="1031"/>
      <c r="AE51" s="1031"/>
      <c r="AF51" s="47">
        <v>11</v>
      </c>
    </row>
    <row r="52" s="38" customFormat="1" ht="11.55" customHeight="1" spans="1:32">
      <c r="A52" s="957"/>
      <c r="C52" s="44"/>
      <c r="D52" s="522"/>
      <c r="E52" s="1012" t="str">
        <f>FHD_NUM_P_16</f>
        <v>2.7</v>
      </c>
      <c r="F52" s="66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64" t="s">
        <v>546</v>
      </c>
      <c r="H52" s="928"/>
      <c r="I52" s="928"/>
      <c r="J52" s="83" t="str">
        <f>FHD_NOTE_P_16</f>
        <v/>
      </c>
      <c r="K52" s="44" t="str">
        <f t="shared" si="0"/>
        <v>p</v>
      </c>
      <c r="L52" s="44"/>
      <c r="M52" s="44"/>
      <c r="R52" s="44"/>
      <c r="U52" s="958"/>
      <c r="AA52" s="575"/>
      <c r="AB52" s="575"/>
      <c r="AC52" s="575"/>
      <c r="AD52" s="575"/>
      <c r="AE52" s="575"/>
      <c r="AF52" s="38">
        <v>11</v>
      </c>
    </row>
    <row r="53" s="38" customFormat="1" ht="11.55" customHeight="1" spans="1:32">
      <c r="A53" s="957"/>
      <c r="C53" s="44"/>
      <c r="D53" s="522"/>
      <c r="E53" s="1012" t="str">
        <f>FHD_NUM_P_17</f>
        <v>2.7.1</v>
      </c>
      <c r="F53" s="929" t="str">
        <f>FHD_P_17</f>
        <v>Расходы на оплату труда административно-управленческого персонала</v>
      </c>
      <c r="G53" s="64" t="s">
        <v>546</v>
      </c>
      <c r="H53" s="928"/>
      <c r="I53" s="928"/>
      <c r="J53" s="83" t="str">
        <f>FHD_NOTE_P_17</f>
        <v/>
      </c>
      <c r="K53" s="44" t="str">
        <f t="shared" si="0"/>
        <v/>
      </c>
      <c r="L53" s="44"/>
      <c r="M53" s="44"/>
      <c r="R53" s="44"/>
      <c r="U53" s="958"/>
      <c r="AA53" s="575"/>
      <c r="AB53" s="575"/>
      <c r="AC53" s="575"/>
      <c r="AD53" s="575"/>
      <c r="AE53" s="575"/>
      <c r="AF53" s="38">
        <v>11</v>
      </c>
    </row>
    <row r="54" s="38" customFormat="1" ht="11.55" customHeight="1" spans="1:32">
      <c r="A54" s="957"/>
      <c r="C54" s="44"/>
      <c r="D54" s="522"/>
      <c r="E54" s="1012" t="str">
        <f>FHD_NUM_P_18</f>
        <v>2.7.2</v>
      </c>
      <c r="F54" s="92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64" t="s">
        <v>546</v>
      </c>
      <c r="H54" s="928"/>
      <c r="I54" s="928"/>
      <c r="J54" s="83" t="str">
        <f>FHD_NOTE_P_18</f>
        <v/>
      </c>
      <c r="K54" s="44" t="str">
        <f t="shared" si="0"/>
        <v/>
      </c>
      <c r="L54" s="44"/>
      <c r="M54" s="44"/>
      <c r="R54" s="44"/>
      <c r="U54" s="958"/>
      <c r="AA54" s="575"/>
      <c r="AB54" s="575"/>
      <c r="AC54" s="575"/>
      <c r="AD54" s="575"/>
      <c r="AE54" s="575"/>
      <c r="AF54" s="38">
        <v>11</v>
      </c>
    </row>
    <row r="55" s="38" customFormat="1" ht="11.55" customHeight="1" spans="1:32">
      <c r="A55" s="957"/>
      <c r="C55" s="44"/>
      <c r="D55" s="973"/>
      <c r="E55" s="1012" t="str">
        <f>FHD_NUM_P_19</f>
        <v>2.8</v>
      </c>
      <c r="F55" s="669" t="str">
        <f>FHD_P_19</f>
        <v>Расходы на амортизацию основных средств и нематериальных активов</v>
      </c>
      <c r="G55" s="64" t="s">
        <v>546</v>
      </c>
      <c r="H55" s="928"/>
      <c r="I55" s="928"/>
      <c r="J55" s="83" t="str">
        <f>FHD_NOTE_P_19</f>
        <v/>
      </c>
      <c r="K55" s="44" t="str">
        <f t="shared" si="0"/>
        <v>p</v>
      </c>
      <c r="L55" s="44"/>
      <c r="M55" s="44"/>
      <c r="R55" s="44"/>
      <c r="U55" s="958"/>
      <c r="AA55" s="575"/>
      <c r="AB55" s="575"/>
      <c r="AC55" s="575"/>
      <c r="AD55" s="575"/>
      <c r="AE55" s="575"/>
      <c r="AF55" s="38">
        <v>11</v>
      </c>
    </row>
    <row r="56" s="38" customFormat="1" ht="11.55" customHeight="1" spans="1:32">
      <c r="A56" s="957"/>
      <c r="C56" s="44"/>
      <c r="D56" s="973"/>
      <c r="E56" s="1012" t="str">
        <f>FHD_NUM_P_20</f>
        <v>2.8.1</v>
      </c>
      <c r="F56" s="929" t="str">
        <f>FHD_P_20</f>
        <v>Расходы на амортизацию основных средств</v>
      </c>
      <c r="G56" s="64" t="s">
        <v>546</v>
      </c>
      <c r="H56" s="928"/>
      <c r="I56" s="928"/>
      <c r="J56" s="83" t="str">
        <f>FHD_NOTE_P_20</f>
        <v/>
      </c>
      <c r="K56" s="44" t="str">
        <f t="shared" si="0"/>
        <v/>
      </c>
      <c r="L56" s="44"/>
      <c r="M56" s="44"/>
      <c r="R56" s="44"/>
      <c r="U56" s="958"/>
      <c r="AA56" s="575"/>
      <c r="AB56" s="575"/>
      <c r="AC56" s="575"/>
      <c r="AD56" s="575"/>
      <c r="AE56" s="575"/>
      <c r="AF56" s="38">
        <v>11</v>
      </c>
    </row>
    <row r="57" s="38" customFormat="1" ht="11.55" customHeight="1" spans="1:32">
      <c r="A57" s="957"/>
      <c r="C57" s="44"/>
      <c r="D57" s="973"/>
      <c r="E57" s="1012" t="str">
        <f>FHD_NUM_P_21</f>
        <v>2.8.2</v>
      </c>
      <c r="F57" s="929" t="str">
        <f>FHD_P_21</f>
        <v>Расходы на амортизацию нематериальных активов</v>
      </c>
      <c r="G57" s="64" t="s">
        <v>546</v>
      </c>
      <c r="H57" s="928"/>
      <c r="I57" s="928"/>
      <c r="J57" s="83" t="str">
        <f>FHD_NOTE_P_21</f>
        <v/>
      </c>
      <c r="K57" s="44" t="str">
        <f t="shared" si="0"/>
        <v/>
      </c>
      <c r="L57" s="44"/>
      <c r="M57" s="44"/>
      <c r="R57" s="44"/>
      <c r="U57" s="958"/>
      <c r="AA57" s="575"/>
      <c r="AB57" s="575"/>
      <c r="AC57" s="575"/>
      <c r="AD57" s="575"/>
      <c r="AE57" s="575"/>
      <c r="AF57" s="38">
        <v>11</v>
      </c>
    </row>
    <row r="58" s="38" customFormat="1" ht="11.55" customHeight="1" spans="1:32">
      <c r="A58" s="957"/>
      <c r="C58" s="44"/>
      <c r="D58" s="522"/>
      <c r="E58" s="1012" t="str">
        <f>FHD_NUM_P_22</f>
        <v>2.9</v>
      </c>
      <c r="F58" s="669" t="str">
        <f>FHD_P_22</f>
        <v>Расходы на аренду имущества, используемого для осуществления регулируемого вида деятельности</v>
      </c>
      <c r="G58" s="64" t="s">
        <v>546</v>
      </c>
      <c r="H58" s="928"/>
      <c r="I58" s="928"/>
      <c r="J58" s="83" t="str">
        <f>FHD_NOTE_P_22</f>
        <v/>
      </c>
      <c r="K58" s="44" t="str">
        <f t="shared" si="0"/>
        <v>p</v>
      </c>
      <c r="L58" s="44"/>
      <c r="M58" s="44"/>
      <c r="R58" s="44"/>
      <c r="U58" s="958"/>
      <c r="AA58" s="575"/>
      <c r="AB58" s="575"/>
      <c r="AC58" s="575"/>
      <c r="AD58" s="575"/>
      <c r="AE58" s="575"/>
      <c r="AF58" s="38">
        <v>11</v>
      </c>
    </row>
    <row r="59" s="38" customFormat="1" ht="11.55" customHeight="1" spans="1:32">
      <c r="A59" s="957"/>
      <c r="C59" s="44"/>
      <c r="D59" s="973"/>
      <c r="E59" s="1012" t="str">
        <f>FHD_NUM_P_23</f>
        <v>2.10</v>
      </c>
      <c r="F59" s="669" t="str">
        <f>FHD_P_23</f>
        <v>Общепроизводственные расходы, в том числе:</v>
      </c>
      <c r="G59" s="64" t="s">
        <v>546</v>
      </c>
      <c r="H59" s="928"/>
      <c r="I59" s="928"/>
      <c r="J59" s="83" t="str">
        <f>FHD_NOTE_P_23</f>
        <v>Указывается общая сумма общепроизводственных расходов.</v>
      </c>
      <c r="K59" s="44" t="str">
        <f t="shared" si="0"/>
        <v>p</v>
      </c>
      <c r="L59" s="44"/>
      <c r="M59" s="44"/>
      <c r="R59" s="44"/>
      <c r="U59" s="958"/>
      <c r="AA59" s="575"/>
      <c r="AB59" s="575"/>
      <c r="AC59" s="575"/>
      <c r="AD59" s="575"/>
      <c r="AE59" s="575"/>
      <c r="AF59" s="38">
        <v>11</v>
      </c>
    </row>
    <row r="60" s="38" customFormat="1" ht="11.55" customHeight="1" spans="1:32">
      <c r="A60" s="957"/>
      <c r="C60" s="44"/>
      <c r="D60" s="973"/>
      <c r="E60" s="1012" t="str">
        <f>FHD_NUM_P_24</f>
        <v>2.10.1</v>
      </c>
      <c r="F60" s="929" t="str">
        <f>FHD_P_24</f>
        <v>Расходы на текущий ремонт</v>
      </c>
      <c r="G60" s="64" t="s">
        <v>546</v>
      </c>
      <c r="H60" s="928"/>
      <c r="I60" s="928"/>
      <c r="J60" s="83" t="str">
        <f>FHD_NOTE_P_24</f>
        <v>Указываются расходы на текущий ремонт, отнесенные к общепроизводственным расходам.</v>
      </c>
      <c r="K60" s="44" t="str">
        <f t="shared" si="0"/>
        <v/>
      </c>
      <c r="L60" s="44"/>
      <c r="M60" s="44"/>
      <c r="R60" s="44"/>
      <c r="U60" s="958"/>
      <c r="AA60" s="575"/>
      <c r="AB60" s="575"/>
      <c r="AC60" s="575"/>
      <c r="AD60" s="575"/>
      <c r="AE60" s="575"/>
      <c r="AF60" s="38">
        <v>11</v>
      </c>
    </row>
    <row r="61" s="38" customFormat="1" ht="11.55" customHeight="1" spans="1:32">
      <c r="A61" s="957"/>
      <c r="C61" s="44"/>
      <c r="D61" s="973"/>
      <c r="E61" s="1012" t="str">
        <f>FHD_NUM_P_25</f>
        <v>2.10.2</v>
      </c>
      <c r="F61" s="929" t="str">
        <f>FHD_P_25</f>
        <v>Расходы на капитальный ремонт</v>
      </c>
      <c r="G61" s="64" t="s">
        <v>546</v>
      </c>
      <c r="H61" s="928"/>
      <c r="I61" s="928"/>
      <c r="J61" s="83" t="str">
        <f>FHD_NOTE_P_25</f>
        <v>Указываются расходы на капитальный ремонт, отнесенные к общепроизводственным расходам.</v>
      </c>
      <c r="K61" s="44" t="str">
        <f t="shared" si="0"/>
        <v/>
      </c>
      <c r="L61" s="44"/>
      <c r="M61" s="44"/>
      <c r="R61" s="44"/>
      <c r="U61" s="958"/>
      <c r="AA61" s="575"/>
      <c r="AB61" s="575"/>
      <c r="AC61" s="575"/>
      <c r="AD61" s="575"/>
      <c r="AE61" s="575"/>
      <c r="AF61" s="38">
        <v>11</v>
      </c>
    </row>
    <row r="62" s="38" customFormat="1" ht="11.55" customHeight="1" spans="1:32">
      <c r="A62" s="957"/>
      <c r="C62" s="44"/>
      <c r="D62" s="522"/>
      <c r="E62" s="1012" t="str">
        <f>FHD_NUM_P_26</f>
        <v>2.11</v>
      </c>
      <c r="F62" s="669" t="str">
        <f>FHD_P_26</f>
        <v>Общехозяйственные расходы, в том числе:</v>
      </c>
      <c r="G62" s="64" t="s">
        <v>546</v>
      </c>
      <c r="H62" s="928"/>
      <c r="I62" s="928"/>
      <c r="J62" s="83" t="str">
        <f>FHD_NOTE_P_26</f>
        <v>Указывается общая сумма общехозяйственных расходов.</v>
      </c>
      <c r="K62" s="44" t="str">
        <f t="shared" si="0"/>
        <v>p</v>
      </c>
      <c r="L62" s="44"/>
      <c r="M62" s="44"/>
      <c r="R62" s="44"/>
      <c r="U62" s="958"/>
      <c r="AA62" s="575"/>
      <c r="AB62" s="575"/>
      <c r="AC62" s="575"/>
      <c r="AD62" s="575"/>
      <c r="AE62" s="575"/>
      <c r="AF62" s="38">
        <v>11</v>
      </c>
    </row>
    <row r="63" s="38" customFormat="1" ht="11.55" customHeight="1" spans="1:32">
      <c r="A63" s="957"/>
      <c r="C63" s="44"/>
      <c r="D63" s="522"/>
      <c r="E63" s="1012" t="str">
        <f>FHD_NUM_P_27</f>
        <v>2.11.1</v>
      </c>
      <c r="F63" s="929" t="str">
        <f>FHD_P_27</f>
        <v>Расходы на текущий ремонт</v>
      </c>
      <c r="G63" s="64" t="s">
        <v>546</v>
      </c>
      <c r="H63" s="928"/>
      <c r="I63" s="928"/>
      <c r="J63" s="83" t="str">
        <f>FHD_NOTE_P_27</f>
        <v>Указываются расходы на текущий ремонт, отнесенные к общехозяйственным расходам.</v>
      </c>
      <c r="K63" s="44" t="str">
        <f t="shared" si="0"/>
        <v/>
      </c>
      <c r="L63" s="44"/>
      <c r="M63" s="44"/>
      <c r="R63" s="44"/>
      <c r="U63" s="958"/>
      <c r="AA63" s="575"/>
      <c r="AB63" s="575"/>
      <c r="AC63" s="575"/>
      <c r="AD63" s="575"/>
      <c r="AE63" s="575"/>
      <c r="AF63" s="38">
        <v>11</v>
      </c>
    </row>
    <row r="64" s="38" customFormat="1" ht="11.55" customHeight="1" spans="1:32">
      <c r="A64" s="957"/>
      <c r="C64" s="44"/>
      <c r="D64" s="522"/>
      <c r="E64" s="1012" t="str">
        <f>FHD_NUM_P_28</f>
        <v>2.11.2</v>
      </c>
      <c r="F64" s="929" t="str">
        <f>FHD_P_28</f>
        <v>Расходы на капитальный ремонт</v>
      </c>
      <c r="G64" s="64" t="s">
        <v>546</v>
      </c>
      <c r="H64" s="928"/>
      <c r="I64" s="928"/>
      <c r="J64" s="83" t="str">
        <f>FHD_NOTE_P_28</f>
        <v>Указываются расходы на капитальный ремонт, отнесенные к общехозяйственным расходам.</v>
      </c>
      <c r="K64" s="44" t="str">
        <f t="shared" si="0"/>
        <v/>
      </c>
      <c r="L64" s="44"/>
      <c r="M64" s="44"/>
      <c r="R64" s="44"/>
      <c r="U64" s="958"/>
      <c r="AA64" s="575"/>
      <c r="AB64" s="575"/>
      <c r="AC64" s="575"/>
      <c r="AD64" s="575"/>
      <c r="AE64" s="575"/>
      <c r="AF64" s="38">
        <v>11</v>
      </c>
    </row>
    <row r="65" s="38" customFormat="1" ht="11.55" customHeight="1" spans="1:32">
      <c r="A65" s="957"/>
      <c r="C65" s="44"/>
      <c r="D65" s="522"/>
      <c r="E65" s="1012" t="str">
        <f>FHD_NUM_P_29</f>
        <v>2.12</v>
      </c>
      <c r="F65" s="669" t="str">
        <f>FHD_P_29</f>
        <v>Расходы на капитальный и текущий ремонт основных средств</v>
      </c>
      <c r="G65" s="64" t="s">
        <v>546</v>
      </c>
      <c r="H65" s="928"/>
      <c r="I65" s="928"/>
      <c r="J65" s="8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44" t="str">
        <f t="shared" si="0"/>
        <v>p</v>
      </c>
      <c r="L65" s="44"/>
      <c r="M65" s="44"/>
      <c r="R65" s="44"/>
      <c r="U65" s="958"/>
      <c r="AA65" s="575"/>
      <c r="AB65" s="575"/>
      <c r="AC65" s="575"/>
      <c r="AD65" s="575"/>
      <c r="AE65" s="575"/>
      <c r="AF65" s="38">
        <v>11</v>
      </c>
    </row>
    <row r="66" s="38" customFormat="1" ht="11.55" customHeight="1" spans="1:32">
      <c r="A66" s="957"/>
      <c r="C66" s="44"/>
      <c r="D66" s="522"/>
      <c r="E66" s="1012" t="str">
        <f>FHD_NUM_P_30</f>
        <v>2.12.1</v>
      </c>
      <c r="F66" s="92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64" t="s">
        <v>302</v>
      </c>
      <c r="H66" s="375" t="s">
        <v>569</v>
      </c>
      <c r="I66" s="375" t="s">
        <v>569</v>
      </c>
      <c r="J66" s="83" t="str">
        <f>FHD_NOTE_P_30</f>
        <v/>
      </c>
      <c r="K66" s="44" t="str">
        <f t="shared" si="0"/>
        <v/>
      </c>
      <c r="L66" s="44">
        <f>IFERROR(MATCH("есть",B_FHD_FLAG_INDEX_1,0),0)</f>
        <v>0</v>
      </c>
      <c r="M66" s="44"/>
      <c r="R66" s="44"/>
      <c r="U66" s="958"/>
      <c r="AA66" s="575"/>
      <c r="AB66" s="575"/>
      <c r="AC66" s="575"/>
      <c r="AD66" s="575"/>
      <c r="AE66" s="575"/>
      <c r="AF66" s="38">
        <v>11</v>
      </c>
    </row>
    <row r="67" s="38" customFormat="1" ht="23.25" hidden="1" customHeight="1" spans="1:32">
      <c r="A67" s="1017" t="s">
        <v>570</v>
      </c>
      <c r="C67" s="44"/>
      <c r="D67" s="522"/>
      <c r="E67" s="1012" t="str">
        <f>FHD_NUM_P_31</f>
        <v/>
      </c>
      <c r="F67" s="669" t="str">
        <f>FHD_P_31</f>
        <v/>
      </c>
      <c r="G67" s="64" t="s">
        <v>546</v>
      </c>
      <c r="H67" s="928"/>
      <c r="I67" s="928"/>
      <c r="J67" s="83" t="str">
        <f>FHD_NOTE_P_31</f>
        <v/>
      </c>
      <c r="K67" s="44" t="str">
        <f t="shared" si="0"/>
        <v/>
      </c>
      <c r="L67" s="44"/>
      <c r="M67" s="44"/>
      <c r="R67" s="44"/>
      <c r="U67" s="958"/>
      <c r="AA67" s="575"/>
      <c r="AB67" s="575"/>
      <c r="AC67" s="575"/>
      <c r="AD67" s="575"/>
      <c r="AE67" s="575"/>
      <c r="AF67" s="38">
        <v>22</v>
      </c>
    </row>
    <row r="68" s="38" customFormat="1" ht="47.25" hidden="1" customHeight="1" spans="1:32">
      <c r="A68" s="1017"/>
      <c r="C68" s="44"/>
      <c r="D68" s="522"/>
      <c r="E68" s="1012" t="str">
        <f>FHD_NUM_P_32</f>
        <v/>
      </c>
      <c r="F68" s="929" t="str">
        <f>FHD_P_32</f>
        <v/>
      </c>
      <c r="G68" s="64" t="s">
        <v>302</v>
      </c>
      <c r="H68" s="375" t="s">
        <v>569</v>
      </c>
      <c r="I68" s="375" t="s">
        <v>569</v>
      </c>
      <c r="J68" s="83" t="str">
        <f>FHD_NOTE_P_32</f>
        <v/>
      </c>
      <c r="K68" s="44" t="str">
        <f t="shared" si="0"/>
        <v/>
      </c>
      <c r="L68" s="44">
        <f>IFERROR(MATCH("есть",B_FHD_FLAG_INDEX_2,0),0)</f>
        <v>0</v>
      </c>
      <c r="M68" s="44"/>
      <c r="R68" s="44"/>
      <c r="U68" s="958"/>
      <c r="AA68" s="575"/>
      <c r="AB68" s="575"/>
      <c r="AC68" s="575"/>
      <c r="AD68" s="575"/>
      <c r="AE68" s="575"/>
      <c r="AF68" s="38">
        <v>45</v>
      </c>
    </row>
    <row r="69" s="38" customFormat="1" ht="11.55" customHeight="1" spans="1:32">
      <c r="A69" s="957"/>
      <c r="C69" s="44"/>
      <c r="D69" s="522"/>
      <c r="E69" s="1012" t="str">
        <f>FHD_NUM_P_33</f>
        <v>2.13</v>
      </c>
      <c r="F69" s="669" t="str">
        <f>FHD_P_33</f>
        <v>Прочие расходы, которые подлежат отнесению на регулируемые виды деятельности в соответствии с законодательством Российской Федерации</v>
      </c>
      <c r="G69" s="71" t="s">
        <v>546</v>
      </c>
      <c r="H69" s="968">
        <f>SUM(H70:H71)</f>
        <v>0</v>
      </c>
      <c r="I69" s="968">
        <f>SUM(I70:I71)</f>
        <v>0</v>
      </c>
      <c r="J69" s="8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44" t="str">
        <f t="shared" si="0"/>
        <v>p</v>
      </c>
      <c r="L69" s="44"/>
      <c r="M69" s="44"/>
      <c r="R69" s="44"/>
      <c r="U69" s="958"/>
      <c r="AA69" s="575"/>
      <c r="AB69" s="575"/>
      <c r="AC69" s="575"/>
      <c r="AD69" s="575"/>
      <c r="AE69" s="575"/>
      <c r="AF69" s="38">
        <v>11</v>
      </c>
    </row>
    <row r="70" s="44" customFormat="1" ht="1.05" customHeight="1" spans="1:32">
      <c r="A70" s="307"/>
      <c r="D70" s="307"/>
      <c r="E70" s="675" t="str">
        <f>E69&amp;".0"</f>
        <v>2.13.0</v>
      </c>
      <c r="F70" s="969"/>
      <c r="G70" s="675"/>
      <c r="H70" s="970"/>
      <c r="I70" s="970"/>
      <c r="J70" s="979"/>
      <c r="K70" s="44" t="str">
        <f t="shared" si="0"/>
        <v/>
      </c>
      <c r="AF70" s="44">
        <v>1</v>
      </c>
    </row>
    <row r="71" s="38" customFormat="1" ht="14.7" customHeight="1" spans="1:32">
      <c r="A71" s="957"/>
      <c r="C71" s="44"/>
      <c r="D71" s="217"/>
      <c r="E71" s="971"/>
      <c r="F71" s="780" t="s">
        <v>571</v>
      </c>
      <c r="G71" s="402"/>
      <c r="H71" s="921"/>
      <c r="I71" s="921"/>
      <c r="J71" s="67"/>
      <c r="K71" s="44"/>
      <c r="L71" s="44"/>
      <c r="M71" s="44"/>
      <c r="R71" s="44"/>
      <c r="U71" s="958"/>
      <c r="AA71" s="575"/>
      <c r="AB71" s="575"/>
      <c r="AC71" s="575"/>
      <c r="AD71" s="575"/>
      <c r="AE71" s="575"/>
      <c r="AF71" s="38">
        <v>14</v>
      </c>
    </row>
    <row r="72" s="38" customFormat="1" ht="18.75" customHeight="1" spans="1:32">
      <c r="A72" s="985" t="s">
        <v>572</v>
      </c>
      <c r="C72" s="44"/>
      <c r="D72" s="522"/>
      <c r="E72" s="1012" t="str">
        <f>FHD_NUM_P_34</f>
        <v>3</v>
      </c>
      <c r="F72" s="393" t="str">
        <f>FHD_P_34</f>
        <v>Валовая прибыль (убытки) от реализации товаров и оказания услуг по регулируемому виду деятельности</v>
      </c>
      <c r="G72" s="64" t="s">
        <v>546</v>
      </c>
      <c r="H72" s="928"/>
      <c r="I72" s="928"/>
      <c r="J72" s="83" t="str">
        <f>FHD_NOTE_P_34</f>
        <v/>
      </c>
      <c r="K72" s="978"/>
      <c r="L72" s="44"/>
      <c r="M72" s="44"/>
      <c r="R72" s="44"/>
      <c r="U72" s="958"/>
      <c r="AA72" s="575"/>
      <c r="AB72" s="575"/>
      <c r="AC72" s="575"/>
      <c r="AD72" s="575"/>
      <c r="AE72" s="575"/>
      <c r="AF72" s="38">
        <v>0</v>
      </c>
    </row>
    <row r="73" s="38" customFormat="1" ht="19.95" customHeight="1" spans="1:32">
      <c r="A73" s="957"/>
      <c r="C73" s="44"/>
      <c r="D73" s="973"/>
      <c r="E73" s="1012" t="str">
        <f>FHD_NUM_P_35</f>
        <v>4</v>
      </c>
      <c r="F73" s="393" t="str">
        <f>FHD_P_35</f>
        <v>Чистая прибыль, полученная от регулируемого вида деятельности, в том числе:</v>
      </c>
      <c r="G73" s="64" t="s">
        <v>546</v>
      </c>
      <c r="H73" s="928"/>
      <c r="I73" s="928"/>
      <c r="J73" s="83" t="str">
        <f>FHD_NOTE_P_35</f>
        <v>Указывается общая сумма чистой прибыли, полученной от регулируемого вида деятельности.</v>
      </c>
      <c r="K73" s="978"/>
      <c r="L73" s="44"/>
      <c r="M73" s="44"/>
      <c r="R73" s="44"/>
      <c r="U73" s="958"/>
      <c r="AA73" s="575"/>
      <c r="AB73" s="575"/>
      <c r="AC73" s="575"/>
      <c r="AD73" s="575"/>
      <c r="AE73" s="575"/>
      <c r="AF73" s="38">
        <v>19</v>
      </c>
    </row>
    <row r="74" s="38" customFormat="1" ht="19.95" customHeight="1" spans="1:32">
      <c r="A74" s="957"/>
      <c r="C74" s="44"/>
      <c r="D74" s="522"/>
      <c r="E74" s="1012" t="str">
        <f>FHD_NUM_P_36</f>
        <v>4.1</v>
      </c>
      <c r="F74" s="66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64" t="s">
        <v>546</v>
      </c>
      <c r="H74" s="928"/>
      <c r="I74" s="928"/>
      <c r="J74" s="83" t="str">
        <f>FHD_NOTE_P_36</f>
        <v/>
      </c>
      <c r="K74" s="978"/>
      <c r="L74" s="44"/>
      <c r="M74" s="44"/>
      <c r="R74" s="44"/>
      <c r="U74" s="958"/>
      <c r="AA74" s="575"/>
      <c r="AB74" s="575"/>
      <c r="AC74" s="575"/>
      <c r="AD74" s="575"/>
      <c r="AE74" s="575"/>
      <c r="AF74" s="38">
        <v>19</v>
      </c>
    </row>
    <row r="75" s="38" customFormat="1" ht="19.95" customHeight="1" spans="1:32">
      <c r="A75" s="957"/>
      <c r="C75" s="44"/>
      <c r="D75" s="522"/>
      <c r="E75" s="1012" t="str">
        <f>FHD_NUM_P_37</f>
        <v>5</v>
      </c>
      <c r="F75" s="393" t="str">
        <f>FHD_P_37</f>
        <v>Изменение стоимости основных фондов, в том числе:</v>
      </c>
      <c r="G75" s="64" t="s">
        <v>546</v>
      </c>
      <c r="H75" s="928"/>
      <c r="I75" s="928"/>
      <c r="J75" s="83" t="str">
        <f>FHD_NOTE_P_37</f>
        <v>Указывается общее изменение стоимости основных фондов.</v>
      </c>
      <c r="K75" s="978"/>
      <c r="L75" s="44"/>
      <c r="M75" s="44"/>
      <c r="R75" s="44"/>
      <c r="U75" s="958"/>
      <c r="AA75" s="575"/>
      <c r="AB75" s="575"/>
      <c r="AC75" s="575"/>
      <c r="AD75" s="575"/>
      <c r="AE75" s="575"/>
      <c r="AF75" s="38">
        <v>19</v>
      </c>
    </row>
    <row r="76" s="38" customFormat="1" ht="19.95" customHeight="1" spans="1:32">
      <c r="A76" s="957"/>
      <c r="C76" s="44"/>
      <c r="D76" s="522"/>
      <c r="E76" s="1012" t="str">
        <f>FHD_NUM_P_38</f>
        <v>5.1</v>
      </c>
      <c r="F76" s="669" t="str">
        <f>FHD_P_38</f>
        <v>Изменение стоимости основных фондов за счет:</v>
      </c>
      <c r="G76" s="64" t="s">
        <v>546</v>
      </c>
      <c r="H76" s="928"/>
      <c r="I76" s="928"/>
      <c r="J76" s="83" t="str">
        <f>FHD_NOTE_P_38</f>
        <v>Указываются общее изменение стоимости основных фондов за счет их ввода в эксплуатацию и вывода из эксплуатации.</v>
      </c>
      <c r="K76" s="978"/>
      <c r="L76" s="44"/>
      <c r="M76" s="44"/>
      <c r="R76" s="44"/>
      <c r="U76" s="958"/>
      <c r="AA76" s="575"/>
      <c r="AB76" s="575"/>
      <c r="AC76" s="575"/>
      <c r="AD76" s="575"/>
      <c r="AE76" s="575"/>
      <c r="AF76" s="38">
        <v>19</v>
      </c>
    </row>
    <row r="77" s="38" customFormat="1" ht="19.95" customHeight="1" spans="1:32">
      <c r="A77" s="957"/>
      <c r="C77" s="44"/>
      <c r="D77" s="522"/>
      <c r="E77" s="1012" t="str">
        <f>FHD_NUM_P_39</f>
        <v>5.1.1</v>
      </c>
      <c r="F77" s="929" t="str">
        <f>FHD_P_39</f>
        <v>Изменения стоимости основных фондов за счет их ввода в эксплуатацию</v>
      </c>
      <c r="G77" s="71" t="s">
        <v>546</v>
      </c>
      <c r="H77" s="928"/>
      <c r="I77" s="928"/>
      <c r="J77" s="83" t="str">
        <f>FHD_NOTE_P_39</f>
        <v>Указываются изменение стоимости основных фондов за счет их ввода в эксплуатацию.</v>
      </c>
      <c r="K77" s="978"/>
      <c r="L77" s="44"/>
      <c r="M77" s="44"/>
      <c r="R77" s="44"/>
      <c r="U77" s="958"/>
      <c r="AA77" s="575"/>
      <c r="AB77" s="575"/>
      <c r="AC77" s="575"/>
      <c r="AD77" s="575"/>
      <c r="AE77" s="575"/>
      <c r="AF77" s="38">
        <v>19</v>
      </c>
    </row>
    <row r="78" s="38" customFormat="1" ht="19.95" customHeight="1" spans="1:32">
      <c r="A78" s="957"/>
      <c r="C78" s="44"/>
      <c r="D78" s="522"/>
      <c r="E78" s="1012" t="str">
        <f>FHD_NUM_P_40</f>
        <v>5.1.2</v>
      </c>
      <c r="F78" s="1032" t="str">
        <f>FHD_P_40</f>
        <v>Изменения стоимости основных фондов за счет их вывода в эксплуатацию</v>
      </c>
      <c r="G78" s="64" t="s">
        <v>546</v>
      </c>
      <c r="H78" s="1033"/>
      <c r="I78" s="928"/>
      <c r="J78" s="83" t="str">
        <f>FHD_NOTE_P_40</f>
        <v>Указываются изменение стоимости основных фондов за счет их вывода из эксплуатации.</v>
      </c>
      <c r="K78" s="978"/>
      <c r="L78" s="44"/>
      <c r="M78" s="44"/>
      <c r="R78" s="44"/>
      <c r="U78" s="958"/>
      <c r="AA78" s="575"/>
      <c r="AB78" s="575"/>
      <c r="AC78" s="575"/>
      <c r="AD78" s="575"/>
      <c r="AE78" s="575"/>
      <c r="AF78" s="38">
        <v>19</v>
      </c>
    </row>
    <row r="79" s="38" customFormat="1" ht="19.95" customHeight="1" spans="1:32">
      <c r="A79" s="957"/>
      <c r="C79" s="44"/>
      <c r="D79" s="522"/>
      <c r="E79" s="1012" t="str">
        <f>FHD_NUM_P_41</f>
        <v>5.2</v>
      </c>
      <c r="F79" s="569" t="str">
        <f>FHD_P_41</f>
        <v>Изменение стоимости основных фондов за счет их переоценки</v>
      </c>
      <c r="G79" s="64" t="s">
        <v>546</v>
      </c>
      <c r="H79" s="1033"/>
      <c r="I79" s="928"/>
      <c r="J79" s="83" t="str">
        <f>FHD_NOTE_P_41</f>
        <v/>
      </c>
      <c r="K79" s="978"/>
      <c r="L79" s="44"/>
      <c r="M79" s="44"/>
      <c r="R79" s="44"/>
      <c r="U79" s="958"/>
      <c r="AA79" s="575"/>
      <c r="AB79" s="575"/>
      <c r="AC79" s="575"/>
      <c r="AD79" s="575"/>
      <c r="AE79" s="575"/>
      <c r="AF79" s="38">
        <v>19</v>
      </c>
    </row>
    <row r="80" s="38" customFormat="1" ht="20.25" hidden="1" customHeight="1" spans="1:32">
      <c r="A80" s="985" t="s">
        <v>573</v>
      </c>
      <c r="C80" s="44"/>
      <c r="D80" s="522"/>
      <c r="E80" s="1012" t="str">
        <f>FHD_NUM_P_42</f>
        <v/>
      </c>
      <c r="F80" s="514" t="str">
        <f>FHD_P_42</f>
        <v/>
      </c>
      <c r="G80" s="64" t="s">
        <v>546</v>
      </c>
      <c r="H80" s="1033"/>
      <c r="I80" s="928"/>
      <c r="J80" s="83" t="str">
        <f>FHD_NOTE_P_42</f>
        <v/>
      </c>
      <c r="K80" s="978"/>
      <c r="L80" s="44"/>
      <c r="M80" s="44"/>
      <c r="R80" s="44"/>
      <c r="U80" s="958"/>
      <c r="AA80" s="575"/>
      <c r="AB80" s="575"/>
      <c r="AC80" s="575"/>
      <c r="AD80" s="575"/>
      <c r="AE80" s="575"/>
      <c r="AF80" s="38">
        <v>19</v>
      </c>
    </row>
    <row r="81" s="38" customFormat="1" ht="19.95" customHeight="1" spans="1:32">
      <c r="A81" s="957"/>
      <c r="C81" s="44" t="s">
        <v>574</v>
      </c>
      <c r="D81" s="522"/>
      <c r="E81" s="1012" t="str">
        <f>FHD_NUM_P_43</f>
        <v>6</v>
      </c>
      <c r="F81" s="393" t="str">
        <f>FHD_P_43</f>
        <v>Годовая бухгалтерская (финансовая) отчетность, включая бухгалтерский баланс и приложения к нему</v>
      </c>
      <c r="G81" s="73" t="s">
        <v>302</v>
      </c>
      <c r="H81" s="1034"/>
      <c r="I81" s="628"/>
      <c r="J81" s="83"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978"/>
      <c r="L81" s="44"/>
      <c r="M81" s="44"/>
      <c r="R81" s="44"/>
      <c r="U81" s="958"/>
      <c r="AA81" s="575"/>
      <c r="AB81" s="575"/>
      <c r="AC81" s="575"/>
      <c r="AD81" s="575"/>
      <c r="AE81" s="575"/>
      <c r="AF81" s="38">
        <v>19</v>
      </c>
    </row>
    <row r="82" s="38" customFormat="1" ht="18.75" hidden="1" customHeight="1" spans="1:32">
      <c r="A82" s="1017" t="s">
        <v>575</v>
      </c>
      <c r="C82" s="44"/>
      <c r="D82" s="522"/>
      <c r="E82" s="1012" t="str">
        <f>FHD_NUM_P_44</f>
        <v/>
      </c>
      <c r="F82" s="393" t="str">
        <f>FHD_P_44</f>
        <v/>
      </c>
      <c r="G82" s="64" t="s">
        <v>576</v>
      </c>
      <c r="H82" s="1035"/>
      <c r="I82" s="986"/>
      <c r="J82" s="83" t="str">
        <f>FHD_NOTE_P_44</f>
        <v/>
      </c>
      <c r="K82" s="978"/>
      <c r="L82" s="44"/>
      <c r="M82" s="44"/>
      <c r="R82" s="44"/>
      <c r="U82" s="958"/>
      <c r="AA82" s="575"/>
      <c r="AB82" s="575"/>
      <c r="AC82" s="575"/>
      <c r="AD82" s="575"/>
      <c r="AE82" s="575"/>
      <c r="AF82" s="38">
        <v>0</v>
      </c>
    </row>
    <row r="83" s="38" customFormat="1" ht="18.75" hidden="1" customHeight="1" spans="1:32">
      <c r="A83" s="1017"/>
      <c r="C83" s="44"/>
      <c r="D83" s="522"/>
      <c r="E83" s="1012" t="str">
        <f>FHD_NUM_P_45</f>
        <v/>
      </c>
      <c r="F83" s="393" t="str">
        <f>FHD_P_45</f>
        <v/>
      </c>
      <c r="G83" s="64" t="s">
        <v>576</v>
      </c>
      <c r="H83" s="1035"/>
      <c r="I83" s="986"/>
      <c r="J83" s="83" t="str">
        <f>FHD_NOTE_P_45</f>
        <v/>
      </c>
      <c r="K83" s="978"/>
      <c r="L83" s="44"/>
      <c r="M83" s="44"/>
      <c r="R83" s="44"/>
      <c r="U83" s="958"/>
      <c r="AA83" s="575"/>
      <c r="AB83" s="575"/>
      <c r="AC83" s="575"/>
      <c r="AD83" s="575"/>
      <c r="AE83" s="575"/>
      <c r="AF83" s="38">
        <v>0</v>
      </c>
    </row>
    <row r="84" s="38" customFormat="1" ht="18.75" hidden="1" customHeight="1" spans="1:32">
      <c r="A84" s="1017"/>
      <c r="C84" s="44"/>
      <c r="D84" s="973"/>
      <c r="E84" s="1012" t="str">
        <f>FHD_NUM_P_46</f>
        <v/>
      </c>
      <c r="F84" s="393" t="str">
        <f>FHD_P_46</f>
        <v/>
      </c>
      <c r="G84" s="64" t="s">
        <v>576</v>
      </c>
      <c r="H84" s="1035"/>
      <c r="I84" s="986"/>
      <c r="J84" s="83" t="str">
        <f>FHD_NOTE_P_46</f>
        <v/>
      </c>
      <c r="K84" s="978"/>
      <c r="L84" s="44"/>
      <c r="M84" s="44"/>
      <c r="R84" s="44"/>
      <c r="U84" s="958"/>
      <c r="AA84" s="575"/>
      <c r="AB84" s="575"/>
      <c r="AC84" s="575"/>
      <c r="AD84" s="575"/>
      <c r="AE84" s="575"/>
      <c r="AF84" s="38">
        <v>0</v>
      </c>
    </row>
    <row r="85" s="38" customFormat="1" ht="18.75" hidden="1" customHeight="1" spans="1:32">
      <c r="A85" s="1017"/>
      <c r="C85" s="44"/>
      <c r="D85" s="522"/>
      <c r="E85" s="1012" t="str">
        <f>FHD_NUM_P_47</f>
        <v/>
      </c>
      <c r="F85" s="393" t="str">
        <f>FHD_P_47</f>
        <v/>
      </c>
      <c r="G85" s="64" t="s">
        <v>576</v>
      </c>
      <c r="H85" s="1035"/>
      <c r="I85" s="986"/>
      <c r="J85" s="83" t="str">
        <f>FHD_NOTE_P_47</f>
        <v/>
      </c>
      <c r="K85" s="978"/>
      <c r="L85" s="44"/>
      <c r="M85" s="44"/>
      <c r="R85" s="44"/>
      <c r="U85" s="958"/>
      <c r="AA85" s="575"/>
      <c r="AB85" s="575"/>
      <c r="AC85" s="575"/>
      <c r="AD85" s="575"/>
      <c r="AE85" s="575"/>
      <c r="AF85" s="38">
        <v>0</v>
      </c>
    </row>
    <row r="86" s="43" customFormat="1" ht="18.75" hidden="1" customHeight="1" spans="1:32">
      <c r="A86" s="1017"/>
      <c r="B86" s="38"/>
      <c r="C86" s="44"/>
      <c r="D86" s="522"/>
      <c r="E86" s="1012" t="str">
        <f>FHD_NUM_P_48</f>
        <v/>
      </c>
      <c r="F86" s="393" t="str">
        <f>FHD_P_48</f>
        <v/>
      </c>
      <c r="G86" s="64" t="s">
        <v>576</v>
      </c>
      <c r="H86" s="1035"/>
      <c r="I86" s="986"/>
      <c r="J86" s="83" t="str">
        <f>FHD_NOTE_P_48</f>
        <v/>
      </c>
      <c r="K86" s="978"/>
      <c r="L86" s="44"/>
      <c r="M86" s="44"/>
      <c r="N86" s="38"/>
      <c r="O86" s="38"/>
      <c r="P86" s="38"/>
      <c r="Q86" s="38"/>
      <c r="R86" s="44"/>
      <c r="S86" s="38"/>
      <c r="T86" s="38"/>
      <c r="U86" s="958"/>
      <c r="V86" s="38"/>
      <c r="W86" s="38"/>
      <c r="X86" s="38"/>
      <c r="Y86" s="38"/>
      <c r="Z86" s="38"/>
      <c r="AA86" s="575"/>
      <c r="AB86" s="575"/>
      <c r="AC86" s="575"/>
      <c r="AD86" s="575"/>
      <c r="AE86" s="575"/>
      <c r="AF86" s="43">
        <v>0</v>
      </c>
    </row>
    <row r="87" s="43" customFormat="1" ht="18.75" hidden="1" customHeight="1" spans="1:32">
      <c r="A87" s="1017"/>
      <c r="B87" s="38"/>
      <c r="C87" s="44"/>
      <c r="D87" s="522"/>
      <c r="E87" s="1012" t="str">
        <f>FHD_NUM_P_49</f>
        <v/>
      </c>
      <c r="F87" s="393" t="str">
        <f>FHD_P_49</f>
        <v/>
      </c>
      <c r="G87" s="64" t="s">
        <v>576</v>
      </c>
      <c r="H87" s="1036">
        <f>SUM(H88:H89)</f>
        <v>0</v>
      </c>
      <c r="I87" s="1047">
        <f>SUM(I88:I89)</f>
        <v>0</v>
      </c>
      <c r="J87" s="83" t="str">
        <f>FHD_NOTE_P_49</f>
        <v/>
      </c>
      <c r="K87" s="978"/>
      <c r="L87" s="44"/>
      <c r="M87" s="44"/>
      <c r="N87" s="38"/>
      <c r="O87" s="38"/>
      <c r="P87" s="38"/>
      <c r="Q87" s="38"/>
      <c r="R87" s="44"/>
      <c r="S87" s="38"/>
      <c r="T87" s="38"/>
      <c r="U87" s="958"/>
      <c r="V87" s="38"/>
      <c r="W87" s="38"/>
      <c r="X87" s="38"/>
      <c r="Y87" s="38"/>
      <c r="Z87" s="38"/>
      <c r="AA87" s="575"/>
      <c r="AB87" s="575"/>
      <c r="AC87" s="575"/>
      <c r="AD87" s="575"/>
      <c r="AE87" s="575"/>
      <c r="AF87" s="43">
        <v>0</v>
      </c>
    </row>
    <row r="88" s="43" customFormat="1" ht="18.75" hidden="1" customHeight="1" spans="1:32">
      <c r="A88" s="1017"/>
      <c r="B88" s="38"/>
      <c r="C88" s="44"/>
      <c r="D88" s="522"/>
      <c r="E88" s="1012" t="str">
        <f>FHD_NUM_P_50</f>
        <v/>
      </c>
      <c r="F88" s="393" t="str">
        <f>FHD_P_50</f>
        <v/>
      </c>
      <c r="G88" s="64" t="s">
        <v>576</v>
      </c>
      <c r="H88" s="1035"/>
      <c r="I88" s="986"/>
      <c r="J88" s="83" t="str">
        <f>FHD_NOTE_P_50</f>
        <v/>
      </c>
      <c r="K88" s="978"/>
      <c r="L88" s="44"/>
      <c r="M88" s="44"/>
      <c r="N88" s="38"/>
      <c r="O88" s="38"/>
      <c r="P88" s="38"/>
      <c r="Q88" s="38"/>
      <c r="R88" s="44"/>
      <c r="S88" s="38"/>
      <c r="T88" s="38"/>
      <c r="U88" s="958"/>
      <c r="V88" s="38"/>
      <c r="W88" s="38"/>
      <c r="X88" s="38"/>
      <c r="Y88" s="38"/>
      <c r="Z88" s="38"/>
      <c r="AA88" s="575"/>
      <c r="AB88" s="575"/>
      <c r="AC88" s="575"/>
      <c r="AD88" s="575"/>
      <c r="AE88" s="575"/>
      <c r="AF88" s="43">
        <v>0</v>
      </c>
    </row>
    <row r="89" s="43" customFormat="1" ht="18.75" hidden="1" customHeight="1" spans="1:32">
      <c r="A89" s="1017"/>
      <c r="B89" s="38"/>
      <c r="C89" s="44"/>
      <c r="D89" s="522"/>
      <c r="E89" s="1012" t="str">
        <f>FHD_NUM_P_51</f>
        <v/>
      </c>
      <c r="F89" s="393" t="str">
        <f>FHD_P_51</f>
        <v/>
      </c>
      <c r="G89" s="64" t="s">
        <v>576</v>
      </c>
      <c r="H89" s="1035"/>
      <c r="I89" s="986"/>
      <c r="J89" s="83" t="str">
        <f>FHD_NOTE_P_51</f>
        <v/>
      </c>
      <c r="K89" s="978"/>
      <c r="L89" s="44"/>
      <c r="M89" s="44"/>
      <c r="N89" s="38"/>
      <c r="O89" s="38"/>
      <c r="P89" s="38"/>
      <c r="Q89" s="38"/>
      <c r="R89" s="44"/>
      <c r="S89" s="38"/>
      <c r="T89" s="38"/>
      <c r="U89" s="958"/>
      <c r="V89" s="38"/>
      <c r="W89" s="38"/>
      <c r="X89" s="38"/>
      <c r="Y89" s="38"/>
      <c r="Z89" s="38"/>
      <c r="AA89" s="575"/>
      <c r="AB89" s="575"/>
      <c r="AC89" s="575"/>
      <c r="AD89" s="575"/>
      <c r="AE89" s="575"/>
      <c r="AF89" s="43">
        <v>0</v>
      </c>
    </row>
    <row r="90" s="43" customFormat="1" ht="18.75" hidden="1" customHeight="1" spans="1:32">
      <c r="A90" s="1017"/>
      <c r="B90" s="38"/>
      <c r="C90" s="44"/>
      <c r="D90" s="522"/>
      <c r="E90" s="1012" t="str">
        <f>FHD_NUM_P_52</f>
        <v/>
      </c>
      <c r="F90" s="393" t="str">
        <f>FHD_P_52</f>
        <v/>
      </c>
      <c r="G90" s="64" t="s">
        <v>552</v>
      </c>
      <c r="H90" s="1033"/>
      <c r="I90" s="928"/>
      <c r="J90" s="83" t="str">
        <f>FHD_NOTE_P_52</f>
        <v/>
      </c>
      <c r="K90" s="978"/>
      <c r="L90" s="44"/>
      <c r="M90" s="44"/>
      <c r="N90" s="38"/>
      <c r="O90" s="38"/>
      <c r="P90" s="38"/>
      <c r="Q90" s="38"/>
      <c r="R90" s="44"/>
      <c r="S90" s="38"/>
      <c r="T90" s="38"/>
      <c r="U90" s="958"/>
      <c r="V90" s="38"/>
      <c r="W90" s="38"/>
      <c r="X90" s="38"/>
      <c r="Y90" s="38"/>
      <c r="Z90" s="38"/>
      <c r="AA90" s="575"/>
      <c r="AB90" s="575"/>
      <c r="AC90" s="575"/>
      <c r="AD90" s="575"/>
      <c r="AE90" s="575"/>
      <c r="AF90" s="43">
        <v>0</v>
      </c>
    </row>
    <row r="91" s="38" customFormat="1" ht="18.75" hidden="1" customHeight="1" spans="1:32">
      <c r="A91" s="1017" t="s">
        <v>577</v>
      </c>
      <c r="C91" s="44"/>
      <c r="D91" s="522"/>
      <c r="E91" s="1012" t="str">
        <f>FHD_NUM_P_53</f>
        <v/>
      </c>
      <c r="F91" s="393" t="str">
        <f>FHD_P_53</f>
        <v/>
      </c>
      <c r="G91" s="64" t="s">
        <v>576</v>
      </c>
      <c r="H91" s="1035"/>
      <c r="I91" s="986"/>
      <c r="J91" s="83" t="str">
        <f>FHD_NOTE_P_53</f>
        <v/>
      </c>
      <c r="K91" s="978"/>
      <c r="L91" s="44"/>
      <c r="M91" s="44"/>
      <c r="R91" s="44"/>
      <c r="U91" s="958"/>
      <c r="AA91" s="575"/>
      <c r="AB91" s="575"/>
      <c r="AC91" s="575"/>
      <c r="AD91" s="575"/>
      <c r="AE91" s="575"/>
      <c r="AF91" s="38">
        <v>0</v>
      </c>
    </row>
    <row r="92" s="38" customFormat="1" ht="18.75" hidden="1" customHeight="1" spans="1:32">
      <c r="A92" s="1017"/>
      <c r="C92" s="44"/>
      <c r="D92" s="522"/>
      <c r="E92" s="1012" t="str">
        <f>FHD_NUM_P_54</f>
        <v/>
      </c>
      <c r="F92" s="393" t="str">
        <f>FHD_P_54</f>
        <v/>
      </c>
      <c r="G92" s="64" t="s">
        <v>576</v>
      </c>
      <c r="H92" s="1035"/>
      <c r="I92" s="986"/>
      <c r="J92" s="83" t="str">
        <f>FHD_NOTE_P_54</f>
        <v/>
      </c>
      <c r="K92" s="978"/>
      <c r="L92" s="44"/>
      <c r="M92" s="44"/>
      <c r="R92" s="44"/>
      <c r="U92" s="958"/>
      <c r="AA92" s="575"/>
      <c r="AB92" s="575"/>
      <c r="AC92" s="575"/>
      <c r="AD92" s="575"/>
      <c r="AE92" s="575"/>
      <c r="AF92" s="38">
        <v>0</v>
      </c>
    </row>
    <row r="93" s="38" customFormat="1" ht="18.75" hidden="1" customHeight="1" spans="1:32">
      <c r="A93" s="1017"/>
      <c r="C93" s="44"/>
      <c r="D93" s="973"/>
      <c r="E93" s="1012" t="str">
        <f>FHD_NUM_P_55</f>
        <v/>
      </c>
      <c r="F93" s="393" t="str">
        <f>FHD_P_55</f>
        <v/>
      </c>
      <c r="G93" s="655"/>
      <c r="H93" s="1035"/>
      <c r="I93" s="986"/>
      <c r="J93" s="83" t="str">
        <f>FHD_NOTE_P_55</f>
        <v/>
      </c>
      <c r="K93" s="978"/>
      <c r="L93" s="44"/>
      <c r="M93" s="44"/>
      <c r="R93" s="44"/>
      <c r="U93" s="958"/>
      <c r="AA93" s="575"/>
      <c r="AB93" s="575"/>
      <c r="AC93" s="575"/>
      <c r="AD93" s="575"/>
      <c r="AE93" s="575"/>
      <c r="AF93" s="38">
        <v>0</v>
      </c>
    </row>
    <row r="94" s="38" customFormat="1" ht="18.75" hidden="1" customHeight="1" spans="1:32">
      <c r="A94" s="1017"/>
      <c r="C94" s="44"/>
      <c r="D94" s="522"/>
      <c r="E94" s="1012" t="str">
        <f>FHD_NUM_P_56</f>
        <v/>
      </c>
      <c r="F94" s="393" t="str">
        <f>FHD_P_56</f>
        <v/>
      </c>
      <c r="G94" s="64" t="s">
        <v>578</v>
      </c>
      <c r="H94" s="1035"/>
      <c r="I94" s="986"/>
      <c r="J94" s="83" t="str">
        <f>FHD_NOTE_P_56</f>
        <v/>
      </c>
      <c r="K94" s="978"/>
      <c r="L94" s="44"/>
      <c r="M94" s="44"/>
      <c r="R94" s="44"/>
      <c r="U94" s="958"/>
      <c r="AA94" s="575"/>
      <c r="AB94" s="575"/>
      <c r="AC94" s="575"/>
      <c r="AD94" s="575"/>
      <c r="AE94" s="575"/>
      <c r="AF94" s="38">
        <v>0</v>
      </c>
    </row>
    <row r="95" s="43" customFormat="1" ht="18.75" hidden="1" customHeight="1" spans="1:32">
      <c r="A95" s="1017"/>
      <c r="B95" s="38"/>
      <c r="C95" s="44"/>
      <c r="D95" s="522"/>
      <c r="E95" s="1012" t="str">
        <f>FHD_NUM_P_57</f>
        <v/>
      </c>
      <c r="F95" s="393" t="str">
        <f>FHD_P_57</f>
        <v/>
      </c>
      <c r="G95" s="64" t="s">
        <v>552</v>
      </c>
      <c r="H95" s="1033"/>
      <c r="I95" s="928"/>
      <c r="J95" s="83" t="str">
        <f>FHD_NOTE_P_57</f>
        <v/>
      </c>
      <c r="K95" s="978"/>
      <c r="L95" s="44"/>
      <c r="M95" s="44"/>
      <c r="N95" s="38"/>
      <c r="O95" s="38"/>
      <c r="P95" s="38"/>
      <c r="Q95" s="38"/>
      <c r="R95" s="44"/>
      <c r="S95" s="38"/>
      <c r="T95" s="38"/>
      <c r="U95" s="958"/>
      <c r="V95" s="38"/>
      <c r="W95" s="38"/>
      <c r="X95" s="38"/>
      <c r="Y95" s="38"/>
      <c r="Z95" s="38"/>
      <c r="AA95" s="575"/>
      <c r="AB95" s="575"/>
      <c r="AC95" s="575"/>
      <c r="AD95" s="575"/>
      <c r="AE95" s="575"/>
      <c r="AF95" s="43">
        <v>0</v>
      </c>
    </row>
    <row r="96" ht="18.75" hidden="1" customHeight="1" spans="1:32">
      <c r="A96" s="1017" t="s">
        <v>579</v>
      </c>
      <c r="D96" s="522"/>
      <c r="E96" s="1012" t="str">
        <f>FHD_NUM_P_58</f>
        <v/>
      </c>
      <c r="F96" s="393" t="str">
        <f>FHD_P_58</f>
        <v/>
      </c>
      <c r="G96" s="64" t="s">
        <v>576</v>
      </c>
      <c r="H96" s="1035"/>
      <c r="I96" s="986"/>
      <c r="J96" s="83" t="str">
        <f>FHD_NOTE_P_58</f>
        <v/>
      </c>
      <c r="K96" s="978"/>
      <c r="AF96" s="43">
        <v>0</v>
      </c>
    </row>
    <row r="97" ht="18.75" hidden="1" customHeight="1" spans="1:32">
      <c r="A97" s="1017"/>
      <c r="D97" s="522"/>
      <c r="E97" s="1012" t="str">
        <f>FHD_NUM_P_59</f>
        <v/>
      </c>
      <c r="F97" s="393" t="str">
        <f>FHD_P_59</f>
        <v/>
      </c>
      <c r="G97" s="64" t="s">
        <v>576</v>
      </c>
      <c r="H97" s="1035"/>
      <c r="I97" s="986"/>
      <c r="J97" s="83" t="str">
        <f>FHD_NOTE_P_59</f>
        <v/>
      </c>
      <c r="K97" s="978"/>
      <c r="AF97" s="43">
        <v>0</v>
      </c>
    </row>
    <row r="98" ht="18.75" hidden="1" customHeight="1" spans="1:32">
      <c r="A98" s="1017"/>
      <c r="D98" s="522"/>
      <c r="E98" s="1012" t="str">
        <f>FHD_NUM_P_60</f>
        <v/>
      </c>
      <c r="F98" s="393" t="str">
        <f>FHD_P_60</f>
        <v/>
      </c>
      <c r="G98" s="64" t="s">
        <v>576</v>
      </c>
      <c r="H98" s="1035"/>
      <c r="I98" s="986"/>
      <c r="J98" s="83" t="str">
        <f>FHD_NOTE_P_60</f>
        <v/>
      </c>
      <c r="K98" s="978"/>
      <c r="AF98" s="43">
        <v>0</v>
      </c>
    </row>
    <row r="99" s="38" customFormat="1" ht="18.75" customHeight="1" spans="1:32">
      <c r="A99" s="1017" t="s">
        <v>580</v>
      </c>
      <c r="C99" s="44"/>
      <c r="D99" s="522"/>
      <c r="E99" s="1012" t="str">
        <f>FHD_NUM_P_61</f>
        <v>7</v>
      </c>
      <c r="F99" s="3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64" t="s">
        <v>550</v>
      </c>
      <c r="H99" s="1037"/>
      <c r="I99" s="944"/>
      <c r="J99" s="83"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978"/>
      <c r="L99" s="44"/>
      <c r="M99" s="44"/>
      <c r="R99" s="44"/>
      <c r="U99" s="958"/>
      <c r="AA99" s="575"/>
      <c r="AB99" s="575"/>
      <c r="AC99" s="575"/>
      <c r="AD99" s="575"/>
      <c r="AE99" s="575"/>
      <c r="AF99" s="38">
        <v>0</v>
      </c>
    </row>
    <row r="100" s="44" customFormat="1" ht="0.75" customHeight="1" spans="1:32">
      <c r="A100" s="1017"/>
      <c r="D100" s="307"/>
      <c r="E100" s="675" t="str">
        <f>E99&amp;".0"</f>
        <v>7.0</v>
      </c>
      <c r="F100" s="1038"/>
      <c r="G100" s="1039"/>
      <c r="H100" s="970"/>
      <c r="I100" s="970"/>
      <c r="J100" s="1048"/>
      <c r="AF100" s="44">
        <v>0</v>
      </c>
    </row>
    <row r="101" ht="15" customHeight="1" spans="1:32">
      <c r="A101" s="1017"/>
      <c r="D101" s="217"/>
      <c r="E101" s="1040"/>
      <c r="F101" s="1041" t="s">
        <v>581</v>
      </c>
      <c r="G101" s="402"/>
      <c r="H101" s="921"/>
      <c r="I101" s="921"/>
      <c r="J101" s="827" t="s">
        <v>582</v>
      </c>
      <c r="K101" s="978"/>
      <c r="AF101" s="43">
        <v>0</v>
      </c>
    </row>
    <row r="102" s="38" customFormat="1" ht="18.75" customHeight="1" spans="1:32">
      <c r="A102" s="1017"/>
      <c r="C102" s="44"/>
      <c r="D102" s="522"/>
      <c r="E102" s="1012" t="str">
        <f>FHD_NUM_P_62</f>
        <v>8</v>
      </c>
      <c r="F102" s="393" t="str">
        <f>FHD_P_62</f>
        <v>Тепловая нагрузка по договорам, заключенным в рамках осуществления регулируемых видов деятельности</v>
      </c>
      <c r="G102" s="127" t="s">
        <v>550</v>
      </c>
      <c r="H102" s="928"/>
      <c r="I102" s="928"/>
      <c r="J102" s="8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978"/>
      <c r="L102" s="44"/>
      <c r="M102" s="44"/>
      <c r="R102" s="44"/>
      <c r="U102" s="958"/>
      <c r="AA102" s="575"/>
      <c r="AB102" s="575"/>
      <c r="AC102" s="575"/>
      <c r="AD102" s="575"/>
      <c r="AE102" s="575"/>
      <c r="AF102" s="38">
        <v>0</v>
      </c>
    </row>
    <row r="103" s="38" customFormat="1" ht="18.75" customHeight="1" spans="1:32">
      <c r="A103" s="1017"/>
      <c r="C103" s="44"/>
      <c r="D103" s="522"/>
      <c r="E103" s="1012" t="str">
        <f>FHD_NUM_P_63</f>
        <v>9</v>
      </c>
      <c r="F103" s="393" t="str">
        <f>FHD_P_63</f>
        <v>Объем вырабатываемой регулируемой организацией тепловой энергии в рамках осуществления регулируемых видов деятельности</v>
      </c>
      <c r="G103" s="127" t="s">
        <v>578</v>
      </c>
      <c r="H103" s="986"/>
      <c r="I103" s="986"/>
      <c r="J103" s="8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978"/>
      <c r="L103" s="44"/>
      <c r="M103" s="44"/>
      <c r="R103" s="44"/>
      <c r="U103" s="958"/>
      <c r="AA103" s="575"/>
      <c r="AB103" s="575"/>
      <c r="AC103" s="575"/>
      <c r="AD103" s="575"/>
      <c r="AE103" s="575"/>
      <c r="AF103" s="38">
        <v>0</v>
      </c>
    </row>
    <row r="104" s="38" customFormat="1" ht="18.75" customHeight="1" spans="1:32">
      <c r="A104" s="1017"/>
      <c r="C104" s="44"/>
      <c r="D104" s="522"/>
      <c r="E104" s="1012" t="str">
        <f>FHD_NUM_P_64</f>
        <v>9.1</v>
      </c>
      <c r="F104" s="393" t="str">
        <f>FHD_P_64</f>
        <v>Объем приобретаемой регулируемой организацией тепловой энергии в рамках осуществления регулируемых видов деятельности</v>
      </c>
      <c r="G104" s="127" t="s">
        <v>578</v>
      </c>
      <c r="H104" s="1042"/>
      <c r="I104" s="102"/>
      <c r="J104" s="83" t="str">
        <f>FHD_NOTE_P_64</f>
        <v>Информация указывается только едиными теплоснабжающими организациями.</v>
      </c>
      <c r="K104" s="978"/>
      <c r="L104" s="44"/>
      <c r="M104" s="44"/>
      <c r="R104" s="44"/>
      <c r="U104" s="958"/>
      <c r="AA104" s="575"/>
      <c r="AB104" s="575"/>
      <c r="AC104" s="575"/>
      <c r="AD104" s="575"/>
      <c r="AE104" s="575"/>
      <c r="AF104" s="38">
        <v>0</v>
      </c>
    </row>
    <row r="105" s="38" customFormat="1" ht="18.75" customHeight="1" spans="1:32">
      <c r="A105" s="1017"/>
      <c r="C105" s="44"/>
      <c r="D105" s="522"/>
      <c r="E105" s="1012" t="str">
        <f>FHD_NUM_P_65</f>
        <v>10</v>
      </c>
      <c r="F105" s="3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27" t="s">
        <v>578</v>
      </c>
      <c r="H105" s="986"/>
      <c r="I105" s="986"/>
      <c r="J105" s="83"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978"/>
      <c r="L105" s="44"/>
      <c r="M105" s="44"/>
      <c r="R105" s="44"/>
      <c r="U105" s="958"/>
      <c r="AA105" s="575"/>
      <c r="AB105" s="575"/>
      <c r="AC105" s="575"/>
      <c r="AD105" s="575"/>
      <c r="AE105" s="575"/>
      <c r="AF105" s="38">
        <v>0</v>
      </c>
    </row>
    <row r="106" s="38" customFormat="1" ht="18.75" customHeight="1" spans="1:32">
      <c r="A106" s="1017"/>
      <c r="C106" s="44"/>
      <c r="D106" s="522"/>
      <c r="E106" s="1012" t="str">
        <f>FHD_NUM_P_66</f>
        <v>10.1</v>
      </c>
      <c r="F106" s="669" t="str">
        <f>FHD_P_66</f>
        <v>По приборам учёта </v>
      </c>
      <c r="G106" s="127" t="s">
        <v>578</v>
      </c>
      <c r="H106" s="986"/>
      <c r="I106" s="986"/>
      <c r="J106" s="83" t="str">
        <f>FHD_NOTE_P_66</f>
        <v/>
      </c>
      <c r="K106" s="978"/>
      <c r="L106" s="44"/>
      <c r="M106" s="44"/>
      <c r="R106" s="44"/>
      <c r="U106" s="958"/>
      <c r="AA106" s="575"/>
      <c r="AB106" s="575"/>
      <c r="AC106" s="575"/>
      <c r="AD106" s="575"/>
      <c r="AE106" s="575"/>
      <c r="AF106" s="38">
        <v>0</v>
      </c>
    </row>
    <row r="107" s="38" customFormat="1" ht="18.75" customHeight="1" spans="1:32">
      <c r="A107" s="1017"/>
      <c r="C107" s="44"/>
      <c r="D107" s="522"/>
      <c r="E107" s="1012" t="str">
        <f>FHD_NUM_P_67</f>
        <v>10.1.1</v>
      </c>
      <c r="F107" s="92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27" t="s">
        <v>578</v>
      </c>
      <c r="H107" s="986"/>
      <c r="I107" s="986"/>
      <c r="J107" s="83" t="str">
        <f>FHD_NOTE_P_67</f>
        <v/>
      </c>
      <c r="K107" s="978"/>
      <c r="L107" s="44"/>
      <c r="M107" s="44"/>
      <c r="R107" s="44"/>
      <c r="U107" s="958"/>
      <c r="AA107" s="575"/>
      <c r="AB107" s="575"/>
      <c r="AC107" s="575"/>
      <c r="AD107" s="575"/>
      <c r="AE107" s="575"/>
      <c r="AF107" s="38">
        <v>0</v>
      </c>
    </row>
    <row r="108" s="38" customFormat="1" ht="18.75" customHeight="1" spans="1:32">
      <c r="A108" s="1017"/>
      <c r="C108" s="44"/>
      <c r="D108" s="522"/>
      <c r="E108" s="1012" t="str">
        <f>FHD_NUM_P_68</f>
        <v>10.2</v>
      </c>
      <c r="F108" s="669" t="str">
        <f>FHD_P_68</f>
        <v>Расчётным путём</v>
      </c>
      <c r="G108" s="127" t="s">
        <v>578</v>
      </c>
      <c r="H108" s="986"/>
      <c r="I108" s="986"/>
      <c r="J108" s="83" t="str">
        <f>FHD_NOTE_P_68</f>
        <v/>
      </c>
      <c r="K108" s="978"/>
      <c r="L108" s="44"/>
      <c r="M108" s="44"/>
      <c r="R108" s="44"/>
      <c r="U108" s="958"/>
      <c r="AA108" s="575"/>
      <c r="AB108" s="575"/>
      <c r="AC108" s="575"/>
      <c r="AD108" s="575"/>
      <c r="AE108" s="575"/>
      <c r="AF108" s="38">
        <v>0</v>
      </c>
    </row>
    <row r="109" s="38" customFormat="1" ht="18.75" customHeight="1" spans="1:32">
      <c r="A109" s="1017"/>
      <c r="C109" s="44"/>
      <c r="D109" s="522"/>
      <c r="E109" s="1012" t="str">
        <f>FHD_NUM_P_69</f>
        <v>10.3</v>
      </c>
      <c r="F109" s="669" t="str">
        <f>FHD_P_69</f>
        <v>По нормативам потребления коммунальных услуг и нормативам потребления коммунальных ресурсов</v>
      </c>
      <c r="G109" s="127" t="s">
        <v>578</v>
      </c>
      <c r="H109" s="986"/>
      <c r="I109" s="986"/>
      <c r="J109" s="83" t="str">
        <f>FHD_NOTE_P_69</f>
        <v/>
      </c>
      <c r="K109" s="978"/>
      <c r="L109" s="44"/>
      <c r="M109" s="44"/>
      <c r="R109" s="44"/>
      <c r="U109" s="958"/>
      <c r="AA109" s="575"/>
      <c r="AB109" s="575"/>
      <c r="AC109" s="575"/>
      <c r="AD109" s="575"/>
      <c r="AE109" s="575"/>
      <c r="AF109" s="38">
        <v>0</v>
      </c>
    </row>
    <row r="110" s="38" customFormat="1" ht="22.5" customHeight="1" spans="1:32">
      <c r="A110" s="1017"/>
      <c r="C110" s="44"/>
      <c r="D110" s="522"/>
      <c r="E110" s="1012" t="str">
        <f>FHD_NUM_P_70</f>
        <v>11</v>
      </c>
      <c r="F110" s="39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27" t="s">
        <v>583</v>
      </c>
      <c r="H110" s="928"/>
      <c r="I110" s="928"/>
      <c r="J110" s="83" t="str">
        <f>FHD_NOTE_P_70</f>
        <v/>
      </c>
      <c r="K110" s="978"/>
      <c r="L110" s="44"/>
      <c r="M110" s="44"/>
      <c r="R110" s="44"/>
      <c r="U110" s="958"/>
      <c r="AA110" s="575"/>
      <c r="AB110" s="575"/>
      <c r="AC110" s="575"/>
      <c r="AD110" s="575"/>
      <c r="AE110" s="575"/>
      <c r="AF110" s="38">
        <v>0</v>
      </c>
    </row>
    <row r="111" s="38" customFormat="1" ht="22.5" customHeight="1" spans="1:32">
      <c r="A111" s="1017"/>
      <c r="C111" s="44"/>
      <c r="D111" s="522"/>
      <c r="E111" s="1012" t="str">
        <f>FHD_NUM_P_71</f>
        <v>12</v>
      </c>
      <c r="F111" s="393" t="str">
        <f>FHD_P_71</f>
        <v>Фактический объем потерь при передаче тепловой энергии</v>
      </c>
      <c r="G111" s="127" t="s">
        <v>583</v>
      </c>
      <c r="H111" s="928"/>
      <c r="I111" s="928"/>
      <c r="J111" s="83" t="str">
        <f>FHD_NOTE_P_71</f>
        <v/>
      </c>
      <c r="K111" s="978"/>
      <c r="L111" s="44"/>
      <c r="M111" s="44"/>
      <c r="R111" s="44"/>
      <c r="U111" s="958"/>
      <c r="AA111" s="575"/>
      <c r="AB111" s="575"/>
      <c r="AC111" s="575"/>
      <c r="AD111" s="575"/>
      <c r="AE111" s="575"/>
      <c r="AF111" s="38">
        <v>0</v>
      </c>
    </row>
    <row r="112" ht="19.95" customHeight="1" spans="4:32">
      <c r="D112" s="522"/>
      <c r="E112" s="1012" t="str">
        <f>FHD_NUM_P_72</f>
        <v>13</v>
      </c>
      <c r="F112" s="393" t="str">
        <f>FHD_P_72</f>
        <v>Среднесписочная численность основного производственного персонала</v>
      </c>
      <c r="G112" s="127" t="s">
        <v>584</v>
      </c>
      <c r="H112" s="986"/>
      <c r="I112" s="986"/>
      <c r="J112" s="83" t="str">
        <f>FHD_NOTE_P_72</f>
        <v/>
      </c>
      <c r="K112" s="978"/>
      <c r="AF112" s="43">
        <v>19</v>
      </c>
    </row>
    <row r="113" ht="18.75" customHeight="1" spans="1:32">
      <c r="A113" s="985" t="s">
        <v>585</v>
      </c>
      <c r="D113" s="522"/>
      <c r="E113" s="1012" t="str">
        <f>FHD_NUM_P_73</f>
        <v>14</v>
      </c>
      <c r="F113" s="393" t="str">
        <f>FHD_P_73</f>
        <v>Среднесписочная численность административно-управленческого персонала</v>
      </c>
      <c r="G113" s="904" t="s">
        <v>584</v>
      </c>
      <c r="H113" s="1043"/>
      <c r="I113" s="1043"/>
      <c r="J113" s="83" t="str">
        <f>FHD_NOTE_P_73</f>
        <v/>
      </c>
      <c r="K113" s="978"/>
      <c r="AF113" s="43">
        <v>0</v>
      </c>
    </row>
    <row r="114" ht="33.75" hidden="1" customHeight="1" spans="1:32">
      <c r="A114" s="985" t="s">
        <v>586</v>
      </c>
      <c r="D114" s="522"/>
      <c r="E114" s="1012" t="str">
        <f>FHD_NUM_P_74</f>
        <v/>
      </c>
      <c r="F114" s="393" t="str">
        <f>FHD_P_74</f>
        <v/>
      </c>
      <c r="G114" s="127" t="s">
        <v>587</v>
      </c>
      <c r="H114" s="986"/>
      <c r="I114" s="986"/>
      <c r="J114" s="83" t="str">
        <f>FHD_NOTE_P_74</f>
        <v/>
      </c>
      <c r="K114" s="978"/>
      <c r="AF114" s="43">
        <v>0</v>
      </c>
    </row>
    <row r="115" s="43" customFormat="1" ht="18.75" hidden="1" customHeight="1" spans="1:32">
      <c r="A115" s="1017" t="s">
        <v>588</v>
      </c>
      <c r="B115" s="38"/>
      <c r="C115" s="44"/>
      <c r="D115" s="522"/>
      <c r="E115" s="1012" t="str">
        <f>FHD_NUM_P_75</f>
        <v/>
      </c>
      <c r="F115" s="393" t="str">
        <f>FHD_P_75</f>
        <v/>
      </c>
      <c r="G115" s="127" t="s">
        <v>552</v>
      </c>
      <c r="H115" s="928"/>
      <c r="I115" s="928"/>
      <c r="J115" s="83" t="str">
        <f>FHD_NOTE_P_75</f>
        <v/>
      </c>
      <c r="K115" s="978"/>
      <c r="L115" s="44"/>
      <c r="M115" s="44"/>
      <c r="N115" s="38"/>
      <c r="O115" s="38"/>
      <c r="P115" s="38"/>
      <c r="Q115" s="38"/>
      <c r="R115" s="44"/>
      <c r="S115" s="38"/>
      <c r="T115" s="38"/>
      <c r="U115" s="958"/>
      <c r="V115" s="38"/>
      <c r="W115" s="38"/>
      <c r="X115" s="38"/>
      <c r="Y115" s="38"/>
      <c r="Z115" s="38"/>
      <c r="AA115" s="575"/>
      <c r="AB115" s="575"/>
      <c r="AC115" s="575"/>
      <c r="AD115" s="575"/>
      <c r="AE115" s="575"/>
      <c r="AF115" s="43">
        <v>0</v>
      </c>
    </row>
    <row r="116" s="43" customFormat="1" ht="18.75" hidden="1" customHeight="1" spans="1:32">
      <c r="A116" s="1017"/>
      <c r="B116" s="38"/>
      <c r="C116" s="44"/>
      <c r="D116" s="522"/>
      <c r="E116" s="1012" t="str">
        <f>FHD_NUM_P_76</f>
        <v/>
      </c>
      <c r="F116" s="393" t="str">
        <f>FHD_P_76</f>
        <v/>
      </c>
      <c r="G116" s="127" t="s">
        <v>552</v>
      </c>
      <c r="H116" s="928"/>
      <c r="I116" s="928"/>
      <c r="J116" s="83" t="str">
        <f>FHD_NOTE_P_76</f>
        <v/>
      </c>
      <c r="K116" s="978"/>
      <c r="L116" s="44"/>
      <c r="M116" s="44"/>
      <c r="N116" s="38"/>
      <c r="O116" s="38"/>
      <c r="P116" s="38"/>
      <c r="Q116" s="38"/>
      <c r="R116" s="44"/>
      <c r="S116" s="38"/>
      <c r="T116" s="38"/>
      <c r="U116" s="958"/>
      <c r="V116" s="38"/>
      <c r="W116" s="38"/>
      <c r="X116" s="38"/>
      <c r="Y116" s="38"/>
      <c r="Z116" s="38"/>
      <c r="AA116" s="575"/>
      <c r="AB116" s="575"/>
      <c r="AC116" s="575"/>
      <c r="AD116" s="575"/>
      <c r="AE116" s="575"/>
      <c r="AF116" s="43">
        <v>0</v>
      </c>
    </row>
    <row r="117" s="43" customFormat="1" ht="18.75" hidden="1" customHeight="1" spans="1:32">
      <c r="A117" s="1017"/>
      <c r="B117" s="38"/>
      <c r="C117" s="44"/>
      <c r="D117" s="522"/>
      <c r="E117" s="1012" t="str">
        <f>FHD_NUM_P_77</f>
        <v/>
      </c>
      <c r="F117" s="393" t="str">
        <f>FHD_P_77</f>
        <v/>
      </c>
      <c r="G117" s="127" t="s">
        <v>552</v>
      </c>
      <c r="H117" s="928"/>
      <c r="I117" s="928"/>
      <c r="J117" s="83" t="str">
        <f>FHD_NOTE_P_77</f>
        <v/>
      </c>
      <c r="K117" s="978"/>
      <c r="L117" s="44"/>
      <c r="M117" s="44"/>
      <c r="N117" s="38"/>
      <c r="O117" s="38"/>
      <c r="P117" s="38"/>
      <c r="Q117" s="38"/>
      <c r="R117" s="44"/>
      <c r="S117" s="38"/>
      <c r="T117" s="38"/>
      <c r="U117" s="958"/>
      <c r="V117" s="38"/>
      <c r="W117" s="38"/>
      <c r="X117" s="38"/>
      <c r="Y117" s="38"/>
      <c r="Z117" s="38"/>
      <c r="AA117" s="575"/>
      <c r="AB117" s="575"/>
      <c r="AC117" s="575"/>
      <c r="AD117" s="575"/>
      <c r="AE117" s="575"/>
      <c r="AF117" s="43">
        <v>0</v>
      </c>
    </row>
    <row r="118" s="44" customFormat="1" ht="0.75" hidden="1" customHeight="1" spans="1:32">
      <c r="A118" s="1017"/>
      <c r="D118" s="307"/>
      <c r="E118" s="675" t="str">
        <f>E117&amp;".0"</f>
        <v>.0</v>
      </c>
      <c r="F118" s="1044"/>
      <c r="G118" s="1045"/>
      <c r="H118" s="970"/>
      <c r="I118" s="970"/>
      <c r="J118" s="1048"/>
      <c r="AF118" s="44">
        <v>0</v>
      </c>
    </row>
    <row r="119" s="43" customFormat="1" ht="15" hidden="1" customHeight="1" spans="1:32">
      <c r="A119" s="1017"/>
      <c r="B119" s="38"/>
      <c r="C119" s="44"/>
      <c r="D119" s="217"/>
      <c r="E119" s="1040"/>
      <c r="F119" s="1041" t="s">
        <v>589</v>
      </c>
      <c r="G119" s="402"/>
      <c r="H119" s="921"/>
      <c r="I119" s="921"/>
      <c r="J119" s="827" t="s">
        <v>590</v>
      </c>
      <c r="K119" s="978"/>
      <c r="L119" s="44"/>
      <c r="M119" s="44"/>
      <c r="N119" s="38"/>
      <c r="O119" s="38"/>
      <c r="P119" s="38"/>
      <c r="Q119" s="38"/>
      <c r="R119" s="44"/>
      <c r="S119" s="38"/>
      <c r="T119" s="38"/>
      <c r="U119" s="958"/>
      <c r="V119" s="38"/>
      <c r="W119" s="38"/>
      <c r="X119" s="38"/>
      <c r="Y119" s="38"/>
      <c r="Z119" s="38"/>
      <c r="AA119" s="575"/>
      <c r="AB119" s="575"/>
      <c r="AC119" s="575"/>
      <c r="AD119" s="575"/>
      <c r="AE119" s="575"/>
      <c r="AF119" s="43">
        <v>0</v>
      </c>
    </row>
    <row r="120" ht="22.5" customHeight="1" spans="1:32">
      <c r="A120" s="1017" t="s">
        <v>591</v>
      </c>
      <c r="D120" s="522"/>
      <c r="E120" s="1012" t="str">
        <f>FHD_NUM_P_78</f>
        <v>15</v>
      </c>
      <c r="F120" s="3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27" t="s">
        <v>554</v>
      </c>
      <c r="H120" s="986"/>
      <c r="I120" s="986"/>
      <c r="J120" s="83" t="str">
        <f>FHD_NOTE_P_78</f>
        <v/>
      </c>
      <c r="K120" s="978"/>
      <c r="AF120" s="43">
        <v>0</v>
      </c>
    </row>
    <row r="121" s="44" customFormat="1" ht="0.75" customHeight="1" spans="1:32">
      <c r="A121" s="1017"/>
      <c r="D121" s="307"/>
      <c r="E121" s="675" t="str">
        <f>E120&amp;".0"</f>
        <v>15.0</v>
      </c>
      <c r="F121" s="1044"/>
      <c r="G121" s="1045"/>
      <c r="H121" s="970"/>
      <c r="I121" s="970"/>
      <c r="J121" s="1048"/>
      <c r="AF121" s="44">
        <v>0</v>
      </c>
    </row>
    <row r="122" ht="15" customHeight="1" spans="1:32">
      <c r="A122" s="1017"/>
      <c r="D122" s="217"/>
      <c r="E122" s="971"/>
      <c r="F122" s="227" t="s">
        <v>581</v>
      </c>
      <c r="G122" s="402"/>
      <c r="H122" s="921"/>
      <c r="I122" s="921"/>
      <c r="J122" s="827" t="s">
        <v>592</v>
      </c>
      <c r="K122" s="978"/>
      <c r="AF122" s="43">
        <v>0</v>
      </c>
    </row>
    <row r="123" ht="22.5" customHeight="1" spans="1:32">
      <c r="A123" s="1017"/>
      <c r="D123" s="522"/>
      <c r="E123" s="1012" t="str">
        <f>FHD_NUM_P_79</f>
        <v>16</v>
      </c>
      <c r="F123" s="3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64" t="s">
        <v>556</v>
      </c>
      <c r="H123" s="986"/>
      <c r="I123" s="986"/>
      <c r="J123" s="8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978"/>
      <c r="AF123" s="43">
        <v>0</v>
      </c>
    </row>
    <row r="124" s="44" customFormat="1" ht="0.75" customHeight="1" spans="1:32">
      <c r="A124" s="1017"/>
      <c r="D124" s="307"/>
      <c r="E124" s="675" t="str">
        <f>E123&amp;".0"</f>
        <v>16.0</v>
      </c>
      <c r="F124" s="1046"/>
      <c r="G124" s="1045"/>
      <c r="H124" s="970"/>
      <c r="I124" s="970"/>
      <c r="J124" s="1048"/>
      <c r="AF124" s="44">
        <v>0</v>
      </c>
    </row>
    <row r="125" ht="15" customHeight="1" spans="1:32">
      <c r="A125" s="1017"/>
      <c r="D125" s="217"/>
      <c r="E125" s="971"/>
      <c r="F125" s="227" t="s">
        <v>581</v>
      </c>
      <c r="G125" s="402"/>
      <c r="H125" s="921"/>
      <c r="I125" s="921"/>
      <c r="J125" s="827" t="s">
        <v>593</v>
      </c>
      <c r="K125" s="978"/>
      <c r="AF125" s="43">
        <v>0</v>
      </c>
    </row>
    <row r="126" ht="22.5" customHeight="1" spans="1:32">
      <c r="A126" s="1017"/>
      <c r="D126" s="522"/>
      <c r="E126" s="1012" t="str">
        <f>FHD_NUM_P_80</f>
        <v>17</v>
      </c>
      <c r="F126" s="3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64" t="s">
        <v>594</v>
      </c>
      <c r="H126" s="928"/>
      <c r="I126" s="928"/>
      <c r="J126" s="83" t="str">
        <f>FHD_NOTE_P_80</f>
        <v>Регулируемыми организациями указывается информация с по договорам, заключенным в рамках осуществления регулируемой деятельности.</v>
      </c>
      <c r="K126" s="978"/>
      <c r="AF126" s="43">
        <v>0</v>
      </c>
    </row>
    <row r="127" ht="18.75" customHeight="1" spans="1:32">
      <c r="A127" s="1017"/>
      <c r="D127" s="522"/>
      <c r="E127" s="1012" t="str">
        <f>FHD_NUM_P_81</f>
        <v>18</v>
      </c>
      <c r="F127" s="3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64" t="s">
        <v>595</v>
      </c>
      <c r="H127" s="928"/>
      <c r="I127" s="928"/>
      <c r="J127" s="83" t="str">
        <f>FHD_NOTE_P_81</f>
        <v>Регулируемыми организациями указывается информация с по договорам, заключенным в рамках осуществления регулируемой деятельности.</v>
      </c>
      <c r="K127" s="978"/>
      <c r="AF127" s="43">
        <v>0</v>
      </c>
    </row>
    <row r="128" ht="18.75" customHeight="1" spans="1:32">
      <c r="A128" s="1017"/>
      <c r="C128" s="44" t="s">
        <v>574</v>
      </c>
      <c r="D128" s="522"/>
      <c r="E128" s="1012" t="str">
        <f>FHD_NUM_P_82</f>
        <v>19</v>
      </c>
      <c r="F128" s="3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64" t="s">
        <v>302</v>
      </c>
      <c r="H128" s="628"/>
      <c r="I128" s="628"/>
      <c r="J128" s="83" t="str">
        <f>FHD_NOTE_P_82</f>
        <v>Указывается ссылка на документ, предварительно загруженный в хранилище файлов ФГИС ЕИАС.</v>
      </c>
      <c r="K128" s="978"/>
      <c r="AF128" s="43">
        <v>0</v>
      </c>
    </row>
    <row r="129" ht="18.75" customHeight="1" spans="1:32">
      <c r="A129" s="1017"/>
      <c r="C129" s="44" t="s">
        <v>574</v>
      </c>
      <c r="D129" s="522"/>
      <c r="E129" s="1012" t="str">
        <f>FHD_NUM_P_83</f>
        <v>19.1</v>
      </c>
      <c r="F129" s="669" t="str">
        <f>FHD_P_83</f>
        <v>Информация о показателях физического износа объектов теплоснабжения</v>
      </c>
      <c r="G129" s="64" t="s">
        <v>302</v>
      </c>
      <c r="H129" s="628"/>
      <c r="I129" s="628"/>
      <c r="J129" s="83" t="str">
        <f>FHD_NOTE_P_83</f>
        <v>Указывается ссылка на документ, предварительно загруженный в хранилище файлов ФГИС ЕИАС.</v>
      </c>
      <c r="K129" s="978"/>
      <c r="AF129" s="43">
        <v>0</v>
      </c>
    </row>
    <row r="130" ht="18.75" customHeight="1" spans="1:32">
      <c r="A130" s="1017"/>
      <c r="C130" s="44" t="s">
        <v>574</v>
      </c>
      <c r="D130" s="522"/>
      <c r="E130" s="1012" t="str">
        <f>FHD_NUM_P_84</f>
        <v>19.2</v>
      </c>
      <c r="F130" s="669" t="str">
        <f>FHD_P_84</f>
        <v>Информация о показателях энергетической эффективности объектов теплоснабжения</v>
      </c>
      <c r="G130" s="64" t="s">
        <v>302</v>
      </c>
      <c r="H130" s="628"/>
      <c r="I130" s="628"/>
      <c r="J130" s="83" t="str">
        <f>FHD_NOTE_P_84</f>
        <v>Указывается ссылка на документ, предварительно загруженный в хранилище файлов ФГИС ЕИАС.</v>
      </c>
      <c r="K130" s="978"/>
      <c r="AF130" s="43">
        <v>0</v>
      </c>
    </row>
    <row r="131" ht="11.55" customHeight="1" spans="4:32">
      <c r="D131" s="522"/>
      <c r="AF131" s="43">
        <v>11</v>
      </c>
    </row>
    <row r="132" ht="13.5" customHeight="1" spans="4:32">
      <c r="D132" s="522"/>
      <c r="E132" s="786"/>
      <c r="F132" s="789"/>
      <c r="G132" s="789"/>
      <c r="H132" s="789"/>
      <c r="I132" s="120"/>
      <c r="J132" s="42"/>
      <c r="AF132" s="43">
        <v>13</v>
      </c>
    </row>
    <row r="133" s="37" customFormat="1" ht="11.55" customHeight="1" spans="1:32">
      <c r="A133" s="957"/>
      <c r="B133" s="44"/>
      <c r="C133" s="44"/>
      <c r="F133" s="1049"/>
      <c r="G133" s="43"/>
      <c r="H133" s="43"/>
      <c r="I133" s="43"/>
      <c r="K133" s="38"/>
      <c r="L133" s="44"/>
      <c r="M133" s="44"/>
      <c r="N133" s="38"/>
      <c r="O133" s="38"/>
      <c r="P133" s="38"/>
      <c r="Q133" s="38"/>
      <c r="R133" s="44"/>
      <c r="S133" s="38"/>
      <c r="T133" s="38"/>
      <c r="U133" s="958"/>
      <c r="V133" s="38"/>
      <c r="W133" s="38"/>
      <c r="X133" s="38"/>
      <c r="Y133" s="38"/>
      <c r="Z133" s="38"/>
      <c r="AA133" s="575"/>
      <c r="AB133" s="976"/>
      <c r="AC133" s="976"/>
      <c r="AD133" s="976"/>
      <c r="AE133" s="976"/>
      <c r="AF133" s="37">
        <v>11</v>
      </c>
    </row>
    <row r="134" s="37" customFormat="1" ht="11.55" customHeight="1" spans="1:32">
      <c r="A134" s="957"/>
      <c r="B134" s="44"/>
      <c r="C134" s="44"/>
      <c r="K134" s="38"/>
      <c r="L134" s="44"/>
      <c r="M134" s="44"/>
      <c r="N134" s="38"/>
      <c r="O134" s="38"/>
      <c r="P134" s="38"/>
      <c r="Q134" s="38"/>
      <c r="R134" s="44"/>
      <c r="S134" s="38"/>
      <c r="T134" s="38"/>
      <c r="U134" s="958"/>
      <c r="V134" s="38"/>
      <c r="W134" s="38"/>
      <c r="X134" s="38"/>
      <c r="Y134" s="38"/>
      <c r="Z134" s="38"/>
      <c r="AA134" s="575"/>
      <c r="AB134" s="976"/>
      <c r="AC134" s="976"/>
      <c r="AD134" s="976"/>
      <c r="AE134" s="976"/>
      <c r="AF134" s="37">
        <v>11</v>
      </c>
    </row>
    <row r="135" s="37" customFormat="1" ht="11.55" customHeight="1" spans="1:32">
      <c r="A135" s="957"/>
      <c r="B135" s="44"/>
      <c r="C135" s="44"/>
      <c r="K135" s="38"/>
      <c r="L135" s="44"/>
      <c r="M135" s="44"/>
      <c r="N135" s="38"/>
      <c r="O135" s="38"/>
      <c r="P135" s="38"/>
      <c r="Q135" s="38"/>
      <c r="R135" s="44"/>
      <c r="S135" s="38"/>
      <c r="T135" s="38"/>
      <c r="U135" s="958"/>
      <c r="V135" s="38"/>
      <c r="W135" s="38"/>
      <c r="X135" s="38"/>
      <c r="Y135" s="38"/>
      <c r="Z135" s="38"/>
      <c r="AA135" s="575"/>
      <c r="AB135" s="976"/>
      <c r="AC135" s="976"/>
      <c r="AD135" s="976"/>
      <c r="AE135" s="976"/>
      <c r="AF135" s="37">
        <v>11</v>
      </c>
    </row>
    <row r="136" s="37" customFormat="1" ht="11.55" customHeight="1" spans="1:32">
      <c r="A136" s="957"/>
      <c r="B136" s="44"/>
      <c r="C136" s="44"/>
      <c r="H136" s="976" t="str">
        <f>IF(H30-H31&lt;&gt;H72,"WARNING","")</f>
        <v/>
      </c>
      <c r="I136" s="976" t="str">
        <f>IF(I30-I31&lt;&gt;I72,"WARNING","")</f>
        <v/>
      </c>
      <c r="K136" s="38"/>
      <c r="L136" s="44"/>
      <c r="M136" s="44"/>
      <c r="N136" s="38"/>
      <c r="O136" s="38"/>
      <c r="P136" s="38"/>
      <c r="Q136" s="38"/>
      <c r="R136" s="44"/>
      <c r="S136" s="38"/>
      <c r="T136" s="38"/>
      <c r="U136" s="958"/>
      <c r="V136" s="38"/>
      <c r="W136" s="38"/>
      <c r="X136" s="38"/>
      <c r="Y136" s="38"/>
      <c r="Z136" s="38"/>
      <c r="AA136" s="575"/>
      <c r="AB136" s="976"/>
      <c r="AC136" s="976"/>
      <c r="AD136" s="976"/>
      <c r="AE136" s="976"/>
      <c r="AF136" s="37">
        <v>11</v>
      </c>
    </row>
    <row r="137" s="37" customFormat="1" ht="11.55" customHeight="1" spans="1:32">
      <c r="A137" s="957"/>
      <c r="B137" s="44"/>
      <c r="C137" s="44"/>
      <c r="K137" s="38"/>
      <c r="L137" s="44"/>
      <c r="M137" s="44"/>
      <c r="N137" s="38"/>
      <c r="O137" s="38"/>
      <c r="P137" s="38"/>
      <c r="Q137" s="38"/>
      <c r="R137" s="44"/>
      <c r="S137" s="38"/>
      <c r="T137" s="38"/>
      <c r="U137" s="958"/>
      <c r="V137" s="38"/>
      <c r="W137" s="38"/>
      <c r="X137" s="38"/>
      <c r="Y137" s="38"/>
      <c r="Z137" s="38"/>
      <c r="AA137" s="575"/>
      <c r="AB137" s="976"/>
      <c r="AC137" s="976"/>
      <c r="AD137" s="976"/>
      <c r="AE137" s="976"/>
      <c r="AF137" s="37">
        <v>11</v>
      </c>
    </row>
    <row r="138" s="37" customFormat="1" ht="11.55" customHeight="1" spans="1:32">
      <c r="A138" s="957"/>
      <c r="B138" s="44"/>
      <c r="C138" s="44"/>
      <c r="K138" s="38"/>
      <c r="L138" s="44"/>
      <c r="M138" s="44"/>
      <c r="N138" s="38"/>
      <c r="O138" s="38"/>
      <c r="P138" s="38"/>
      <c r="Q138" s="38"/>
      <c r="R138" s="44"/>
      <c r="S138" s="38"/>
      <c r="T138" s="38"/>
      <c r="U138" s="958"/>
      <c r="V138" s="38"/>
      <c r="W138" s="38"/>
      <c r="X138" s="38"/>
      <c r="Y138" s="38"/>
      <c r="Z138" s="38"/>
      <c r="AA138" s="575"/>
      <c r="AB138" s="976"/>
      <c r="AC138" s="976"/>
      <c r="AD138" s="976"/>
      <c r="AE138" s="976"/>
      <c r="AF138" s="37">
        <v>11</v>
      </c>
    </row>
    <row r="139" s="37" customFormat="1" ht="11.55" customHeight="1" spans="1:32">
      <c r="A139" s="957"/>
      <c r="B139" s="44"/>
      <c r="C139" s="44"/>
      <c r="K139" s="38"/>
      <c r="L139" s="44"/>
      <c r="M139" s="44"/>
      <c r="N139" s="38"/>
      <c r="O139" s="38"/>
      <c r="P139" s="38"/>
      <c r="Q139" s="38"/>
      <c r="R139" s="44"/>
      <c r="S139" s="38"/>
      <c r="T139" s="38"/>
      <c r="U139" s="958"/>
      <c r="V139" s="38"/>
      <c r="W139" s="38"/>
      <c r="X139" s="38"/>
      <c r="Y139" s="38"/>
      <c r="Z139" s="38"/>
      <c r="AA139" s="575"/>
      <c r="AB139" s="976"/>
      <c r="AC139" s="976"/>
      <c r="AD139" s="976"/>
      <c r="AE139" s="976"/>
      <c r="AF139" s="37">
        <v>11</v>
      </c>
    </row>
    <row r="140" s="37" customFormat="1" ht="11.55" customHeight="1" spans="1:32">
      <c r="A140" s="957"/>
      <c r="B140" s="44"/>
      <c r="C140" s="44"/>
      <c r="K140" s="38"/>
      <c r="L140" s="44"/>
      <c r="M140" s="44"/>
      <c r="N140" s="38"/>
      <c r="O140" s="38"/>
      <c r="P140" s="38"/>
      <c r="Q140" s="38"/>
      <c r="R140" s="44"/>
      <c r="S140" s="38"/>
      <c r="T140" s="38"/>
      <c r="U140" s="958"/>
      <c r="V140" s="38"/>
      <c r="W140" s="38"/>
      <c r="X140" s="38"/>
      <c r="Y140" s="38"/>
      <c r="Z140" s="38"/>
      <c r="AA140" s="575"/>
      <c r="AB140" s="976"/>
      <c r="AC140" s="976"/>
      <c r="AD140" s="976"/>
      <c r="AE140" s="976"/>
      <c r="AF140" s="37">
        <v>11</v>
      </c>
    </row>
    <row r="141" s="37" customFormat="1" ht="11.55" customHeight="1" spans="1:32">
      <c r="A141" s="957"/>
      <c r="B141" s="44"/>
      <c r="C141" s="44"/>
      <c r="K141" s="38"/>
      <c r="L141" s="44"/>
      <c r="M141" s="44"/>
      <c r="N141" s="38"/>
      <c r="O141" s="38"/>
      <c r="P141" s="38"/>
      <c r="Q141" s="38"/>
      <c r="R141" s="44"/>
      <c r="S141" s="38"/>
      <c r="T141" s="38"/>
      <c r="U141" s="958"/>
      <c r="V141" s="38"/>
      <c r="W141" s="38"/>
      <c r="X141" s="38"/>
      <c r="Y141" s="38"/>
      <c r="Z141" s="38"/>
      <c r="AA141" s="575"/>
      <c r="AB141" s="976"/>
      <c r="AC141" s="976"/>
      <c r="AD141" s="976"/>
      <c r="AE141" s="976"/>
      <c r="AF141" s="37">
        <v>11</v>
      </c>
    </row>
    <row r="142" s="37" customFormat="1" ht="11.55" customHeight="1" spans="1:32">
      <c r="A142" s="957"/>
      <c r="B142" s="44"/>
      <c r="C142" s="44"/>
      <c r="K142" s="38"/>
      <c r="L142" s="44"/>
      <c r="M142" s="44"/>
      <c r="N142" s="38"/>
      <c r="O142" s="38"/>
      <c r="P142" s="38"/>
      <c r="Q142" s="38"/>
      <c r="R142" s="44"/>
      <c r="S142" s="38"/>
      <c r="T142" s="38"/>
      <c r="U142" s="958"/>
      <c r="V142" s="38"/>
      <c r="W142" s="38"/>
      <c r="X142" s="38"/>
      <c r="Y142" s="38"/>
      <c r="Z142" s="38"/>
      <c r="AA142" s="575"/>
      <c r="AB142" s="976"/>
      <c r="AC142" s="976"/>
      <c r="AD142" s="976"/>
      <c r="AE142" s="976"/>
      <c r="AF142" s="37">
        <v>11</v>
      </c>
    </row>
    <row r="143" s="37" customFormat="1" ht="11.55" customHeight="1" spans="1:32">
      <c r="A143" s="957"/>
      <c r="B143" s="44"/>
      <c r="C143" s="44"/>
      <c r="K143" s="38"/>
      <c r="L143" s="44"/>
      <c r="M143" s="44"/>
      <c r="N143" s="38"/>
      <c r="O143" s="38"/>
      <c r="P143" s="38"/>
      <c r="Q143" s="38"/>
      <c r="R143" s="44"/>
      <c r="S143" s="38"/>
      <c r="T143" s="38"/>
      <c r="U143" s="958"/>
      <c r="V143" s="38"/>
      <c r="W143" s="38"/>
      <c r="X143" s="38"/>
      <c r="Y143" s="38"/>
      <c r="Z143" s="38"/>
      <c r="AA143" s="575"/>
      <c r="AB143" s="976"/>
      <c r="AC143" s="976"/>
      <c r="AD143" s="976"/>
      <c r="AE143" s="976"/>
      <c r="AF143" s="37">
        <v>11</v>
      </c>
    </row>
    <row r="144" s="37" customFormat="1" ht="11.55" customHeight="1" spans="1:32">
      <c r="A144" s="957"/>
      <c r="B144" s="44"/>
      <c r="C144" s="44"/>
      <c r="K144" s="38"/>
      <c r="L144" s="44"/>
      <c r="M144" s="44"/>
      <c r="N144" s="38"/>
      <c r="O144" s="38"/>
      <c r="P144" s="38"/>
      <c r="Q144" s="38"/>
      <c r="R144" s="44"/>
      <c r="S144" s="38"/>
      <c r="T144" s="38"/>
      <c r="U144" s="958"/>
      <c r="V144" s="38"/>
      <c r="W144" s="38"/>
      <c r="X144" s="38"/>
      <c r="Y144" s="38"/>
      <c r="Z144" s="38"/>
      <c r="AA144" s="575"/>
      <c r="AB144" s="976"/>
      <c r="AC144" s="976"/>
      <c r="AD144" s="976"/>
      <c r="AE144" s="976"/>
      <c r="AF144" s="37">
        <v>11</v>
      </c>
    </row>
    <row r="145" s="37" customFormat="1" ht="11.55" customHeight="1" spans="1:32">
      <c r="A145" s="957"/>
      <c r="B145" s="44"/>
      <c r="C145" s="44"/>
      <c r="K145" s="38"/>
      <c r="L145" s="44"/>
      <c r="M145" s="44"/>
      <c r="N145" s="38"/>
      <c r="O145" s="38"/>
      <c r="P145" s="38"/>
      <c r="Q145" s="38"/>
      <c r="R145" s="44"/>
      <c r="S145" s="38"/>
      <c r="T145" s="38"/>
      <c r="U145" s="958"/>
      <c r="V145" s="38"/>
      <c r="W145" s="38"/>
      <c r="X145" s="38"/>
      <c r="Y145" s="38"/>
      <c r="Z145" s="38"/>
      <c r="AA145" s="575"/>
      <c r="AB145" s="976"/>
      <c r="AC145" s="976"/>
      <c r="AD145" s="976"/>
      <c r="AE145" s="976"/>
      <c r="AF145" s="37">
        <v>11</v>
      </c>
    </row>
    <row r="146" s="37" customFormat="1" ht="11.55" customHeight="1" spans="1:32">
      <c r="A146" s="957"/>
      <c r="B146" s="44"/>
      <c r="C146" s="44"/>
      <c r="K146" s="38"/>
      <c r="L146" s="44"/>
      <c r="M146" s="44"/>
      <c r="N146" s="38"/>
      <c r="O146" s="38"/>
      <c r="P146" s="38"/>
      <c r="Q146" s="38"/>
      <c r="R146" s="44"/>
      <c r="S146" s="38"/>
      <c r="T146" s="38"/>
      <c r="U146" s="958"/>
      <c r="V146" s="38"/>
      <c r="W146" s="38"/>
      <c r="X146" s="38"/>
      <c r="Y146" s="38"/>
      <c r="Z146" s="38"/>
      <c r="AA146" s="575"/>
      <c r="AB146" s="976"/>
      <c r="AC146" s="976"/>
      <c r="AD146" s="976"/>
      <c r="AE146" s="976"/>
      <c r="AF146" s="37">
        <v>11</v>
      </c>
    </row>
    <row r="147" s="37" customFormat="1" ht="11.55" customHeight="1" spans="1:32">
      <c r="A147" s="957"/>
      <c r="B147" s="44"/>
      <c r="C147" s="44"/>
      <c r="K147" s="38"/>
      <c r="L147" s="44"/>
      <c r="M147" s="44"/>
      <c r="N147" s="38"/>
      <c r="O147" s="38"/>
      <c r="P147" s="38"/>
      <c r="Q147" s="38"/>
      <c r="R147" s="44"/>
      <c r="S147" s="38"/>
      <c r="T147" s="38"/>
      <c r="U147" s="958"/>
      <c r="V147" s="38"/>
      <c r="W147" s="38"/>
      <c r="X147" s="38"/>
      <c r="Y147" s="38"/>
      <c r="Z147" s="38"/>
      <c r="AA147" s="575"/>
      <c r="AB147" s="976"/>
      <c r="AC147" s="976"/>
      <c r="AD147" s="976"/>
      <c r="AE147" s="976"/>
      <c r="AF147" s="37">
        <v>11</v>
      </c>
    </row>
    <row r="148" s="37" customFormat="1" ht="11.55" customHeight="1" spans="1:32">
      <c r="A148" s="957"/>
      <c r="B148" s="44"/>
      <c r="C148" s="44"/>
      <c r="K148" s="38"/>
      <c r="L148" s="44"/>
      <c r="M148" s="44"/>
      <c r="N148" s="38"/>
      <c r="O148" s="38"/>
      <c r="P148" s="38"/>
      <c r="Q148" s="38"/>
      <c r="R148" s="44"/>
      <c r="S148" s="38"/>
      <c r="T148" s="38"/>
      <c r="U148" s="958"/>
      <c r="V148" s="38"/>
      <c r="W148" s="38"/>
      <c r="X148" s="38"/>
      <c r="Y148" s="38"/>
      <c r="Z148" s="38"/>
      <c r="AA148" s="575"/>
      <c r="AB148" s="976"/>
      <c r="AC148" s="976"/>
      <c r="AD148" s="976"/>
      <c r="AE148" s="976"/>
      <c r="AF148" s="37">
        <v>11</v>
      </c>
    </row>
    <row r="149" s="37" customFormat="1" ht="11.55" customHeight="1" spans="1:32">
      <c r="A149" s="957"/>
      <c r="B149" s="44"/>
      <c r="C149" s="44"/>
      <c r="K149" s="38"/>
      <c r="L149" s="44"/>
      <c r="M149" s="44"/>
      <c r="N149" s="38"/>
      <c r="O149" s="38"/>
      <c r="P149" s="38"/>
      <c r="Q149" s="38"/>
      <c r="R149" s="44"/>
      <c r="S149" s="38"/>
      <c r="T149" s="38"/>
      <c r="U149" s="958"/>
      <c r="V149" s="38"/>
      <c r="W149" s="38"/>
      <c r="X149" s="38"/>
      <c r="Y149" s="38"/>
      <c r="Z149" s="38"/>
      <c r="AA149" s="575"/>
      <c r="AB149" s="976"/>
      <c r="AC149" s="976"/>
      <c r="AD149" s="976"/>
      <c r="AE149" s="976"/>
      <c r="AF149" s="37">
        <v>11</v>
      </c>
    </row>
    <row r="150" s="37" customFormat="1" ht="11.55" customHeight="1" spans="1:32">
      <c r="A150" s="957"/>
      <c r="B150" s="44"/>
      <c r="C150" s="44"/>
      <c r="K150" s="38"/>
      <c r="L150" s="44"/>
      <c r="M150" s="44"/>
      <c r="N150" s="38"/>
      <c r="O150" s="38"/>
      <c r="P150" s="38"/>
      <c r="Q150" s="38"/>
      <c r="R150" s="44"/>
      <c r="S150" s="38"/>
      <c r="T150" s="38"/>
      <c r="U150" s="958"/>
      <c r="V150" s="38"/>
      <c r="W150" s="38"/>
      <c r="X150" s="38"/>
      <c r="Y150" s="38"/>
      <c r="Z150" s="38"/>
      <c r="AA150" s="575"/>
      <c r="AB150" s="976"/>
      <c r="AC150" s="976"/>
      <c r="AD150" s="976"/>
      <c r="AE150" s="976"/>
      <c r="AF150" s="37">
        <v>11</v>
      </c>
    </row>
    <row r="151" s="37" customFormat="1" ht="11.55" customHeight="1" spans="1:32">
      <c r="A151" s="957"/>
      <c r="B151" s="44"/>
      <c r="C151" s="44"/>
      <c r="K151" s="38"/>
      <c r="L151" s="44"/>
      <c r="M151" s="44"/>
      <c r="N151" s="38"/>
      <c r="O151" s="38"/>
      <c r="P151" s="38"/>
      <c r="Q151" s="38"/>
      <c r="R151" s="44"/>
      <c r="S151" s="38"/>
      <c r="T151" s="38"/>
      <c r="U151" s="958"/>
      <c r="V151" s="38"/>
      <c r="W151" s="38"/>
      <c r="X151" s="38"/>
      <c r="Y151" s="38"/>
      <c r="Z151" s="38"/>
      <c r="AA151" s="575"/>
      <c r="AB151" s="976"/>
      <c r="AC151" s="976"/>
      <c r="AD151" s="976"/>
      <c r="AE151" s="976"/>
      <c r="AF151" s="37">
        <v>11</v>
      </c>
    </row>
    <row r="152" s="37" customFormat="1" ht="11.55" customHeight="1" spans="1:32">
      <c r="A152" s="957"/>
      <c r="B152" s="44"/>
      <c r="C152" s="44"/>
      <c r="K152" s="38"/>
      <c r="L152" s="44"/>
      <c r="M152" s="44"/>
      <c r="N152" s="38"/>
      <c r="O152" s="38"/>
      <c r="P152" s="38"/>
      <c r="Q152" s="38"/>
      <c r="R152" s="44"/>
      <c r="S152" s="38"/>
      <c r="T152" s="38"/>
      <c r="U152" s="958"/>
      <c r="V152" s="38"/>
      <c r="W152" s="38"/>
      <c r="X152" s="38"/>
      <c r="Y152" s="38"/>
      <c r="Z152" s="38"/>
      <c r="AA152" s="575"/>
      <c r="AB152" s="976"/>
      <c r="AC152" s="976"/>
      <c r="AD152" s="976"/>
      <c r="AE152" s="976"/>
      <c r="AF152" s="37">
        <v>11</v>
      </c>
    </row>
    <row r="153" s="37" customFormat="1" ht="11.55" customHeight="1" spans="1:32">
      <c r="A153" s="957"/>
      <c r="B153" s="44"/>
      <c r="C153" s="44"/>
      <c r="K153" s="38"/>
      <c r="L153" s="44"/>
      <c r="M153" s="44"/>
      <c r="N153" s="38"/>
      <c r="O153" s="38"/>
      <c r="P153" s="38"/>
      <c r="Q153" s="38"/>
      <c r="R153" s="44"/>
      <c r="S153" s="38"/>
      <c r="T153" s="38"/>
      <c r="U153" s="958"/>
      <c r="V153" s="38"/>
      <c r="W153" s="38"/>
      <c r="X153" s="38"/>
      <c r="Y153" s="38"/>
      <c r="Z153" s="38"/>
      <c r="AA153" s="575"/>
      <c r="AB153" s="976"/>
      <c r="AC153" s="976"/>
      <c r="AD153" s="976"/>
      <c r="AE153" s="976"/>
      <c r="AF153" s="37">
        <v>11</v>
      </c>
    </row>
    <row r="154" s="37" customFormat="1" ht="11.55" customHeight="1" spans="1:32">
      <c r="A154" s="957"/>
      <c r="B154" s="44"/>
      <c r="C154" s="44"/>
      <c r="K154" s="38"/>
      <c r="L154" s="44"/>
      <c r="M154" s="44"/>
      <c r="N154" s="38"/>
      <c r="O154" s="38"/>
      <c r="P154" s="38"/>
      <c r="Q154" s="38"/>
      <c r="R154" s="44"/>
      <c r="S154" s="38"/>
      <c r="T154" s="38"/>
      <c r="U154" s="958"/>
      <c r="V154" s="38"/>
      <c r="W154" s="38"/>
      <c r="X154" s="38"/>
      <c r="Y154" s="38"/>
      <c r="Z154" s="38"/>
      <c r="AA154" s="575"/>
      <c r="AB154" s="976"/>
      <c r="AC154" s="976"/>
      <c r="AD154" s="976"/>
      <c r="AE154" s="976"/>
      <c r="AF154" s="37">
        <v>11</v>
      </c>
    </row>
    <row r="155" s="37" customFormat="1" ht="11.55" customHeight="1" spans="1:32">
      <c r="A155" s="957"/>
      <c r="B155" s="44"/>
      <c r="C155" s="44"/>
      <c r="K155" s="38"/>
      <c r="L155" s="44"/>
      <c r="M155" s="44"/>
      <c r="N155" s="38"/>
      <c r="O155" s="38"/>
      <c r="P155" s="38"/>
      <c r="Q155" s="38"/>
      <c r="R155" s="44"/>
      <c r="S155" s="38"/>
      <c r="T155" s="38"/>
      <c r="U155" s="958"/>
      <c r="V155" s="38"/>
      <c r="W155" s="38"/>
      <c r="X155" s="38"/>
      <c r="Y155" s="38"/>
      <c r="Z155" s="38"/>
      <c r="AA155" s="575"/>
      <c r="AB155" s="976"/>
      <c r="AC155" s="976"/>
      <c r="AD155" s="976"/>
      <c r="AE155" s="976"/>
      <c r="AF155" s="37">
        <v>11</v>
      </c>
    </row>
    <row r="156" s="37" customFormat="1" ht="11.55" customHeight="1" spans="1:32">
      <c r="A156" s="957"/>
      <c r="B156" s="44"/>
      <c r="C156" s="44"/>
      <c r="K156" s="38"/>
      <c r="L156" s="44"/>
      <c r="M156" s="44"/>
      <c r="N156" s="38"/>
      <c r="O156" s="38"/>
      <c r="P156" s="38"/>
      <c r="Q156" s="38"/>
      <c r="R156" s="44"/>
      <c r="S156" s="38"/>
      <c r="T156" s="38"/>
      <c r="U156" s="958"/>
      <c r="V156" s="38"/>
      <c r="W156" s="38"/>
      <c r="X156" s="38"/>
      <c r="Y156" s="38"/>
      <c r="Z156" s="38"/>
      <c r="AA156" s="575"/>
      <c r="AB156" s="976"/>
      <c r="AC156" s="976"/>
      <c r="AD156" s="976"/>
      <c r="AE156" s="976"/>
      <c r="AF156" s="37">
        <v>11</v>
      </c>
    </row>
    <row r="157" s="37" customFormat="1" ht="11.55" customHeight="1" spans="1:32">
      <c r="A157" s="957"/>
      <c r="B157" s="44"/>
      <c r="C157" s="44"/>
      <c r="K157" s="38"/>
      <c r="L157" s="44"/>
      <c r="M157" s="44"/>
      <c r="N157" s="38"/>
      <c r="O157" s="38"/>
      <c r="P157" s="38"/>
      <c r="Q157" s="38"/>
      <c r="R157" s="44"/>
      <c r="S157" s="38"/>
      <c r="T157" s="38"/>
      <c r="U157" s="958"/>
      <c r="V157" s="38"/>
      <c r="W157" s="38"/>
      <c r="X157" s="38"/>
      <c r="Y157" s="38"/>
      <c r="Z157" s="38"/>
      <c r="AA157" s="575"/>
      <c r="AB157" s="976"/>
      <c r="AC157" s="976"/>
      <c r="AD157" s="976"/>
      <c r="AE157" s="976"/>
      <c r="AF157" s="37">
        <v>11</v>
      </c>
    </row>
    <row r="158" s="37" customFormat="1" ht="11.55" customHeight="1" spans="1:32">
      <c r="A158" s="957"/>
      <c r="B158" s="44"/>
      <c r="C158" s="44"/>
      <c r="K158" s="38"/>
      <c r="L158" s="44"/>
      <c r="M158" s="44"/>
      <c r="N158" s="38"/>
      <c r="O158" s="38"/>
      <c r="P158" s="38"/>
      <c r="Q158" s="38"/>
      <c r="R158" s="44"/>
      <c r="S158" s="38"/>
      <c r="T158" s="38"/>
      <c r="U158" s="958"/>
      <c r="V158" s="38"/>
      <c r="W158" s="38"/>
      <c r="X158" s="38"/>
      <c r="Y158" s="38"/>
      <c r="Z158" s="38"/>
      <c r="AA158" s="575"/>
      <c r="AB158" s="976"/>
      <c r="AC158" s="976"/>
      <c r="AD158" s="976"/>
      <c r="AE158" s="976"/>
      <c r="AF158" s="37">
        <v>11</v>
      </c>
    </row>
    <row r="159" s="37" customFormat="1" ht="11.55" customHeight="1" spans="1:32">
      <c r="A159" s="957"/>
      <c r="B159" s="44"/>
      <c r="C159" s="44"/>
      <c r="K159" s="38"/>
      <c r="L159" s="44"/>
      <c r="M159" s="44"/>
      <c r="N159" s="38"/>
      <c r="O159" s="38"/>
      <c r="P159" s="38"/>
      <c r="Q159" s="38"/>
      <c r="R159" s="44"/>
      <c r="S159" s="38"/>
      <c r="T159" s="38"/>
      <c r="U159" s="958"/>
      <c r="V159" s="38"/>
      <c r="W159" s="38"/>
      <c r="X159" s="38"/>
      <c r="Y159" s="38"/>
      <c r="Z159" s="38"/>
      <c r="AA159" s="575"/>
      <c r="AB159" s="976"/>
      <c r="AC159" s="976"/>
      <c r="AD159" s="976"/>
      <c r="AE159" s="976"/>
      <c r="AF159" s="37">
        <v>11</v>
      </c>
    </row>
    <row r="160" s="37" customFormat="1" ht="11.55" customHeight="1" spans="1:32">
      <c r="A160" s="957"/>
      <c r="B160" s="44"/>
      <c r="C160" s="44"/>
      <c r="K160" s="38"/>
      <c r="L160" s="44"/>
      <c r="M160" s="44"/>
      <c r="N160" s="38"/>
      <c r="O160" s="38"/>
      <c r="P160" s="38"/>
      <c r="Q160" s="38"/>
      <c r="R160" s="44"/>
      <c r="S160" s="38"/>
      <c r="T160" s="38"/>
      <c r="U160" s="958"/>
      <c r="V160" s="38"/>
      <c r="W160" s="38"/>
      <c r="X160" s="38"/>
      <c r="Y160" s="38"/>
      <c r="Z160" s="38"/>
      <c r="AA160" s="575"/>
      <c r="AB160" s="976"/>
      <c r="AC160" s="976"/>
      <c r="AD160" s="976"/>
      <c r="AE160" s="976"/>
      <c r="AF160" s="37">
        <v>11</v>
      </c>
    </row>
    <row r="161" s="37" customFormat="1" ht="11.55" customHeight="1" spans="1:32">
      <c r="A161" s="957"/>
      <c r="B161" s="44"/>
      <c r="C161" s="44"/>
      <c r="K161" s="38"/>
      <c r="L161" s="44"/>
      <c r="M161" s="44"/>
      <c r="N161" s="38"/>
      <c r="O161" s="38"/>
      <c r="P161" s="38"/>
      <c r="Q161" s="38"/>
      <c r="R161" s="44"/>
      <c r="S161" s="38"/>
      <c r="T161" s="38"/>
      <c r="U161" s="958"/>
      <c r="V161" s="38"/>
      <c r="W161" s="38"/>
      <c r="X161" s="38"/>
      <c r="Y161" s="38"/>
      <c r="Z161" s="38"/>
      <c r="AA161" s="575"/>
      <c r="AB161" s="976"/>
      <c r="AC161" s="976"/>
      <c r="AD161" s="976"/>
      <c r="AE161" s="976"/>
      <c r="AF161" s="37">
        <v>11</v>
      </c>
    </row>
    <row r="162" s="37" customFormat="1" ht="11.55" customHeight="1" spans="1:32">
      <c r="A162" s="957"/>
      <c r="B162" s="44"/>
      <c r="C162" s="44"/>
      <c r="K162" s="38"/>
      <c r="L162" s="44"/>
      <c r="M162" s="44"/>
      <c r="N162" s="38"/>
      <c r="O162" s="38"/>
      <c r="P162" s="38"/>
      <c r="Q162" s="38"/>
      <c r="R162" s="44"/>
      <c r="S162" s="38"/>
      <c r="T162" s="38"/>
      <c r="U162" s="958"/>
      <c r="V162" s="38"/>
      <c r="W162" s="38"/>
      <c r="X162" s="38"/>
      <c r="Y162" s="38"/>
      <c r="Z162" s="38"/>
      <c r="AA162" s="575"/>
      <c r="AB162" s="976"/>
      <c r="AC162" s="976"/>
      <c r="AD162" s="976"/>
      <c r="AE162" s="976"/>
      <c r="AF162" s="37">
        <v>11</v>
      </c>
    </row>
    <row r="163" s="37" customFormat="1" ht="11.55" customHeight="1" spans="1:32">
      <c r="A163" s="957"/>
      <c r="B163" s="44"/>
      <c r="C163" s="44"/>
      <c r="K163" s="38"/>
      <c r="L163" s="44"/>
      <c r="M163" s="44"/>
      <c r="N163" s="38"/>
      <c r="O163" s="38"/>
      <c r="P163" s="38"/>
      <c r="Q163" s="38"/>
      <c r="R163" s="44"/>
      <c r="S163" s="38"/>
      <c r="T163" s="38"/>
      <c r="U163" s="958"/>
      <c r="V163" s="38"/>
      <c r="W163" s="38"/>
      <c r="X163" s="38"/>
      <c r="Y163" s="38"/>
      <c r="Z163" s="38"/>
      <c r="AA163" s="575"/>
      <c r="AB163" s="976"/>
      <c r="AC163" s="976"/>
      <c r="AD163" s="976"/>
      <c r="AE163" s="976"/>
      <c r="AF163" s="37">
        <v>11</v>
      </c>
    </row>
    <row r="164" s="37" customFormat="1" ht="11.55" customHeight="1" spans="1:32">
      <c r="A164" s="957"/>
      <c r="B164" s="44"/>
      <c r="C164" s="44"/>
      <c r="K164" s="38"/>
      <c r="L164" s="44"/>
      <c r="M164" s="44"/>
      <c r="N164" s="38"/>
      <c r="O164" s="38"/>
      <c r="P164" s="38"/>
      <c r="Q164" s="38"/>
      <c r="R164" s="44"/>
      <c r="S164" s="38"/>
      <c r="T164" s="38"/>
      <c r="U164" s="958"/>
      <c r="V164" s="38"/>
      <c r="W164" s="38"/>
      <c r="X164" s="38"/>
      <c r="Y164" s="38"/>
      <c r="Z164" s="38"/>
      <c r="AA164" s="575"/>
      <c r="AB164" s="976"/>
      <c r="AC164" s="976"/>
      <c r="AD164" s="976"/>
      <c r="AE164" s="976"/>
      <c r="AF164" s="37">
        <v>11</v>
      </c>
    </row>
    <row r="165" s="37" customFormat="1" ht="11.55" customHeight="1" spans="1:32">
      <c r="A165" s="957"/>
      <c r="B165" s="44"/>
      <c r="C165" s="44"/>
      <c r="K165" s="38"/>
      <c r="L165" s="44"/>
      <c r="M165" s="44"/>
      <c r="N165" s="38"/>
      <c r="O165" s="38"/>
      <c r="P165" s="38"/>
      <c r="Q165" s="38"/>
      <c r="R165" s="44"/>
      <c r="S165" s="38"/>
      <c r="T165" s="38"/>
      <c r="U165" s="958"/>
      <c r="V165" s="38"/>
      <c r="W165" s="38"/>
      <c r="X165" s="38"/>
      <c r="Y165" s="38"/>
      <c r="Z165" s="38"/>
      <c r="AA165" s="575"/>
      <c r="AB165" s="976"/>
      <c r="AC165" s="976"/>
      <c r="AD165" s="976"/>
      <c r="AE165" s="976"/>
      <c r="AF165" s="37">
        <v>11</v>
      </c>
    </row>
    <row r="166" s="37" customFormat="1" ht="11.55" customHeight="1" spans="1:32">
      <c r="A166" s="957"/>
      <c r="B166" s="44"/>
      <c r="C166" s="44"/>
      <c r="K166" s="38"/>
      <c r="L166" s="44"/>
      <c r="M166" s="44"/>
      <c r="N166" s="38"/>
      <c r="O166" s="38"/>
      <c r="P166" s="38"/>
      <c r="Q166" s="38"/>
      <c r="R166" s="44"/>
      <c r="S166" s="38"/>
      <c r="T166" s="38"/>
      <c r="U166" s="958"/>
      <c r="V166" s="38"/>
      <c r="W166" s="38"/>
      <c r="X166" s="38"/>
      <c r="Y166" s="38"/>
      <c r="Z166" s="38"/>
      <c r="AA166" s="575"/>
      <c r="AB166" s="976"/>
      <c r="AC166" s="976"/>
      <c r="AD166" s="976"/>
      <c r="AE166" s="976"/>
      <c r="AF166" s="37">
        <v>11</v>
      </c>
    </row>
    <row r="167" s="37" customFormat="1" ht="11.55" customHeight="1" spans="1:32">
      <c r="A167" s="957"/>
      <c r="B167" s="44"/>
      <c r="C167" s="44"/>
      <c r="K167" s="38"/>
      <c r="L167" s="44"/>
      <c r="M167" s="44"/>
      <c r="N167" s="38"/>
      <c r="O167" s="38"/>
      <c r="P167" s="38"/>
      <c r="Q167" s="38"/>
      <c r="R167" s="44"/>
      <c r="S167" s="38"/>
      <c r="T167" s="38"/>
      <c r="U167" s="958"/>
      <c r="V167" s="38"/>
      <c r="W167" s="38"/>
      <c r="X167" s="38"/>
      <c r="Y167" s="38"/>
      <c r="Z167" s="38"/>
      <c r="AA167" s="575"/>
      <c r="AB167" s="976"/>
      <c r="AC167" s="976"/>
      <c r="AD167" s="976"/>
      <c r="AE167" s="976"/>
      <c r="AF167" s="37">
        <v>11</v>
      </c>
    </row>
    <row r="168" s="37" customFormat="1" ht="11.55" customHeight="1" spans="1:32">
      <c r="A168" s="957"/>
      <c r="B168" s="44"/>
      <c r="C168" s="44"/>
      <c r="K168" s="38"/>
      <c r="L168" s="44"/>
      <c r="M168" s="44"/>
      <c r="N168" s="38"/>
      <c r="O168" s="38"/>
      <c r="P168" s="38"/>
      <c r="Q168" s="38"/>
      <c r="R168" s="44"/>
      <c r="S168" s="38"/>
      <c r="T168" s="38"/>
      <c r="U168" s="958"/>
      <c r="V168" s="38"/>
      <c r="W168" s="38"/>
      <c r="X168" s="38"/>
      <c r="Y168" s="38"/>
      <c r="Z168" s="38"/>
      <c r="AA168" s="575"/>
      <c r="AB168" s="976"/>
      <c r="AC168" s="976"/>
      <c r="AD168" s="976"/>
      <c r="AE168" s="976"/>
      <c r="AF168" s="37">
        <v>11</v>
      </c>
    </row>
    <row r="169" s="37" customFormat="1" ht="11.55" customHeight="1" spans="1:32">
      <c r="A169" s="957"/>
      <c r="B169" s="44"/>
      <c r="C169" s="44"/>
      <c r="K169" s="38"/>
      <c r="L169" s="44"/>
      <c r="M169" s="44"/>
      <c r="N169" s="38"/>
      <c r="O169" s="38"/>
      <c r="P169" s="38"/>
      <c r="Q169" s="38"/>
      <c r="R169" s="44"/>
      <c r="S169" s="38"/>
      <c r="T169" s="38"/>
      <c r="U169" s="958"/>
      <c r="V169" s="38"/>
      <c r="W169" s="38"/>
      <c r="X169" s="38"/>
      <c r="Y169" s="38"/>
      <c r="Z169" s="38"/>
      <c r="AA169" s="575"/>
      <c r="AB169" s="976"/>
      <c r="AC169" s="976"/>
      <c r="AD169" s="976"/>
      <c r="AE169" s="976"/>
      <c r="AF169" s="37">
        <v>11</v>
      </c>
    </row>
    <row r="170" s="37" customFormat="1" ht="11.55" customHeight="1" spans="1:32">
      <c r="A170" s="957"/>
      <c r="B170" s="44"/>
      <c r="C170" s="44"/>
      <c r="K170" s="38"/>
      <c r="L170" s="44"/>
      <c r="M170" s="44"/>
      <c r="N170" s="38"/>
      <c r="O170" s="38"/>
      <c r="P170" s="38"/>
      <c r="Q170" s="38"/>
      <c r="R170" s="44"/>
      <c r="S170" s="38"/>
      <c r="T170" s="38"/>
      <c r="U170" s="958"/>
      <c r="V170" s="38"/>
      <c r="W170" s="38"/>
      <c r="X170" s="38"/>
      <c r="Y170" s="38"/>
      <c r="Z170" s="38"/>
      <c r="AA170" s="575"/>
      <c r="AB170" s="976"/>
      <c r="AC170" s="976"/>
      <c r="AD170" s="976"/>
      <c r="AE170" s="976"/>
      <c r="AF170" s="37">
        <v>11</v>
      </c>
    </row>
    <row r="171" s="37" customFormat="1" ht="11.55" customHeight="1" spans="1:32">
      <c r="A171" s="957"/>
      <c r="B171" s="44"/>
      <c r="C171" s="44"/>
      <c r="K171" s="38"/>
      <c r="L171" s="44"/>
      <c r="M171" s="44"/>
      <c r="N171" s="38"/>
      <c r="O171" s="38"/>
      <c r="P171" s="38"/>
      <c r="Q171" s="38"/>
      <c r="R171" s="44"/>
      <c r="S171" s="38"/>
      <c r="T171" s="38"/>
      <c r="U171" s="958"/>
      <c r="V171" s="38"/>
      <c r="W171" s="38"/>
      <c r="X171" s="38"/>
      <c r="Y171" s="38"/>
      <c r="Z171" s="38"/>
      <c r="AA171" s="575"/>
      <c r="AB171" s="976"/>
      <c r="AC171" s="976"/>
      <c r="AD171" s="976"/>
      <c r="AE171" s="976"/>
      <c r="AF171" s="37">
        <v>11</v>
      </c>
    </row>
    <row r="172" s="37" customFormat="1" ht="11.55" customHeight="1" spans="1:32">
      <c r="A172" s="957"/>
      <c r="B172" s="44"/>
      <c r="C172" s="44"/>
      <c r="K172" s="38"/>
      <c r="L172" s="44"/>
      <c r="M172" s="44"/>
      <c r="N172" s="38"/>
      <c r="O172" s="38"/>
      <c r="P172" s="38"/>
      <c r="Q172" s="38"/>
      <c r="R172" s="44"/>
      <c r="S172" s="38"/>
      <c r="T172" s="38"/>
      <c r="U172" s="958"/>
      <c r="V172" s="38"/>
      <c r="W172" s="38"/>
      <c r="X172" s="38"/>
      <c r="Y172" s="38"/>
      <c r="Z172" s="38"/>
      <c r="AA172" s="575"/>
      <c r="AB172" s="976"/>
      <c r="AC172" s="976"/>
      <c r="AD172" s="976"/>
      <c r="AE172" s="976"/>
      <c r="AF172" s="37">
        <v>11</v>
      </c>
    </row>
    <row r="173" s="37" customFormat="1" ht="11.55" customHeight="1" spans="1:32">
      <c r="A173" s="957"/>
      <c r="B173" s="44"/>
      <c r="C173" s="44"/>
      <c r="K173" s="38"/>
      <c r="L173" s="44"/>
      <c r="M173" s="44"/>
      <c r="N173" s="38"/>
      <c r="O173" s="38"/>
      <c r="P173" s="38"/>
      <c r="Q173" s="38"/>
      <c r="R173" s="44"/>
      <c r="S173" s="38"/>
      <c r="T173" s="38"/>
      <c r="U173" s="958"/>
      <c r="V173" s="38"/>
      <c r="W173" s="38"/>
      <c r="X173" s="38"/>
      <c r="Y173" s="38"/>
      <c r="Z173" s="38"/>
      <c r="AA173" s="575"/>
      <c r="AB173" s="976"/>
      <c r="AC173" s="976"/>
      <c r="AD173" s="976"/>
      <c r="AE173" s="976"/>
      <c r="AF173" s="37">
        <v>11</v>
      </c>
    </row>
    <row r="174" s="37" customFormat="1" ht="11.55" customHeight="1" spans="1:32">
      <c r="A174" s="957"/>
      <c r="B174" s="44"/>
      <c r="C174" s="44"/>
      <c r="K174" s="38"/>
      <c r="L174" s="44"/>
      <c r="M174" s="44"/>
      <c r="N174" s="38"/>
      <c r="O174" s="38"/>
      <c r="P174" s="38"/>
      <c r="Q174" s="38"/>
      <c r="R174" s="44"/>
      <c r="S174" s="38"/>
      <c r="T174" s="38"/>
      <c r="U174" s="958"/>
      <c r="V174" s="38"/>
      <c r="W174" s="38"/>
      <c r="X174" s="38"/>
      <c r="Y174" s="38"/>
      <c r="Z174" s="38"/>
      <c r="AA174" s="575"/>
      <c r="AB174" s="976"/>
      <c r="AC174" s="976"/>
      <c r="AD174" s="976"/>
      <c r="AE174" s="976"/>
      <c r="AF174" s="37">
        <v>11</v>
      </c>
    </row>
    <row r="175" s="37" customFormat="1" ht="11.55" customHeight="1" spans="1:32">
      <c r="A175" s="957"/>
      <c r="B175" s="44"/>
      <c r="C175" s="44"/>
      <c r="K175" s="38"/>
      <c r="L175" s="44"/>
      <c r="M175" s="44"/>
      <c r="N175" s="38"/>
      <c r="O175" s="38"/>
      <c r="P175" s="38"/>
      <c r="Q175" s="38"/>
      <c r="R175" s="44"/>
      <c r="S175" s="38"/>
      <c r="T175" s="38"/>
      <c r="U175" s="958"/>
      <c r="V175" s="38"/>
      <c r="W175" s="38"/>
      <c r="X175" s="38"/>
      <c r="Y175" s="38"/>
      <c r="Z175" s="38"/>
      <c r="AA175" s="575"/>
      <c r="AB175" s="976"/>
      <c r="AC175" s="976"/>
      <c r="AD175" s="976"/>
      <c r="AE175" s="976"/>
      <c r="AF175" s="37">
        <v>11</v>
      </c>
    </row>
    <row r="176" s="37" customFormat="1" ht="11.55" customHeight="1" spans="1:32">
      <c r="A176" s="957"/>
      <c r="B176" s="44"/>
      <c r="C176" s="44"/>
      <c r="K176" s="38"/>
      <c r="L176" s="44"/>
      <c r="M176" s="44"/>
      <c r="N176" s="38"/>
      <c r="O176" s="38"/>
      <c r="P176" s="38"/>
      <c r="Q176" s="38"/>
      <c r="R176" s="44"/>
      <c r="S176" s="38"/>
      <c r="T176" s="38"/>
      <c r="U176" s="958"/>
      <c r="V176" s="38"/>
      <c r="W176" s="38"/>
      <c r="X176" s="38"/>
      <c r="Y176" s="38"/>
      <c r="Z176" s="38"/>
      <c r="AA176" s="575"/>
      <c r="AB176" s="976"/>
      <c r="AC176" s="976"/>
      <c r="AD176" s="976"/>
      <c r="AE176" s="976"/>
      <c r="AF176" s="37">
        <v>11</v>
      </c>
    </row>
    <row r="177" s="37" customFormat="1" ht="11.55" customHeight="1" spans="1:32">
      <c r="A177" s="957"/>
      <c r="B177" s="44"/>
      <c r="C177" s="44"/>
      <c r="K177" s="38"/>
      <c r="L177" s="44"/>
      <c r="M177" s="44"/>
      <c r="N177" s="38"/>
      <c r="O177" s="38"/>
      <c r="P177" s="38"/>
      <c r="Q177" s="38"/>
      <c r="R177" s="44"/>
      <c r="S177" s="38"/>
      <c r="T177" s="38"/>
      <c r="U177" s="958"/>
      <c r="V177" s="38"/>
      <c r="W177" s="38"/>
      <c r="X177" s="38"/>
      <c r="Y177" s="38"/>
      <c r="Z177" s="38"/>
      <c r="AA177" s="575"/>
      <c r="AB177" s="976"/>
      <c r="AC177" s="976"/>
      <c r="AD177" s="976"/>
      <c r="AE177" s="976"/>
      <c r="AF177" s="37">
        <v>11</v>
      </c>
    </row>
    <row r="178" s="37" customFormat="1" ht="11.55" customHeight="1" spans="1:32">
      <c r="A178" s="957"/>
      <c r="B178" s="44"/>
      <c r="C178" s="44"/>
      <c r="K178" s="38"/>
      <c r="L178" s="44"/>
      <c r="M178" s="44"/>
      <c r="N178" s="38"/>
      <c r="O178" s="38"/>
      <c r="P178" s="38"/>
      <c r="Q178" s="38"/>
      <c r="R178" s="44"/>
      <c r="S178" s="38"/>
      <c r="T178" s="38"/>
      <c r="U178" s="958"/>
      <c r="V178" s="38"/>
      <c r="W178" s="38"/>
      <c r="X178" s="38"/>
      <c r="Y178" s="38"/>
      <c r="Z178" s="38"/>
      <c r="AA178" s="575"/>
      <c r="AB178" s="976"/>
      <c r="AC178" s="976"/>
      <c r="AD178" s="976"/>
      <c r="AE178" s="976"/>
      <c r="AF178" s="37">
        <v>11</v>
      </c>
    </row>
    <row r="179" s="37" customFormat="1" ht="11.55" customHeight="1" spans="1:32">
      <c r="A179" s="957"/>
      <c r="B179" s="44"/>
      <c r="C179" s="44"/>
      <c r="K179" s="38"/>
      <c r="L179" s="44"/>
      <c r="M179" s="44"/>
      <c r="N179" s="38"/>
      <c r="O179" s="38"/>
      <c r="P179" s="38"/>
      <c r="Q179" s="38"/>
      <c r="R179" s="44"/>
      <c r="S179" s="38"/>
      <c r="T179" s="38"/>
      <c r="U179" s="958"/>
      <c r="V179" s="38"/>
      <c r="W179" s="38"/>
      <c r="X179" s="38"/>
      <c r="Y179" s="38"/>
      <c r="Z179" s="38"/>
      <c r="AA179" s="575"/>
      <c r="AB179" s="976"/>
      <c r="AC179" s="976"/>
      <c r="AD179" s="976"/>
      <c r="AE179" s="976"/>
      <c r="AF179" s="37">
        <v>11</v>
      </c>
    </row>
    <row r="180" s="37" customFormat="1" ht="11.55" customHeight="1" spans="1:32">
      <c r="A180" s="957"/>
      <c r="B180" s="44"/>
      <c r="C180" s="44"/>
      <c r="K180" s="38"/>
      <c r="L180" s="44"/>
      <c r="M180" s="44"/>
      <c r="N180" s="38"/>
      <c r="O180" s="38"/>
      <c r="P180" s="38"/>
      <c r="Q180" s="38"/>
      <c r="R180" s="44"/>
      <c r="S180" s="38"/>
      <c r="T180" s="38"/>
      <c r="U180" s="958"/>
      <c r="V180" s="38"/>
      <c r="W180" s="38"/>
      <c r="X180" s="38"/>
      <c r="Y180" s="38"/>
      <c r="Z180" s="38"/>
      <c r="AA180" s="575"/>
      <c r="AB180" s="976"/>
      <c r="AC180" s="976"/>
      <c r="AD180" s="976"/>
      <c r="AE180" s="976"/>
      <c r="AF180" s="37">
        <v>11</v>
      </c>
    </row>
    <row r="181" s="37" customFormat="1" ht="11.55" customHeight="1" spans="1:32">
      <c r="A181" s="957"/>
      <c r="B181" s="44"/>
      <c r="C181" s="44"/>
      <c r="K181" s="38"/>
      <c r="L181" s="44"/>
      <c r="M181" s="44"/>
      <c r="N181" s="38"/>
      <c r="O181" s="38"/>
      <c r="P181" s="38"/>
      <c r="Q181" s="38"/>
      <c r="R181" s="44"/>
      <c r="S181" s="38"/>
      <c r="T181" s="38"/>
      <c r="U181" s="958"/>
      <c r="V181" s="38"/>
      <c r="W181" s="38"/>
      <c r="X181" s="38"/>
      <c r="Y181" s="38"/>
      <c r="Z181" s="38"/>
      <c r="AA181" s="575"/>
      <c r="AB181" s="976"/>
      <c r="AC181" s="976"/>
      <c r="AD181" s="976"/>
      <c r="AE181" s="976"/>
      <c r="AF181" s="37">
        <v>11</v>
      </c>
    </row>
    <row r="182" s="37" customFormat="1" ht="11.55" customHeight="1" spans="1:32">
      <c r="A182" s="957"/>
      <c r="B182" s="44"/>
      <c r="C182" s="44"/>
      <c r="K182" s="38"/>
      <c r="L182" s="44"/>
      <c r="M182" s="44"/>
      <c r="N182" s="38"/>
      <c r="O182" s="38"/>
      <c r="P182" s="38"/>
      <c r="Q182" s="38"/>
      <c r="R182" s="44"/>
      <c r="S182" s="38"/>
      <c r="T182" s="38"/>
      <c r="U182" s="958"/>
      <c r="V182" s="38"/>
      <c r="W182" s="38"/>
      <c r="X182" s="38"/>
      <c r="Y182" s="38"/>
      <c r="Z182" s="38"/>
      <c r="AA182" s="575"/>
      <c r="AB182" s="976"/>
      <c r="AC182" s="976"/>
      <c r="AD182" s="976"/>
      <c r="AE182" s="976"/>
      <c r="AF182" s="37">
        <v>11</v>
      </c>
    </row>
    <row r="183" s="37" customFormat="1" ht="11.55" customHeight="1" spans="1:32">
      <c r="A183" s="957"/>
      <c r="B183" s="44"/>
      <c r="C183" s="44"/>
      <c r="K183" s="38"/>
      <c r="L183" s="44"/>
      <c r="M183" s="44"/>
      <c r="N183" s="38"/>
      <c r="O183" s="38"/>
      <c r="P183" s="38"/>
      <c r="Q183" s="38"/>
      <c r="R183" s="44"/>
      <c r="S183" s="38"/>
      <c r="T183" s="38"/>
      <c r="U183" s="958"/>
      <c r="V183" s="38"/>
      <c r="W183" s="38"/>
      <c r="X183" s="38"/>
      <c r="Y183" s="38"/>
      <c r="Z183" s="38"/>
      <c r="AA183" s="575"/>
      <c r="AB183" s="976"/>
      <c r="AC183" s="976"/>
      <c r="AD183" s="976"/>
      <c r="AE183" s="976"/>
      <c r="AF183" s="37">
        <v>11</v>
      </c>
    </row>
    <row r="184" s="37" customFormat="1" ht="11.55" customHeight="1" spans="1:32">
      <c r="A184" s="957"/>
      <c r="B184" s="44"/>
      <c r="C184" s="44"/>
      <c r="K184" s="38"/>
      <c r="L184" s="44"/>
      <c r="M184" s="44"/>
      <c r="N184" s="38"/>
      <c r="O184" s="38"/>
      <c r="P184" s="38"/>
      <c r="Q184" s="38"/>
      <c r="R184" s="44"/>
      <c r="S184" s="38"/>
      <c r="T184" s="38"/>
      <c r="U184" s="958"/>
      <c r="V184" s="38"/>
      <c r="W184" s="38"/>
      <c r="X184" s="38"/>
      <c r="Y184" s="38"/>
      <c r="Z184" s="38"/>
      <c r="AA184" s="575"/>
      <c r="AB184" s="976"/>
      <c r="AC184" s="976"/>
      <c r="AD184" s="976"/>
      <c r="AE184" s="976"/>
      <c r="AF184" s="37">
        <v>11</v>
      </c>
    </row>
    <row r="185" s="37" customFormat="1" ht="11.55" customHeight="1" spans="1:32">
      <c r="A185" s="957"/>
      <c r="B185" s="44"/>
      <c r="C185" s="44"/>
      <c r="K185" s="38"/>
      <c r="L185" s="44"/>
      <c r="M185" s="44"/>
      <c r="N185" s="38"/>
      <c r="O185" s="38"/>
      <c r="P185" s="38"/>
      <c r="Q185" s="38"/>
      <c r="R185" s="44"/>
      <c r="S185" s="38"/>
      <c r="T185" s="38"/>
      <c r="U185" s="958"/>
      <c r="V185" s="38"/>
      <c r="W185" s="38"/>
      <c r="X185" s="38"/>
      <c r="Y185" s="38"/>
      <c r="Z185" s="38"/>
      <c r="AA185" s="575"/>
      <c r="AB185" s="976"/>
      <c r="AC185" s="976"/>
      <c r="AD185" s="976"/>
      <c r="AE185" s="976"/>
      <c r="AF185" s="37">
        <v>11</v>
      </c>
    </row>
    <row r="186" s="37" customFormat="1" ht="11.55" customHeight="1" spans="1:32">
      <c r="A186" s="957"/>
      <c r="B186" s="44"/>
      <c r="C186" s="44"/>
      <c r="K186" s="38"/>
      <c r="L186" s="44"/>
      <c r="M186" s="44"/>
      <c r="N186" s="38"/>
      <c r="O186" s="38"/>
      <c r="P186" s="38"/>
      <c r="Q186" s="38"/>
      <c r="R186" s="44"/>
      <c r="S186" s="38"/>
      <c r="T186" s="38"/>
      <c r="U186" s="958"/>
      <c r="V186" s="38"/>
      <c r="W186" s="38"/>
      <c r="X186" s="38"/>
      <c r="Y186" s="38"/>
      <c r="Z186" s="38"/>
      <c r="AA186" s="575"/>
      <c r="AB186" s="976"/>
      <c r="AC186" s="976"/>
      <c r="AD186" s="976"/>
      <c r="AE186" s="976"/>
      <c r="AF186" s="37">
        <v>11</v>
      </c>
    </row>
    <row r="187" s="37" customFormat="1" ht="11.55" customHeight="1" spans="1:32">
      <c r="A187" s="957"/>
      <c r="B187" s="44"/>
      <c r="C187" s="44"/>
      <c r="K187" s="38"/>
      <c r="L187" s="44"/>
      <c r="M187" s="44"/>
      <c r="N187" s="38"/>
      <c r="O187" s="38"/>
      <c r="P187" s="38"/>
      <c r="Q187" s="38"/>
      <c r="R187" s="44"/>
      <c r="S187" s="38"/>
      <c r="T187" s="38"/>
      <c r="U187" s="958"/>
      <c r="V187" s="38"/>
      <c r="W187" s="38"/>
      <c r="X187" s="38"/>
      <c r="Y187" s="38"/>
      <c r="Z187" s="38"/>
      <c r="AA187" s="575"/>
      <c r="AB187" s="976"/>
      <c r="AC187" s="976"/>
      <c r="AD187" s="976"/>
      <c r="AE187" s="976"/>
      <c r="AF187" s="37">
        <v>11</v>
      </c>
    </row>
    <row r="188" s="37" customFormat="1" ht="11.55" customHeight="1" spans="1:32">
      <c r="A188" s="957"/>
      <c r="B188" s="44"/>
      <c r="C188" s="44"/>
      <c r="K188" s="38"/>
      <c r="L188" s="44"/>
      <c r="M188" s="44"/>
      <c r="N188" s="38"/>
      <c r="O188" s="38"/>
      <c r="P188" s="38"/>
      <c r="Q188" s="38"/>
      <c r="R188" s="44"/>
      <c r="S188" s="38"/>
      <c r="T188" s="38"/>
      <c r="U188" s="958"/>
      <c r="V188" s="38"/>
      <c r="W188" s="38"/>
      <c r="X188" s="38"/>
      <c r="Y188" s="38"/>
      <c r="Z188" s="38"/>
      <c r="AA188" s="575"/>
      <c r="AB188" s="976"/>
      <c r="AC188" s="976"/>
      <c r="AD188" s="976"/>
      <c r="AE188" s="976"/>
      <c r="AF188" s="37">
        <v>11</v>
      </c>
    </row>
    <row r="189" s="37" customFormat="1" ht="11.55" customHeight="1" spans="1:32">
      <c r="A189" s="957"/>
      <c r="B189" s="44"/>
      <c r="C189" s="44"/>
      <c r="K189" s="38"/>
      <c r="L189" s="44"/>
      <c r="M189" s="44"/>
      <c r="N189" s="38"/>
      <c r="O189" s="38"/>
      <c r="P189" s="38"/>
      <c r="Q189" s="38"/>
      <c r="R189" s="44"/>
      <c r="S189" s="38"/>
      <c r="T189" s="38"/>
      <c r="U189" s="958"/>
      <c r="V189" s="38"/>
      <c r="W189" s="38"/>
      <c r="X189" s="38"/>
      <c r="Y189" s="38"/>
      <c r="Z189" s="38"/>
      <c r="AA189" s="575"/>
      <c r="AB189" s="976"/>
      <c r="AC189" s="976"/>
      <c r="AD189" s="976"/>
      <c r="AE189" s="976"/>
      <c r="AF189" s="37">
        <v>11</v>
      </c>
    </row>
    <row r="190" s="37" customFormat="1" ht="11.55" customHeight="1" spans="1:32">
      <c r="A190" s="957"/>
      <c r="B190" s="44"/>
      <c r="C190" s="44"/>
      <c r="K190" s="38"/>
      <c r="L190" s="44"/>
      <c r="M190" s="44"/>
      <c r="N190" s="38"/>
      <c r="O190" s="38"/>
      <c r="P190" s="38"/>
      <c r="Q190" s="38"/>
      <c r="R190" s="44"/>
      <c r="S190" s="38"/>
      <c r="T190" s="38"/>
      <c r="U190" s="958"/>
      <c r="V190" s="38"/>
      <c r="W190" s="38"/>
      <c r="X190" s="38"/>
      <c r="Y190" s="38"/>
      <c r="Z190" s="38"/>
      <c r="AA190" s="575"/>
      <c r="AB190" s="976"/>
      <c r="AC190" s="976"/>
      <c r="AD190" s="976"/>
      <c r="AE190" s="976"/>
      <c r="AF190" s="37">
        <v>11</v>
      </c>
    </row>
    <row r="191" s="37" customFormat="1" ht="11.55" customHeight="1" spans="1:32">
      <c r="A191" s="957"/>
      <c r="B191" s="44"/>
      <c r="C191" s="44"/>
      <c r="K191" s="38"/>
      <c r="L191" s="44"/>
      <c r="M191" s="44"/>
      <c r="N191" s="38"/>
      <c r="O191" s="38"/>
      <c r="P191" s="38"/>
      <c r="Q191" s="38"/>
      <c r="R191" s="44"/>
      <c r="S191" s="38"/>
      <c r="T191" s="38"/>
      <c r="U191" s="958"/>
      <c r="V191" s="38"/>
      <c r="W191" s="38"/>
      <c r="X191" s="38"/>
      <c r="Y191" s="38"/>
      <c r="Z191" s="38"/>
      <c r="AA191" s="575"/>
      <c r="AB191" s="976"/>
      <c r="AC191" s="976"/>
      <c r="AD191" s="976"/>
      <c r="AE191" s="976"/>
      <c r="AF191" s="37">
        <v>11</v>
      </c>
    </row>
    <row r="192" s="37" customFormat="1" ht="11.55" customHeight="1" spans="1:32">
      <c r="A192" s="957"/>
      <c r="B192" s="44"/>
      <c r="C192" s="44"/>
      <c r="K192" s="38"/>
      <c r="L192" s="44"/>
      <c r="M192" s="44"/>
      <c r="N192" s="38"/>
      <c r="O192" s="38"/>
      <c r="P192" s="38"/>
      <c r="Q192" s="38"/>
      <c r="R192" s="44"/>
      <c r="S192" s="38"/>
      <c r="T192" s="38"/>
      <c r="U192" s="958"/>
      <c r="V192" s="38"/>
      <c r="W192" s="38"/>
      <c r="X192" s="38"/>
      <c r="Y192" s="38"/>
      <c r="Z192" s="38"/>
      <c r="AA192" s="575"/>
      <c r="AB192" s="976"/>
      <c r="AC192" s="976"/>
      <c r="AD192" s="976"/>
      <c r="AE192" s="976"/>
      <c r="AF192" s="37">
        <v>11</v>
      </c>
    </row>
    <row r="193" s="37" customFormat="1" ht="11.55" customHeight="1" spans="1:32">
      <c r="A193" s="957"/>
      <c r="B193" s="44"/>
      <c r="C193" s="44"/>
      <c r="K193" s="38"/>
      <c r="L193" s="44"/>
      <c r="M193" s="44"/>
      <c r="N193" s="38"/>
      <c r="O193" s="38"/>
      <c r="P193" s="38"/>
      <c r="Q193" s="38"/>
      <c r="R193" s="44"/>
      <c r="S193" s="38"/>
      <c r="T193" s="38"/>
      <c r="U193" s="958"/>
      <c r="V193" s="38"/>
      <c r="W193" s="38"/>
      <c r="X193" s="38"/>
      <c r="Y193" s="38"/>
      <c r="Z193" s="38"/>
      <c r="AA193" s="575"/>
      <c r="AB193" s="976"/>
      <c r="AC193" s="976"/>
      <c r="AD193" s="976"/>
      <c r="AE193" s="976"/>
      <c r="AF193" s="37">
        <v>11</v>
      </c>
    </row>
    <row r="194" s="37" customFormat="1" ht="11.55" customHeight="1" spans="1:32">
      <c r="A194" s="957"/>
      <c r="B194" s="44"/>
      <c r="C194" s="44"/>
      <c r="K194" s="38"/>
      <c r="L194" s="44"/>
      <c r="M194" s="44"/>
      <c r="N194" s="38"/>
      <c r="O194" s="38"/>
      <c r="P194" s="38"/>
      <c r="Q194" s="38"/>
      <c r="R194" s="44"/>
      <c r="S194" s="38"/>
      <c r="T194" s="38"/>
      <c r="U194" s="958"/>
      <c r="V194" s="38"/>
      <c r="W194" s="38"/>
      <c r="X194" s="38"/>
      <c r="Y194" s="38"/>
      <c r="Z194" s="38"/>
      <c r="AA194" s="575"/>
      <c r="AB194" s="976"/>
      <c r="AC194" s="976"/>
      <c r="AD194" s="976"/>
      <c r="AE194" s="976"/>
      <c r="AF194" s="37">
        <v>11</v>
      </c>
    </row>
    <row r="195" s="37" customFormat="1" ht="11.55" customHeight="1" spans="1:32">
      <c r="A195" s="957"/>
      <c r="B195" s="44"/>
      <c r="C195" s="44"/>
      <c r="K195" s="38"/>
      <c r="L195" s="44"/>
      <c r="M195" s="44"/>
      <c r="N195" s="38"/>
      <c r="O195" s="38"/>
      <c r="P195" s="38"/>
      <c r="Q195" s="38"/>
      <c r="R195" s="44"/>
      <c r="S195" s="38"/>
      <c r="T195" s="38"/>
      <c r="U195" s="958"/>
      <c r="V195" s="38"/>
      <c r="W195" s="38"/>
      <c r="X195" s="38"/>
      <c r="Y195" s="38"/>
      <c r="Z195" s="38"/>
      <c r="AA195" s="575"/>
      <c r="AB195" s="976"/>
      <c r="AC195" s="976"/>
      <c r="AD195" s="976"/>
      <c r="AE195" s="976"/>
      <c r="AF195" s="37">
        <v>11</v>
      </c>
    </row>
    <row r="196" s="37" customFormat="1" ht="11.55" customHeight="1" spans="1:32">
      <c r="A196" s="957"/>
      <c r="B196" s="44"/>
      <c r="C196" s="44"/>
      <c r="K196" s="38"/>
      <c r="L196" s="44"/>
      <c r="M196" s="44"/>
      <c r="N196" s="38"/>
      <c r="O196" s="38"/>
      <c r="P196" s="38"/>
      <c r="Q196" s="38"/>
      <c r="R196" s="44"/>
      <c r="S196" s="38"/>
      <c r="T196" s="38"/>
      <c r="U196" s="958"/>
      <c r="V196" s="38"/>
      <c r="W196" s="38"/>
      <c r="X196" s="38"/>
      <c r="Y196" s="38"/>
      <c r="Z196" s="38"/>
      <c r="AA196" s="575"/>
      <c r="AB196" s="976"/>
      <c r="AC196" s="976"/>
      <c r="AD196" s="976"/>
      <c r="AE196" s="976"/>
      <c r="AF196" s="37">
        <v>11</v>
      </c>
    </row>
    <row r="197" s="37" customFormat="1" ht="11.55" customHeight="1" spans="1:32">
      <c r="A197" s="957"/>
      <c r="B197" s="44"/>
      <c r="C197" s="44"/>
      <c r="K197" s="38"/>
      <c r="L197" s="44"/>
      <c r="M197" s="44"/>
      <c r="N197" s="38"/>
      <c r="O197" s="38"/>
      <c r="P197" s="38"/>
      <c r="Q197" s="38"/>
      <c r="R197" s="44"/>
      <c r="S197" s="38"/>
      <c r="T197" s="38"/>
      <c r="U197" s="958"/>
      <c r="V197" s="38"/>
      <c r="W197" s="38"/>
      <c r="X197" s="38"/>
      <c r="Y197" s="38"/>
      <c r="Z197" s="38"/>
      <c r="AA197" s="575"/>
      <c r="AB197" s="976"/>
      <c r="AC197" s="976"/>
      <c r="AD197" s="976"/>
      <c r="AE197" s="976"/>
      <c r="AF197" s="37">
        <v>11</v>
      </c>
    </row>
    <row r="198" s="37" customFormat="1" ht="11.55" customHeight="1" spans="1:32">
      <c r="A198" s="957"/>
      <c r="B198" s="44"/>
      <c r="C198" s="44"/>
      <c r="K198" s="38"/>
      <c r="L198" s="44"/>
      <c r="M198" s="44"/>
      <c r="N198" s="38"/>
      <c r="O198" s="38"/>
      <c r="P198" s="38"/>
      <c r="Q198" s="38"/>
      <c r="R198" s="44"/>
      <c r="S198" s="38"/>
      <c r="T198" s="38"/>
      <c r="U198" s="958"/>
      <c r="V198" s="38"/>
      <c r="W198" s="38"/>
      <c r="X198" s="38"/>
      <c r="Y198" s="38"/>
      <c r="Z198" s="38"/>
      <c r="AA198" s="575"/>
      <c r="AB198" s="976"/>
      <c r="AC198" s="976"/>
      <c r="AD198" s="976"/>
      <c r="AE198" s="976"/>
      <c r="AF198" s="37">
        <v>11</v>
      </c>
    </row>
    <row r="199" s="37" customFormat="1" ht="11.55" customHeight="1" spans="1:32">
      <c r="A199" s="957"/>
      <c r="B199" s="44"/>
      <c r="C199" s="44"/>
      <c r="K199" s="38"/>
      <c r="L199" s="44"/>
      <c r="M199" s="44"/>
      <c r="N199" s="38"/>
      <c r="O199" s="38"/>
      <c r="P199" s="38"/>
      <c r="Q199" s="38"/>
      <c r="R199" s="44"/>
      <c r="S199" s="38"/>
      <c r="T199" s="38"/>
      <c r="U199" s="958"/>
      <c r="V199" s="38"/>
      <c r="W199" s="38"/>
      <c r="X199" s="38"/>
      <c r="Y199" s="38"/>
      <c r="Z199" s="38"/>
      <c r="AA199" s="575"/>
      <c r="AB199" s="976"/>
      <c r="AC199" s="976"/>
      <c r="AD199" s="976"/>
      <c r="AE199" s="976"/>
      <c r="AF199" s="37">
        <v>11</v>
      </c>
    </row>
    <row r="200" s="37" customFormat="1" ht="11.55" customHeight="1" spans="1:32">
      <c r="A200" s="957"/>
      <c r="B200" s="44"/>
      <c r="C200" s="44"/>
      <c r="K200" s="38"/>
      <c r="L200" s="44"/>
      <c r="M200" s="44"/>
      <c r="N200" s="38"/>
      <c r="O200" s="38"/>
      <c r="P200" s="38"/>
      <c r="Q200" s="38"/>
      <c r="R200" s="44"/>
      <c r="S200" s="38"/>
      <c r="T200" s="38"/>
      <c r="U200" s="958"/>
      <c r="V200" s="38"/>
      <c r="W200" s="38"/>
      <c r="X200" s="38"/>
      <c r="Y200" s="38"/>
      <c r="Z200" s="38"/>
      <c r="AA200" s="575"/>
      <c r="AB200" s="976"/>
      <c r="AC200" s="976"/>
      <c r="AD200" s="976"/>
      <c r="AE200" s="976"/>
      <c r="AF200" s="37">
        <v>11</v>
      </c>
    </row>
    <row r="201" s="37" customFormat="1" ht="11.55" customHeight="1" spans="1:32">
      <c r="A201" s="957"/>
      <c r="B201" s="44"/>
      <c r="C201" s="44"/>
      <c r="K201" s="38"/>
      <c r="L201" s="44"/>
      <c r="M201" s="44"/>
      <c r="N201" s="38"/>
      <c r="O201" s="38"/>
      <c r="P201" s="38"/>
      <c r="Q201" s="38"/>
      <c r="R201" s="44"/>
      <c r="S201" s="38"/>
      <c r="T201" s="38"/>
      <c r="U201" s="958"/>
      <c r="V201" s="38"/>
      <c r="W201" s="38"/>
      <c r="X201" s="38"/>
      <c r="Y201" s="38"/>
      <c r="Z201" s="38"/>
      <c r="AA201" s="575"/>
      <c r="AB201" s="976"/>
      <c r="AC201" s="976"/>
      <c r="AD201" s="976"/>
      <c r="AE201" s="976"/>
      <c r="AF201" s="37">
        <v>11</v>
      </c>
    </row>
    <row r="202" s="37" customFormat="1" ht="11.55" customHeight="1" spans="1:32">
      <c r="A202" s="957"/>
      <c r="B202" s="44"/>
      <c r="C202" s="44"/>
      <c r="K202" s="38"/>
      <c r="L202" s="44"/>
      <c r="M202" s="44"/>
      <c r="N202" s="38"/>
      <c r="O202" s="38"/>
      <c r="P202" s="38"/>
      <c r="Q202" s="38"/>
      <c r="R202" s="44"/>
      <c r="S202" s="38"/>
      <c r="T202" s="38"/>
      <c r="U202" s="958"/>
      <c r="V202" s="38"/>
      <c r="W202" s="38"/>
      <c r="X202" s="38"/>
      <c r="Y202" s="38"/>
      <c r="Z202" s="38"/>
      <c r="AA202" s="575"/>
      <c r="AB202" s="976"/>
      <c r="AC202" s="976"/>
      <c r="AD202" s="976"/>
      <c r="AE202" s="976"/>
      <c r="AF202" s="37">
        <v>11</v>
      </c>
    </row>
    <row r="203" s="37" customFormat="1" ht="11.55" customHeight="1" spans="1:32">
      <c r="A203" s="957"/>
      <c r="B203" s="44"/>
      <c r="C203" s="44"/>
      <c r="K203" s="38"/>
      <c r="L203" s="44"/>
      <c r="M203" s="44"/>
      <c r="N203" s="38"/>
      <c r="O203" s="38"/>
      <c r="P203" s="38"/>
      <c r="Q203" s="38"/>
      <c r="R203" s="44"/>
      <c r="S203" s="38"/>
      <c r="T203" s="38"/>
      <c r="U203" s="958"/>
      <c r="V203" s="38"/>
      <c r="W203" s="38"/>
      <c r="X203" s="38"/>
      <c r="Y203" s="38"/>
      <c r="Z203" s="38"/>
      <c r="AA203" s="575"/>
      <c r="AB203" s="976"/>
      <c r="AC203" s="976"/>
      <c r="AD203" s="976"/>
      <c r="AE203" s="976"/>
      <c r="AF203" s="37">
        <v>11</v>
      </c>
    </row>
    <row r="204" s="37" customFormat="1" ht="11.55" customHeight="1" spans="1:32">
      <c r="A204" s="957"/>
      <c r="B204" s="44"/>
      <c r="C204" s="44"/>
      <c r="K204" s="38"/>
      <c r="L204" s="44"/>
      <c r="M204" s="44"/>
      <c r="N204" s="38"/>
      <c r="O204" s="38"/>
      <c r="P204" s="38"/>
      <c r="Q204" s="38"/>
      <c r="R204" s="44"/>
      <c r="S204" s="38"/>
      <c r="T204" s="38"/>
      <c r="U204" s="958"/>
      <c r="V204" s="38"/>
      <c r="W204" s="38"/>
      <c r="X204" s="38"/>
      <c r="Y204" s="38"/>
      <c r="Z204" s="38"/>
      <c r="AA204" s="575"/>
      <c r="AB204" s="976"/>
      <c r="AC204" s="976"/>
      <c r="AD204" s="976"/>
      <c r="AE204" s="976"/>
      <c r="AF204" s="37">
        <v>11</v>
      </c>
    </row>
    <row r="205" s="37" customFormat="1" ht="11.55" customHeight="1" spans="1:32">
      <c r="A205" s="957"/>
      <c r="B205" s="44"/>
      <c r="C205" s="44"/>
      <c r="K205" s="38"/>
      <c r="L205" s="44"/>
      <c r="M205" s="44"/>
      <c r="N205" s="38"/>
      <c r="O205" s="38"/>
      <c r="P205" s="38"/>
      <c r="Q205" s="38"/>
      <c r="R205" s="44"/>
      <c r="S205" s="38"/>
      <c r="T205" s="38"/>
      <c r="U205" s="958"/>
      <c r="V205" s="38"/>
      <c r="W205" s="38"/>
      <c r="X205" s="38"/>
      <c r="Y205" s="38"/>
      <c r="Z205" s="38"/>
      <c r="AA205" s="575"/>
      <c r="AB205" s="976"/>
      <c r="AC205" s="976"/>
      <c r="AD205" s="976"/>
      <c r="AE205" s="976"/>
      <c r="AF205" s="37">
        <v>11</v>
      </c>
    </row>
    <row r="206" s="37" customFormat="1" ht="11.55" customHeight="1" spans="1:32">
      <c r="A206" s="957"/>
      <c r="B206" s="44"/>
      <c r="C206" s="44"/>
      <c r="K206" s="38"/>
      <c r="L206" s="44"/>
      <c r="M206" s="44"/>
      <c r="N206" s="38"/>
      <c r="O206" s="38"/>
      <c r="P206" s="38"/>
      <c r="Q206" s="38"/>
      <c r="R206" s="44"/>
      <c r="S206" s="38"/>
      <c r="T206" s="38"/>
      <c r="U206" s="958"/>
      <c r="V206" s="38"/>
      <c r="W206" s="38"/>
      <c r="X206" s="38"/>
      <c r="Y206" s="38"/>
      <c r="Z206" s="38"/>
      <c r="AA206" s="575"/>
      <c r="AB206" s="976"/>
      <c r="AC206" s="976"/>
      <c r="AD206" s="976"/>
      <c r="AE206" s="976"/>
      <c r="AF206" s="37">
        <v>11</v>
      </c>
    </row>
    <row r="207" s="37" customFormat="1" ht="11.55" customHeight="1" spans="1:32">
      <c r="A207" s="957"/>
      <c r="B207" s="44"/>
      <c r="C207" s="44"/>
      <c r="K207" s="38"/>
      <c r="L207" s="44"/>
      <c r="M207" s="44"/>
      <c r="N207" s="38"/>
      <c r="O207" s="38"/>
      <c r="P207" s="38"/>
      <c r="Q207" s="38"/>
      <c r="R207" s="44"/>
      <c r="S207" s="38"/>
      <c r="T207" s="38"/>
      <c r="U207" s="958"/>
      <c r="V207" s="38"/>
      <c r="W207" s="38"/>
      <c r="X207" s="38"/>
      <c r="Y207" s="38"/>
      <c r="Z207" s="38"/>
      <c r="AA207" s="575"/>
      <c r="AB207" s="976"/>
      <c r="AC207" s="976"/>
      <c r="AD207" s="976"/>
      <c r="AE207" s="976"/>
      <c r="AF207" s="37">
        <v>11</v>
      </c>
    </row>
    <row r="208" s="37" customFormat="1" ht="11.55" customHeight="1" spans="1:32">
      <c r="A208" s="957"/>
      <c r="B208" s="44"/>
      <c r="C208" s="44"/>
      <c r="K208" s="38"/>
      <c r="L208" s="44"/>
      <c r="M208" s="44"/>
      <c r="N208" s="38"/>
      <c r="O208" s="38"/>
      <c r="P208" s="38"/>
      <c r="Q208" s="38"/>
      <c r="R208" s="44"/>
      <c r="S208" s="38"/>
      <c r="T208" s="38"/>
      <c r="U208" s="958"/>
      <c r="V208" s="38"/>
      <c r="W208" s="38"/>
      <c r="X208" s="38"/>
      <c r="Y208" s="38"/>
      <c r="Z208" s="38"/>
      <c r="AA208" s="575"/>
      <c r="AB208" s="976"/>
      <c r="AC208" s="976"/>
      <c r="AD208" s="976"/>
      <c r="AE208" s="976"/>
      <c r="AF208" s="37">
        <v>11</v>
      </c>
    </row>
    <row r="209" s="37" customFormat="1" ht="11.55" customHeight="1" spans="1:32">
      <c r="A209" s="957"/>
      <c r="B209" s="44"/>
      <c r="C209" s="44"/>
      <c r="K209" s="38"/>
      <c r="L209" s="44"/>
      <c r="M209" s="44"/>
      <c r="N209" s="38"/>
      <c r="O209" s="38"/>
      <c r="P209" s="38"/>
      <c r="Q209" s="38"/>
      <c r="R209" s="44"/>
      <c r="S209" s="38"/>
      <c r="T209" s="38"/>
      <c r="U209" s="958"/>
      <c r="V209" s="38"/>
      <c r="W209" s="38"/>
      <c r="X209" s="38"/>
      <c r="Y209" s="38"/>
      <c r="Z209" s="38"/>
      <c r="AA209" s="575"/>
      <c r="AB209" s="976"/>
      <c r="AC209" s="976"/>
      <c r="AD209" s="976"/>
      <c r="AE209" s="976"/>
      <c r="AF209" s="37">
        <v>11</v>
      </c>
    </row>
    <row r="210" s="37" customFormat="1" ht="11.55" customHeight="1" spans="1:32">
      <c r="A210" s="957"/>
      <c r="B210" s="44"/>
      <c r="C210" s="44"/>
      <c r="K210" s="38"/>
      <c r="L210" s="44"/>
      <c r="M210" s="44"/>
      <c r="N210" s="38"/>
      <c r="O210" s="38"/>
      <c r="P210" s="38"/>
      <c r="Q210" s="38"/>
      <c r="R210" s="44"/>
      <c r="S210" s="38"/>
      <c r="T210" s="38"/>
      <c r="U210" s="958"/>
      <c r="V210" s="38"/>
      <c r="W210" s="38"/>
      <c r="X210" s="38"/>
      <c r="Y210" s="38"/>
      <c r="Z210" s="38"/>
      <c r="AA210" s="575"/>
      <c r="AB210" s="976"/>
      <c r="AC210" s="976"/>
      <c r="AD210" s="976"/>
      <c r="AE210" s="976"/>
      <c r="AF210" s="37">
        <v>11</v>
      </c>
    </row>
    <row r="211" s="37" customFormat="1" ht="11.55" customHeight="1" spans="1:32">
      <c r="A211" s="957"/>
      <c r="B211" s="44"/>
      <c r="C211" s="44"/>
      <c r="K211" s="38"/>
      <c r="L211" s="44"/>
      <c r="M211" s="44"/>
      <c r="N211" s="38"/>
      <c r="O211" s="38"/>
      <c r="P211" s="38"/>
      <c r="Q211" s="38"/>
      <c r="R211" s="44"/>
      <c r="S211" s="38"/>
      <c r="T211" s="38"/>
      <c r="U211" s="958"/>
      <c r="V211" s="38"/>
      <c r="W211" s="38"/>
      <c r="X211" s="38"/>
      <c r="Y211" s="38"/>
      <c r="Z211" s="38"/>
      <c r="AA211" s="575"/>
      <c r="AB211" s="976"/>
      <c r="AC211" s="976"/>
      <c r="AD211" s="976"/>
      <c r="AE211" s="976"/>
      <c r="AF211" s="37">
        <v>11</v>
      </c>
    </row>
    <row r="212" s="37" customFormat="1" ht="11.55" customHeight="1" spans="1:32">
      <c r="A212" s="957"/>
      <c r="B212" s="44"/>
      <c r="C212" s="44"/>
      <c r="K212" s="38"/>
      <c r="L212" s="44"/>
      <c r="M212" s="44"/>
      <c r="N212" s="38"/>
      <c r="O212" s="38"/>
      <c r="P212" s="38"/>
      <c r="Q212" s="38"/>
      <c r="R212" s="44"/>
      <c r="S212" s="38"/>
      <c r="T212" s="38"/>
      <c r="U212" s="958"/>
      <c r="V212" s="38"/>
      <c r="W212" s="38"/>
      <c r="X212" s="38"/>
      <c r="Y212" s="38"/>
      <c r="Z212" s="38"/>
      <c r="AA212" s="575"/>
      <c r="AB212" s="976"/>
      <c r="AC212" s="976"/>
      <c r="AD212" s="976"/>
      <c r="AE212" s="976"/>
      <c r="AF212" s="37">
        <v>11</v>
      </c>
    </row>
    <row r="213" s="37" customFormat="1" ht="11.55" customHeight="1" spans="1:32">
      <c r="A213" s="957"/>
      <c r="B213" s="44"/>
      <c r="C213" s="44"/>
      <c r="K213" s="38"/>
      <c r="L213" s="44"/>
      <c r="M213" s="44"/>
      <c r="N213" s="38"/>
      <c r="O213" s="38"/>
      <c r="P213" s="38"/>
      <c r="Q213" s="38"/>
      <c r="R213" s="44"/>
      <c r="S213" s="38"/>
      <c r="T213" s="38"/>
      <c r="U213" s="958"/>
      <c r="V213" s="38"/>
      <c r="W213" s="38"/>
      <c r="X213" s="38"/>
      <c r="Y213" s="38"/>
      <c r="Z213" s="38"/>
      <c r="AA213" s="575"/>
      <c r="AB213" s="976"/>
      <c r="AC213" s="976"/>
      <c r="AD213" s="976"/>
      <c r="AE213" s="976"/>
      <c r="AF213" s="37">
        <v>11</v>
      </c>
    </row>
    <row r="214" s="37" customFormat="1" ht="11.55" customHeight="1" spans="1:32">
      <c r="A214" s="957"/>
      <c r="B214" s="44"/>
      <c r="C214" s="44"/>
      <c r="K214" s="38"/>
      <c r="L214" s="44"/>
      <c r="M214" s="44"/>
      <c r="N214" s="38"/>
      <c r="O214" s="38"/>
      <c r="P214" s="38"/>
      <c r="Q214" s="38"/>
      <c r="R214" s="44"/>
      <c r="S214" s="38"/>
      <c r="T214" s="38"/>
      <c r="U214" s="958"/>
      <c r="V214" s="38"/>
      <c r="W214" s="38"/>
      <c r="X214" s="38"/>
      <c r="Y214" s="38"/>
      <c r="Z214" s="38"/>
      <c r="AA214" s="575"/>
      <c r="AB214" s="976"/>
      <c r="AC214" s="976"/>
      <c r="AD214" s="976"/>
      <c r="AE214" s="976"/>
      <c r="AF214" s="37">
        <v>11</v>
      </c>
    </row>
    <row r="215" s="37" customFormat="1" ht="11.55" customHeight="1" spans="1:32">
      <c r="A215" s="957"/>
      <c r="B215" s="44"/>
      <c r="C215" s="44"/>
      <c r="K215" s="38"/>
      <c r="L215" s="44"/>
      <c r="M215" s="44"/>
      <c r="N215" s="38"/>
      <c r="O215" s="38"/>
      <c r="P215" s="38"/>
      <c r="Q215" s="38"/>
      <c r="R215" s="44"/>
      <c r="S215" s="38"/>
      <c r="T215" s="38"/>
      <c r="U215" s="958"/>
      <c r="V215" s="38"/>
      <c r="W215" s="38"/>
      <c r="X215" s="38"/>
      <c r="Y215" s="38"/>
      <c r="Z215" s="38"/>
      <c r="AA215" s="575"/>
      <c r="AB215" s="976"/>
      <c r="AC215" s="976"/>
      <c r="AD215" s="976"/>
      <c r="AE215" s="976"/>
      <c r="AF215" s="37">
        <v>11</v>
      </c>
    </row>
    <row r="216" s="37" customFormat="1" ht="11.55" customHeight="1" spans="1:32">
      <c r="A216" s="957"/>
      <c r="B216" s="44"/>
      <c r="C216" s="44"/>
      <c r="K216" s="38"/>
      <c r="L216" s="44"/>
      <c r="M216" s="44"/>
      <c r="N216" s="38"/>
      <c r="O216" s="38"/>
      <c r="P216" s="38"/>
      <c r="Q216" s="38"/>
      <c r="R216" s="44"/>
      <c r="S216" s="38"/>
      <c r="T216" s="38"/>
      <c r="U216" s="958"/>
      <c r="V216" s="38"/>
      <c r="W216" s="38"/>
      <c r="X216" s="38"/>
      <c r="Y216" s="38"/>
      <c r="Z216" s="38"/>
      <c r="AA216" s="575"/>
      <c r="AB216" s="976"/>
      <c r="AC216" s="976"/>
      <c r="AD216" s="976"/>
      <c r="AE216" s="976"/>
      <c r="AF216" s="37">
        <v>11</v>
      </c>
    </row>
    <row r="217" s="37" customFormat="1" ht="11.55" customHeight="1" spans="1:32">
      <c r="A217" s="957"/>
      <c r="B217" s="44"/>
      <c r="C217" s="44"/>
      <c r="K217" s="38"/>
      <c r="L217" s="44"/>
      <c r="M217" s="44"/>
      <c r="N217" s="38"/>
      <c r="O217" s="38"/>
      <c r="P217" s="38"/>
      <c r="Q217" s="38"/>
      <c r="R217" s="44"/>
      <c r="S217" s="38"/>
      <c r="T217" s="38"/>
      <c r="U217" s="958"/>
      <c r="V217" s="38"/>
      <c r="W217" s="38"/>
      <c r="X217" s="38"/>
      <c r="Y217" s="38"/>
      <c r="Z217" s="38"/>
      <c r="AA217" s="575"/>
      <c r="AB217" s="976"/>
      <c r="AC217" s="976"/>
      <c r="AD217" s="976"/>
      <c r="AE217" s="976"/>
      <c r="AF217" s="37">
        <v>11</v>
      </c>
    </row>
    <row r="218" s="37" customFormat="1" ht="11.55" customHeight="1" spans="1:32">
      <c r="A218" s="957"/>
      <c r="B218" s="44"/>
      <c r="C218" s="44"/>
      <c r="K218" s="38"/>
      <c r="L218" s="44"/>
      <c r="M218" s="44"/>
      <c r="N218" s="38"/>
      <c r="O218" s="38"/>
      <c r="P218" s="38"/>
      <c r="Q218" s="38"/>
      <c r="R218" s="44"/>
      <c r="S218" s="38"/>
      <c r="T218" s="38"/>
      <c r="U218" s="958"/>
      <c r="V218" s="38"/>
      <c r="W218" s="38"/>
      <c r="X218" s="38"/>
      <c r="Y218" s="38"/>
      <c r="Z218" s="38"/>
      <c r="AA218" s="575"/>
      <c r="AB218" s="976"/>
      <c r="AC218" s="976"/>
      <c r="AD218" s="976"/>
      <c r="AE218" s="976"/>
      <c r="AF218" s="37">
        <v>11</v>
      </c>
    </row>
    <row r="219" s="37" customFormat="1" ht="11.55" customHeight="1" spans="1:32">
      <c r="A219" s="957"/>
      <c r="B219" s="44"/>
      <c r="C219" s="44"/>
      <c r="K219" s="38"/>
      <c r="L219" s="44"/>
      <c r="M219" s="44"/>
      <c r="N219" s="38"/>
      <c r="O219" s="38"/>
      <c r="P219" s="38"/>
      <c r="Q219" s="38"/>
      <c r="R219" s="44"/>
      <c r="S219" s="38"/>
      <c r="T219" s="38"/>
      <c r="U219" s="958"/>
      <c r="V219" s="38"/>
      <c r="W219" s="38"/>
      <c r="X219" s="38"/>
      <c r="Y219" s="38"/>
      <c r="Z219" s="38"/>
      <c r="AA219" s="575"/>
      <c r="AB219" s="976"/>
      <c r="AC219" s="976"/>
      <c r="AD219" s="976"/>
      <c r="AE219" s="976"/>
      <c r="AF219" s="37">
        <v>11</v>
      </c>
    </row>
    <row r="220" s="37" customFormat="1" ht="11.55" customHeight="1" spans="1:32">
      <c r="A220" s="957"/>
      <c r="B220" s="44"/>
      <c r="C220" s="44"/>
      <c r="K220" s="38"/>
      <c r="L220" s="44"/>
      <c r="M220" s="44"/>
      <c r="N220" s="38"/>
      <c r="O220" s="38"/>
      <c r="P220" s="38"/>
      <c r="Q220" s="38"/>
      <c r="R220" s="44"/>
      <c r="S220" s="38"/>
      <c r="T220" s="38"/>
      <c r="U220" s="958"/>
      <c r="V220" s="38"/>
      <c r="W220" s="38"/>
      <c r="X220" s="38"/>
      <c r="Y220" s="38"/>
      <c r="Z220" s="38"/>
      <c r="AA220" s="575"/>
      <c r="AB220" s="976"/>
      <c r="AC220" s="976"/>
      <c r="AD220" s="976"/>
      <c r="AE220" s="976"/>
      <c r="AF220" s="37">
        <v>11</v>
      </c>
    </row>
    <row r="221" s="37" customFormat="1" ht="11.55" customHeight="1" spans="1:32">
      <c r="A221" s="957"/>
      <c r="B221" s="44"/>
      <c r="C221" s="44"/>
      <c r="K221" s="38"/>
      <c r="L221" s="44"/>
      <c r="M221" s="44"/>
      <c r="N221" s="38"/>
      <c r="O221" s="38"/>
      <c r="P221" s="38"/>
      <c r="Q221" s="38"/>
      <c r="R221" s="44"/>
      <c r="S221" s="38"/>
      <c r="T221" s="38"/>
      <c r="U221" s="958"/>
      <c r="V221" s="38"/>
      <c r="W221" s="38"/>
      <c r="X221" s="38"/>
      <c r="Y221" s="38"/>
      <c r="Z221" s="38"/>
      <c r="AA221" s="575"/>
      <c r="AB221" s="976"/>
      <c r="AC221" s="976"/>
      <c r="AD221" s="976"/>
      <c r="AE221" s="976"/>
      <c r="AF221" s="37">
        <v>11</v>
      </c>
    </row>
    <row r="222" s="37" customFormat="1" ht="11.55" customHeight="1" spans="1:32">
      <c r="A222" s="957"/>
      <c r="B222" s="44"/>
      <c r="C222" s="44"/>
      <c r="K222" s="38"/>
      <c r="L222" s="44"/>
      <c r="M222" s="44"/>
      <c r="N222" s="38"/>
      <c r="O222" s="38"/>
      <c r="P222" s="38"/>
      <c r="Q222" s="38"/>
      <c r="R222" s="44"/>
      <c r="S222" s="38"/>
      <c r="T222" s="38"/>
      <c r="U222" s="958"/>
      <c r="V222" s="38"/>
      <c r="W222" s="38"/>
      <c r="X222" s="38"/>
      <c r="Y222" s="38"/>
      <c r="Z222" s="38"/>
      <c r="AA222" s="575"/>
      <c r="AB222" s="976"/>
      <c r="AC222" s="976"/>
      <c r="AD222" s="976"/>
      <c r="AE222" s="976"/>
      <c r="AF222" s="37">
        <v>11</v>
      </c>
    </row>
    <row r="223" s="37" customFormat="1" ht="11.55" customHeight="1" spans="1:32">
      <c r="A223" s="957"/>
      <c r="B223" s="44"/>
      <c r="C223" s="44"/>
      <c r="K223" s="38"/>
      <c r="L223" s="44"/>
      <c r="M223" s="44"/>
      <c r="N223" s="38"/>
      <c r="O223" s="38"/>
      <c r="P223" s="38"/>
      <c r="Q223" s="38"/>
      <c r="R223" s="44"/>
      <c r="S223" s="38"/>
      <c r="T223" s="38"/>
      <c r="U223" s="958"/>
      <c r="V223" s="38"/>
      <c r="W223" s="38"/>
      <c r="X223" s="38"/>
      <c r="Y223" s="38"/>
      <c r="Z223" s="38"/>
      <c r="AA223" s="575"/>
      <c r="AB223" s="976"/>
      <c r="AC223" s="976"/>
      <c r="AD223" s="976"/>
      <c r="AE223" s="976"/>
      <c r="AF223" s="37">
        <v>11</v>
      </c>
    </row>
    <row r="224" s="37" customFormat="1" ht="11.55" customHeight="1" spans="1:32">
      <c r="A224" s="957"/>
      <c r="B224" s="44"/>
      <c r="C224" s="44"/>
      <c r="K224" s="38"/>
      <c r="L224" s="44"/>
      <c r="M224" s="44"/>
      <c r="N224" s="38"/>
      <c r="O224" s="38"/>
      <c r="P224" s="38"/>
      <c r="Q224" s="38"/>
      <c r="R224" s="44"/>
      <c r="S224" s="38"/>
      <c r="T224" s="38"/>
      <c r="U224" s="958"/>
      <c r="V224" s="38"/>
      <c r="W224" s="38"/>
      <c r="X224" s="38"/>
      <c r="Y224" s="38"/>
      <c r="Z224" s="38"/>
      <c r="AA224" s="575"/>
      <c r="AB224" s="976"/>
      <c r="AC224" s="976"/>
      <c r="AD224" s="976"/>
      <c r="AE224" s="976"/>
      <c r="AF224" s="37">
        <v>11</v>
      </c>
    </row>
    <row r="225" s="37" customFormat="1" ht="11.55" customHeight="1" spans="1:32">
      <c r="A225" s="957"/>
      <c r="B225" s="44"/>
      <c r="C225" s="44"/>
      <c r="K225" s="38"/>
      <c r="L225" s="44"/>
      <c r="M225" s="44"/>
      <c r="N225" s="38"/>
      <c r="O225" s="38"/>
      <c r="P225" s="38"/>
      <c r="Q225" s="38"/>
      <c r="R225" s="44"/>
      <c r="S225" s="38"/>
      <c r="T225" s="38"/>
      <c r="U225" s="958"/>
      <c r="V225" s="38"/>
      <c r="W225" s="38"/>
      <c r="X225" s="38"/>
      <c r="Y225" s="38"/>
      <c r="Z225" s="38"/>
      <c r="AA225" s="575"/>
      <c r="AB225" s="976"/>
      <c r="AC225" s="976"/>
      <c r="AD225" s="976"/>
      <c r="AE225" s="976"/>
      <c r="AF225" s="37">
        <v>11</v>
      </c>
    </row>
    <row r="226" s="37" customFormat="1" ht="11.55" customHeight="1" spans="1:32">
      <c r="A226" s="957"/>
      <c r="B226" s="44"/>
      <c r="C226" s="44"/>
      <c r="K226" s="38"/>
      <c r="L226" s="44"/>
      <c r="M226" s="44"/>
      <c r="N226" s="38"/>
      <c r="O226" s="38"/>
      <c r="P226" s="38"/>
      <c r="Q226" s="38"/>
      <c r="R226" s="44"/>
      <c r="S226" s="38"/>
      <c r="T226" s="38"/>
      <c r="U226" s="958"/>
      <c r="V226" s="38"/>
      <c r="W226" s="38"/>
      <c r="X226" s="38"/>
      <c r="Y226" s="38"/>
      <c r="Z226" s="38"/>
      <c r="AA226" s="575"/>
      <c r="AB226" s="976"/>
      <c r="AC226" s="976"/>
      <c r="AD226" s="976"/>
      <c r="AE226" s="976"/>
      <c r="AF226" s="37">
        <v>11</v>
      </c>
    </row>
    <row r="227" s="37" customFormat="1" ht="11.55" customHeight="1" spans="1:32">
      <c r="A227" s="957"/>
      <c r="B227" s="44"/>
      <c r="C227" s="44"/>
      <c r="K227" s="38"/>
      <c r="L227" s="44"/>
      <c r="M227" s="44"/>
      <c r="N227" s="38"/>
      <c r="O227" s="38"/>
      <c r="P227" s="38"/>
      <c r="Q227" s="38"/>
      <c r="R227" s="44"/>
      <c r="S227" s="38"/>
      <c r="T227" s="38"/>
      <c r="U227" s="958"/>
      <c r="V227" s="38"/>
      <c r="W227" s="38"/>
      <c r="X227" s="38"/>
      <c r="Y227" s="38"/>
      <c r="Z227" s="38"/>
      <c r="AA227" s="575"/>
      <c r="AB227" s="976"/>
      <c r="AC227" s="976"/>
      <c r="AD227" s="976"/>
      <c r="AE227" s="976"/>
      <c r="AF227" s="37">
        <v>11</v>
      </c>
    </row>
    <row r="228" s="37" customFormat="1" ht="11.55" customHeight="1" spans="1:32">
      <c r="A228" s="957"/>
      <c r="B228" s="44"/>
      <c r="C228" s="44"/>
      <c r="K228" s="38"/>
      <c r="L228" s="44"/>
      <c r="M228" s="44"/>
      <c r="N228" s="38"/>
      <c r="O228" s="38"/>
      <c r="P228" s="38"/>
      <c r="Q228" s="38"/>
      <c r="R228" s="44"/>
      <c r="S228" s="38"/>
      <c r="T228" s="38"/>
      <c r="U228" s="958"/>
      <c r="V228" s="38"/>
      <c r="W228" s="38"/>
      <c r="X228" s="38"/>
      <c r="Y228" s="38"/>
      <c r="Z228" s="38"/>
      <c r="AA228" s="575"/>
      <c r="AB228" s="976"/>
      <c r="AC228" s="976"/>
      <c r="AD228" s="976"/>
      <c r="AE228" s="976"/>
      <c r="AF228" s="37">
        <v>11</v>
      </c>
    </row>
    <row r="229" s="37" customFormat="1" ht="11.55" customHeight="1" spans="1:32">
      <c r="A229" s="957"/>
      <c r="B229" s="44"/>
      <c r="C229" s="44"/>
      <c r="K229" s="38"/>
      <c r="L229" s="44"/>
      <c r="M229" s="44"/>
      <c r="N229" s="38"/>
      <c r="O229" s="38"/>
      <c r="P229" s="38"/>
      <c r="Q229" s="38"/>
      <c r="R229" s="44"/>
      <c r="S229" s="38"/>
      <c r="T229" s="38"/>
      <c r="U229" s="958"/>
      <c r="V229" s="38"/>
      <c r="W229" s="38"/>
      <c r="X229" s="38"/>
      <c r="Y229" s="38"/>
      <c r="Z229" s="38"/>
      <c r="AA229" s="575"/>
      <c r="AB229" s="976"/>
      <c r="AC229" s="976"/>
      <c r="AD229" s="976"/>
      <c r="AE229" s="976"/>
      <c r="AF229" s="37">
        <v>11</v>
      </c>
    </row>
    <row r="230" s="37" customFormat="1" ht="11.55" customHeight="1" spans="1:32">
      <c r="A230" s="957"/>
      <c r="B230" s="44"/>
      <c r="C230" s="44"/>
      <c r="K230" s="38"/>
      <c r="L230" s="44"/>
      <c r="M230" s="44"/>
      <c r="N230" s="38"/>
      <c r="O230" s="38"/>
      <c r="P230" s="38"/>
      <c r="Q230" s="38"/>
      <c r="R230" s="44"/>
      <c r="S230" s="38"/>
      <c r="T230" s="38"/>
      <c r="U230" s="958"/>
      <c r="V230" s="38"/>
      <c r="W230" s="38"/>
      <c r="X230" s="38"/>
      <c r="Y230" s="38"/>
      <c r="Z230" s="38"/>
      <c r="AA230" s="575"/>
      <c r="AB230" s="976"/>
      <c r="AC230" s="976"/>
      <c r="AD230" s="976"/>
      <c r="AE230" s="976"/>
      <c r="AF230" s="37">
        <v>11</v>
      </c>
    </row>
    <row r="231" s="37" customFormat="1" ht="11.55" customHeight="1" spans="1:32">
      <c r="A231" s="957"/>
      <c r="B231" s="44"/>
      <c r="C231" s="44"/>
      <c r="K231" s="38"/>
      <c r="L231" s="44"/>
      <c r="M231" s="44"/>
      <c r="N231" s="38"/>
      <c r="O231" s="38"/>
      <c r="P231" s="38"/>
      <c r="Q231" s="38"/>
      <c r="R231" s="44"/>
      <c r="S231" s="38"/>
      <c r="T231" s="38"/>
      <c r="U231" s="958"/>
      <c r="V231" s="38"/>
      <c r="W231" s="38"/>
      <c r="X231" s="38"/>
      <c r="Y231" s="38"/>
      <c r="Z231" s="38"/>
      <c r="AA231" s="575"/>
      <c r="AB231" s="976"/>
      <c r="AC231" s="976"/>
      <c r="AD231" s="976"/>
      <c r="AE231" s="976"/>
      <c r="AF231" s="37">
        <v>11</v>
      </c>
    </row>
    <row r="232" s="37" customFormat="1" ht="11.55" customHeight="1" spans="1:32">
      <c r="A232" s="957"/>
      <c r="B232" s="44"/>
      <c r="C232" s="44"/>
      <c r="K232" s="38"/>
      <c r="L232" s="44"/>
      <c r="M232" s="44"/>
      <c r="N232" s="38"/>
      <c r="O232" s="38"/>
      <c r="P232" s="38"/>
      <c r="Q232" s="38"/>
      <c r="R232" s="44"/>
      <c r="S232" s="38"/>
      <c r="T232" s="38"/>
      <c r="U232" s="958"/>
      <c r="V232" s="38"/>
      <c r="W232" s="38"/>
      <c r="X232" s="38"/>
      <c r="Y232" s="38"/>
      <c r="Z232" s="38"/>
      <c r="AA232" s="575"/>
      <c r="AB232" s="976"/>
      <c r="AC232" s="976"/>
      <c r="AD232" s="976"/>
      <c r="AE232" s="976"/>
      <c r="AF232" s="37">
        <v>11</v>
      </c>
    </row>
    <row r="233" s="37" customFormat="1" ht="11.55" customHeight="1" spans="1:32">
      <c r="A233" s="957"/>
      <c r="B233" s="44"/>
      <c r="C233" s="44"/>
      <c r="K233" s="38"/>
      <c r="L233" s="44"/>
      <c r="M233" s="44"/>
      <c r="N233" s="38"/>
      <c r="O233" s="38"/>
      <c r="P233" s="38"/>
      <c r="Q233" s="38"/>
      <c r="R233" s="44"/>
      <c r="S233" s="38"/>
      <c r="T233" s="38"/>
      <c r="U233" s="958"/>
      <c r="V233" s="38"/>
      <c r="W233" s="38"/>
      <c r="X233" s="38"/>
      <c r="Y233" s="38"/>
      <c r="Z233" s="38"/>
      <c r="AA233" s="575"/>
      <c r="AB233" s="976"/>
      <c r="AC233" s="976"/>
      <c r="AD233" s="976"/>
      <c r="AE233" s="976"/>
      <c r="AF233" s="37">
        <v>11</v>
      </c>
    </row>
    <row r="234" s="37" customFormat="1" ht="11.55" customHeight="1" spans="1:32">
      <c r="A234" s="957"/>
      <c r="B234" s="44"/>
      <c r="C234" s="44"/>
      <c r="K234" s="38"/>
      <c r="L234" s="44"/>
      <c r="M234" s="44"/>
      <c r="N234" s="38"/>
      <c r="O234" s="38"/>
      <c r="P234" s="38"/>
      <c r="Q234" s="38"/>
      <c r="R234" s="44"/>
      <c r="S234" s="38"/>
      <c r="T234" s="38"/>
      <c r="U234" s="958"/>
      <c r="V234" s="38"/>
      <c r="W234" s="38"/>
      <c r="X234" s="38"/>
      <c r="Y234" s="38"/>
      <c r="Z234" s="38"/>
      <c r="AA234" s="575"/>
      <c r="AB234" s="976"/>
      <c r="AC234" s="976"/>
      <c r="AD234" s="976"/>
      <c r="AE234" s="976"/>
      <c r="AF234" s="37">
        <v>11</v>
      </c>
    </row>
    <row r="235" s="37" customFormat="1" ht="11.55" customHeight="1" spans="1:32">
      <c r="A235" s="957"/>
      <c r="B235" s="44"/>
      <c r="C235" s="44"/>
      <c r="K235" s="38"/>
      <c r="L235" s="44"/>
      <c r="M235" s="44"/>
      <c r="N235" s="38"/>
      <c r="O235" s="38"/>
      <c r="P235" s="38"/>
      <c r="Q235" s="38"/>
      <c r="R235" s="44"/>
      <c r="S235" s="38"/>
      <c r="T235" s="38"/>
      <c r="U235" s="958"/>
      <c r="V235" s="38"/>
      <c r="W235" s="38"/>
      <c r="X235" s="38"/>
      <c r="Y235" s="38"/>
      <c r="Z235" s="38"/>
      <c r="AA235" s="575"/>
      <c r="AB235" s="976"/>
      <c r="AC235" s="976"/>
      <c r="AD235" s="976"/>
      <c r="AE235" s="976"/>
      <c r="AF235" s="37">
        <v>11</v>
      </c>
    </row>
    <row r="236" s="37" customFormat="1" ht="11.55" customHeight="1" spans="1:32">
      <c r="A236" s="957"/>
      <c r="B236" s="44"/>
      <c r="C236" s="44"/>
      <c r="K236" s="38"/>
      <c r="L236" s="44"/>
      <c r="M236" s="44"/>
      <c r="N236" s="38"/>
      <c r="O236" s="38"/>
      <c r="P236" s="38"/>
      <c r="Q236" s="38"/>
      <c r="R236" s="44"/>
      <c r="S236" s="38"/>
      <c r="T236" s="38"/>
      <c r="U236" s="958"/>
      <c r="V236" s="38"/>
      <c r="W236" s="38"/>
      <c r="X236" s="38"/>
      <c r="Y236" s="38"/>
      <c r="Z236" s="38"/>
      <c r="AA236" s="575"/>
      <c r="AB236" s="976"/>
      <c r="AC236" s="976"/>
      <c r="AD236" s="976"/>
      <c r="AE236" s="976"/>
      <c r="AF236" s="37">
        <v>11</v>
      </c>
    </row>
    <row r="237" s="37" customFormat="1" ht="11.55" customHeight="1" spans="1:32">
      <c r="A237" s="957"/>
      <c r="B237" s="44"/>
      <c r="C237" s="44"/>
      <c r="K237" s="38"/>
      <c r="L237" s="44"/>
      <c r="M237" s="44"/>
      <c r="N237" s="38"/>
      <c r="O237" s="38"/>
      <c r="P237" s="38"/>
      <c r="Q237" s="38"/>
      <c r="R237" s="44"/>
      <c r="S237" s="38"/>
      <c r="T237" s="38"/>
      <c r="U237" s="958"/>
      <c r="V237" s="38"/>
      <c r="W237" s="38"/>
      <c r="X237" s="38"/>
      <c r="Y237" s="38"/>
      <c r="Z237" s="38"/>
      <c r="AA237" s="575"/>
      <c r="AB237" s="976"/>
      <c r="AC237" s="976"/>
      <c r="AD237" s="976"/>
      <c r="AE237" s="976"/>
      <c r="AF237" s="37">
        <v>11</v>
      </c>
    </row>
    <row r="238" s="37" customFormat="1" ht="11.55" customHeight="1" spans="1:32">
      <c r="A238" s="957"/>
      <c r="B238" s="44"/>
      <c r="C238" s="44"/>
      <c r="K238" s="38"/>
      <c r="L238" s="44"/>
      <c r="M238" s="44"/>
      <c r="N238" s="38"/>
      <c r="O238" s="38"/>
      <c r="P238" s="38"/>
      <c r="Q238" s="38"/>
      <c r="R238" s="44"/>
      <c r="S238" s="38"/>
      <c r="T238" s="38"/>
      <c r="U238" s="958"/>
      <c r="V238" s="38"/>
      <c r="W238" s="38"/>
      <c r="X238" s="38"/>
      <c r="Y238" s="38"/>
      <c r="Z238" s="38"/>
      <c r="AA238" s="575"/>
      <c r="AB238" s="976"/>
      <c r="AC238" s="976"/>
      <c r="AD238" s="976"/>
      <c r="AE238" s="976"/>
      <c r="AF238" s="37">
        <v>11</v>
      </c>
    </row>
    <row r="239" s="37" customFormat="1" ht="11.55" customHeight="1" spans="1:32">
      <c r="A239" s="957"/>
      <c r="B239" s="44"/>
      <c r="C239" s="44"/>
      <c r="K239" s="38"/>
      <c r="L239" s="44"/>
      <c r="M239" s="44"/>
      <c r="N239" s="38"/>
      <c r="O239" s="38"/>
      <c r="P239" s="38"/>
      <c r="Q239" s="38"/>
      <c r="R239" s="44"/>
      <c r="S239" s="38"/>
      <c r="T239" s="38"/>
      <c r="U239" s="958"/>
      <c r="V239" s="38"/>
      <c r="W239" s="38"/>
      <c r="X239" s="38"/>
      <c r="Y239" s="38"/>
      <c r="Z239" s="38"/>
      <c r="AA239" s="575"/>
      <c r="AB239" s="976"/>
      <c r="AC239" s="976"/>
      <c r="AD239" s="976"/>
      <c r="AE239" s="976"/>
      <c r="AF239" s="37">
        <v>11</v>
      </c>
    </row>
    <row r="240" s="37" customFormat="1" ht="11.55" customHeight="1" spans="1:32">
      <c r="A240" s="957"/>
      <c r="B240" s="44"/>
      <c r="C240" s="44"/>
      <c r="K240" s="38"/>
      <c r="L240" s="44"/>
      <c r="M240" s="44"/>
      <c r="N240" s="38"/>
      <c r="O240" s="38"/>
      <c r="P240" s="38"/>
      <c r="Q240" s="38"/>
      <c r="R240" s="44"/>
      <c r="S240" s="38"/>
      <c r="T240" s="38"/>
      <c r="U240" s="958"/>
      <c r="V240" s="38"/>
      <c r="W240" s="38"/>
      <c r="X240" s="38"/>
      <c r="Y240" s="38"/>
      <c r="Z240" s="38"/>
      <c r="AA240" s="575"/>
      <c r="AB240" s="976"/>
      <c r="AC240" s="976"/>
      <c r="AD240" s="976"/>
      <c r="AE240" s="976"/>
      <c r="AF240" s="37">
        <v>11</v>
      </c>
    </row>
    <row r="241" s="37" customFormat="1" ht="11.55" customHeight="1" spans="1:32">
      <c r="A241" s="957"/>
      <c r="B241" s="44"/>
      <c r="C241" s="44"/>
      <c r="K241" s="38"/>
      <c r="L241" s="44"/>
      <c r="M241" s="44"/>
      <c r="N241" s="38"/>
      <c r="O241" s="38"/>
      <c r="P241" s="38"/>
      <c r="Q241" s="38"/>
      <c r="R241" s="44"/>
      <c r="S241" s="38"/>
      <c r="T241" s="38"/>
      <c r="U241" s="958"/>
      <c r="V241" s="38"/>
      <c r="W241" s="38"/>
      <c r="X241" s="38"/>
      <c r="Y241" s="38"/>
      <c r="Z241" s="38"/>
      <c r="AA241" s="575"/>
      <c r="AB241" s="976"/>
      <c r="AC241" s="976"/>
      <c r="AD241" s="976"/>
      <c r="AE241" s="976"/>
      <c r="AF241" s="37">
        <v>11</v>
      </c>
    </row>
    <row r="242" s="37" customFormat="1" ht="11.55" customHeight="1" spans="1:32">
      <c r="A242" s="957"/>
      <c r="B242" s="44"/>
      <c r="C242" s="44"/>
      <c r="K242" s="38"/>
      <c r="L242" s="44"/>
      <c r="M242" s="44"/>
      <c r="N242" s="38"/>
      <c r="O242" s="38"/>
      <c r="P242" s="38"/>
      <c r="Q242" s="38"/>
      <c r="R242" s="44"/>
      <c r="S242" s="38"/>
      <c r="T242" s="38"/>
      <c r="U242" s="958"/>
      <c r="V242" s="38"/>
      <c r="W242" s="38"/>
      <c r="X242" s="38"/>
      <c r="Y242" s="38"/>
      <c r="Z242" s="38"/>
      <c r="AA242" s="575"/>
      <c r="AB242" s="976"/>
      <c r="AC242" s="976"/>
      <c r="AD242" s="976"/>
      <c r="AE242" s="976"/>
      <c r="AF242" s="37">
        <v>11</v>
      </c>
    </row>
    <row r="243" s="37" customFormat="1" ht="11.55" customHeight="1" spans="1:32">
      <c r="A243" s="957"/>
      <c r="B243" s="44"/>
      <c r="C243" s="44"/>
      <c r="K243" s="38"/>
      <c r="L243" s="44"/>
      <c r="M243" s="44"/>
      <c r="N243" s="38"/>
      <c r="O243" s="38"/>
      <c r="P243" s="38"/>
      <c r="Q243" s="38"/>
      <c r="R243" s="44"/>
      <c r="S243" s="38"/>
      <c r="T243" s="38"/>
      <c r="U243" s="958"/>
      <c r="V243" s="38"/>
      <c r="W243" s="38"/>
      <c r="X243" s="38"/>
      <c r="Y243" s="38"/>
      <c r="Z243" s="38"/>
      <c r="AA243" s="575"/>
      <c r="AB243" s="976"/>
      <c r="AC243" s="976"/>
      <c r="AD243" s="976"/>
      <c r="AE243" s="976"/>
      <c r="AF243" s="37">
        <v>11</v>
      </c>
    </row>
    <row r="244" s="37" customFormat="1" ht="11.55" customHeight="1" spans="1:32">
      <c r="A244" s="957"/>
      <c r="B244" s="44"/>
      <c r="C244" s="44"/>
      <c r="K244" s="38"/>
      <c r="L244" s="44"/>
      <c r="M244" s="44"/>
      <c r="N244" s="38"/>
      <c r="O244" s="38"/>
      <c r="P244" s="38"/>
      <c r="Q244" s="38"/>
      <c r="R244" s="44"/>
      <c r="S244" s="38"/>
      <c r="T244" s="38"/>
      <c r="U244" s="958"/>
      <c r="V244" s="38"/>
      <c r="W244" s="38"/>
      <c r="X244" s="38"/>
      <c r="Y244" s="38"/>
      <c r="Z244" s="38"/>
      <c r="AA244" s="575"/>
      <c r="AB244" s="976"/>
      <c r="AC244" s="976"/>
      <c r="AD244" s="976"/>
      <c r="AE244" s="976"/>
      <c r="AF244" s="37">
        <v>11</v>
      </c>
    </row>
    <row r="245" s="37" customFormat="1" ht="11.55" customHeight="1" spans="1:32">
      <c r="A245" s="957"/>
      <c r="B245" s="44"/>
      <c r="C245" s="44"/>
      <c r="K245" s="38"/>
      <c r="L245" s="44"/>
      <c r="M245" s="44"/>
      <c r="N245" s="38"/>
      <c r="O245" s="38"/>
      <c r="P245" s="38"/>
      <c r="Q245" s="38"/>
      <c r="R245" s="44"/>
      <c r="S245" s="38"/>
      <c r="T245" s="38"/>
      <c r="U245" s="958"/>
      <c r="V245" s="38"/>
      <c r="W245" s="38"/>
      <c r="X245" s="38"/>
      <c r="Y245" s="38"/>
      <c r="Z245" s="38"/>
      <c r="AA245" s="575"/>
      <c r="AB245" s="976"/>
      <c r="AC245" s="976"/>
      <c r="AD245" s="976"/>
      <c r="AE245" s="976"/>
      <c r="AF245" s="37">
        <v>11</v>
      </c>
    </row>
    <row r="246" s="37" customFormat="1" ht="11.55" customHeight="1" spans="1:32">
      <c r="A246" s="957"/>
      <c r="B246" s="44"/>
      <c r="C246" s="44"/>
      <c r="K246" s="38"/>
      <c r="L246" s="44"/>
      <c r="M246" s="44"/>
      <c r="N246" s="38"/>
      <c r="O246" s="38"/>
      <c r="P246" s="38"/>
      <c r="Q246" s="38"/>
      <c r="R246" s="44"/>
      <c r="S246" s="38"/>
      <c r="T246" s="38"/>
      <c r="U246" s="958"/>
      <c r="V246" s="38"/>
      <c r="W246" s="38"/>
      <c r="X246" s="38"/>
      <c r="Y246" s="38"/>
      <c r="Z246" s="38"/>
      <c r="AA246" s="575"/>
      <c r="AB246" s="976"/>
      <c r="AC246" s="976"/>
      <c r="AD246" s="976"/>
      <c r="AE246" s="976"/>
      <c r="AF246" s="37">
        <v>11</v>
      </c>
    </row>
    <row r="247" s="37" customFormat="1" ht="11.55" customHeight="1" spans="1:32">
      <c r="A247" s="957"/>
      <c r="B247" s="44"/>
      <c r="C247" s="44"/>
      <c r="K247" s="38"/>
      <c r="L247" s="44"/>
      <c r="M247" s="44"/>
      <c r="N247" s="38"/>
      <c r="O247" s="38"/>
      <c r="P247" s="38"/>
      <c r="Q247" s="38"/>
      <c r="R247" s="44"/>
      <c r="S247" s="38"/>
      <c r="T247" s="38"/>
      <c r="U247" s="958"/>
      <c r="V247" s="38"/>
      <c r="W247" s="38"/>
      <c r="X247" s="38"/>
      <c r="Y247" s="38"/>
      <c r="Z247" s="38"/>
      <c r="AA247" s="575"/>
      <c r="AB247" s="976"/>
      <c r="AC247" s="976"/>
      <c r="AD247" s="976"/>
      <c r="AE247" s="976"/>
      <c r="AF247" s="37">
        <v>11</v>
      </c>
    </row>
    <row r="248" s="37" customFormat="1" ht="11.55" customHeight="1" spans="1:32">
      <c r="A248" s="957"/>
      <c r="B248" s="44"/>
      <c r="C248" s="44"/>
      <c r="K248" s="38"/>
      <c r="L248" s="44"/>
      <c r="M248" s="44"/>
      <c r="N248" s="38"/>
      <c r="O248" s="38"/>
      <c r="P248" s="38"/>
      <c r="Q248" s="38"/>
      <c r="R248" s="44"/>
      <c r="S248" s="38"/>
      <c r="T248" s="38"/>
      <c r="U248" s="958"/>
      <c r="V248" s="38"/>
      <c r="W248" s="38"/>
      <c r="X248" s="38"/>
      <c r="Y248" s="38"/>
      <c r="Z248" s="38"/>
      <c r="AA248" s="575"/>
      <c r="AB248" s="976"/>
      <c r="AC248" s="976"/>
      <c r="AD248" s="976"/>
      <c r="AE248" s="976"/>
      <c r="AF248" s="37">
        <v>11</v>
      </c>
    </row>
    <row r="249" s="37" customFormat="1" ht="11.55" customHeight="1" spans="1:32">
      <c r="A249" s="957"/>
      <c r="B249" s="44"/>
      <c r="C249" s="44"/>
      <c r="K249" s="38"/>
      <c r="L249" s="44"/>
      <c r="M249" s="44"/>
      <c r="N249" s="38"/>
      <c r="O249" s="38"/>
      <c r="P249" s="38"/>
      <c r="Q249" s="38"/>
      <c r="R249" s="44"/>
      <c r="S249" s="38"/>
      <c r="T249" s="38"/>
      <c r="U249" s="958"/>
      <c r="V249" s="38"/>
      <c r="W249" s="38"/>
      <c r="X249" s="38"/>
      <c r="Y249" s="38"/>
      <c r="Z249" s="38"/>
      <c r="AA249" s="575"/>
      <c r="AB249" s="976"/>
      <c r="AC249" s="976"/>
      <c r="AD249" s="976"/>
      <c r="AE249" s="976"/>
      <c r="AF249" s="37">
        <v>11</v>
      </c>
    </row>
    <row r="250" s="37" customFormat="1" ht="11.55" customHeight="1" spans="1:32">
      <c r="A250" s="957"/>
      <c r="B250" s="44"/>
      <c r="C250" s="44"/>
      <c r="K250" s="38"/>
      <c r="L250" s="44"/>
      <c r="M250" s="44"/>
      <c r="N250" s="38"/>
      <c r="O250" s="38"/>
      <c r="P250" s="38"/>
      <c r="Q250" s="38"/>
      <c r="R250" s="44"/>
      <c r="S250" s="38"/>
      <c r="T250" s="38"/>
      <c r="U250" s="958"/>
      <c r="V250" s="38"/>
      <c r="W250" s="38"/>
      <c r="X250" s="38"/>
      <c r="Y250" s="38"/>
      <c r="Z250" s="38"/>
      <c r="AA250" s="575"/>
      <c r="AB250" s="976"/>
      <c r="AC250" s="976"/>
      <c r="AD250" s="976"/>
      <c r="AE250" s="976"/>
      <c r="AF250" s="37">
        <v>11</v>
      </c>
    </row>
    <row r="251" s="37" customFormat="1" ht="11.55" customHeight="1" spans="1:32">
      <c r="A251" s="957"/>
      <c r="B251" s="44"/>
      <c r="C251" s="44"/>
      <c r="K251" s="38"/>
      <c r="L251" s="44"/>
      <c r="M251" s="44"/>
      <c r="N251" s="38"/>
      <c r="O251" s="38"/>
      <c r="P251" s="38"/>
      <c r="Q251" s="38"/>
      <c r="R251" s="44"/>
      <c r="S251" s="38"/>
      <c r="T251" s="38"/>
      <c r="U251" s="958"/>
      <c r="V251" s="38"/>
      <c r="W251" s="38"/>
      <c r="X251" s="38"/>
      <c r="Y251" s="38"/>
      <c r="Z251" s="38"/>
      <c r="AA251" s="575"/>
      <c r="AB251" s="976"/>
      <c r="AC251" s="976"/>
      <c r="AD251" s="976"/>
      <c r="AE251" s="976"/>
      <c r="AF251" s="37">
        <v>11</v>
      </c>
    </row>
    <row r="252" s="37" customFormat="1" ht="11.55" customHeight="1" spans="1:32">
      <c r="A252" s="957"/>
      <c r="B252" s="44"/>
      <c r="C252" s="44"/>
      <c r="K252" s="38"/>
      <c r="L252" s="44"/>
      <c r="M252" s="44"/>
      <c r="N252" s="38"/>
      <c r="O252" s="38"/>
      <c r="P252" s="38"/>
      <c r="Q252" s="38"/>
      <c r="R252" s="44"/>
      <c r="S252" s="38"/>
      <c r="T252" s="38"/>
      <c r="U252" s="958"/>
      <c r="V252" s="38"/>
      <c r="W252" s="38"/>
      <c r="X252" s="38"/>
      <c r="Y252" s="38"/>
      <c r="Z252" s="38"/>
      <c r="AA252" s="575"/>
      <c r="AB252" s="976"/>
      <c r="AC252" s="976"/>
      <c r="AD252" s="976"/>
      <c r="AE252" s="976"/>
      <c r="AF252" s="37">
        <v>11</v>
      </c>
    </row>
    <row r="253" s="37" customFormat="1" ht="11.55" customHeight="1" spans="1:32">
      <c r="A253" s="957"/>
      <c r="B253" s="44"/>
      <c r="C253" s="44"/>
      <c r="K253" s="38"/>
      <c r="L253" s="44"/>
      <c r="M253" s="44"/>
      <c r="N253" s="38"/>
      <c r="O253" s="38"/>
      <c r="P253" s="38"/>
      <c r="Q253" s="38"/>
      <c r="R253" s="44"/>
      <c r="S253" s="38"/>
      <c r="T253" s="38"/>
      <c r="U253" s="958"/>
      <c r="V253" s="38"/>
      <c r="W253" s="38"/>
      <c r="X253" s="38"/>
      <c r="Y253" s="38"/>
      <c r="Z253" s="38"/>
      <c r="AA253" s="575"/>
      <c r="AB253" s="976"/>
      <c r="AC253" s="976"/>
      <c r="AD253" s="976"/>
      <c r="AE253" s="976"/>
      <c r="AF253" s="37">
        <v>11</v>
      </c>
    </row>
    <row r="254" s="37" customFormat="1" ht="11.55" customHeight="1" spans="1:32">
      <c r="A254" s="957"/>
      <c r="B254" s="44"/>
      <c r="C254" s="44"/>
      <c r="K254" s="38"/>
      <c r="L254" s="44"/>
      <c r="M254" s="44"/>
      <c r="N254" s="38"/>
      <c r="O254" s="38"/>
      <c r="P254" s="38"/>
      <c r="Q254" s="38"/>
      <c r="R254" s="44"/>
      <c r="S254" s="38"/>
      <c r="T254" s="38"/>
      <c r="U254" s="958"/>
      <c r="V254" s="38"/>
      <c r="W254" s="38"/>
      <c r="X254" s="38"/>
      <c r="Y254" s="38"/>
      <c r="Z254" s="38"/>
      <c r="AA254" s="575"/>
      <c r="AB254" s="976"/>
      <c r="AC254" s="976"/>
      <c r="AD254" s="976"/>
      <c r="AE254" s="976"/>
      <c r="AF254" s="37">
        <v>11</v>
      </c>
    </row>
    <row r="255" s="37" customFormat="1" ht="11.55" customHeight="1" spans="1:32">
      <c r="A255" s="957"/>
      <c r="B255" s="44"/>
      <c r="C255" s="44"/>
      <c r="K255" s="38"/>
      <c r="L255" s="44"/>
      <c r="M255" s="44"/>
      <c r="N255" s="38"/>
      <c r="O255" s="38"/>
      <c r="P255" s="38"/>
      <c r="Q255" s="38"/>
      <c r="R255" s="44"/>
      <c r="S255" s="38"/>
      <c r="T255" s="38"/>
      <c r="U255" s="958"/>
      <c r="V255" s="38"/>
      <c r="W255" s="38"/>
      <c r="X255" s="38"/>
      <c r="Y255" s="38"/>
      <c r="Z255" s="38"/>
      <c r="AA255" s="575"/>
      <c r="AB255" s="976"/>
      <c r="AC255" s="976"/>
      <c r="AD255" s="976"/>
      <c r="AE255" s="976"/>
      <c r="AF255" s="37">
        <v>11</v>
      </c>
    </row>
    <row r="256" s="37" customFormat="1" ht="11.55" customHeight="1" spans="1:32">
      <c r="A256" s="957"/>
      <c r="B256" s="44"/>
      <c r="C256" s="44"/>
      <c r="K256" s="38"/>
      <c r="L256" s="44"/>
      <c r="M256" s="44"/>
      <c r="N256" s="38"/>
      <c r="O256" s="38"/>
      <c r="P256" s="38"/>
      <c r="Q256" s="38"/>
      <c r="R256" s="44"/>
      <c r="S256" s="38"/>
      <c r="T256" s="38"/>
      <c r="U256" s="958"/>
      <c r="V256" s="38"/>
      <c r="W256" s="38"/>
      <c r="X256" s="38"/>
      <c r="Y256" s="38"/>
      <c r="Z256" s="38"/>
      <c r="AA256" s="575"/>
      <c r="AB256" s="976"/>
      <c r="AC256" s="976"/>
      <c r="AD256" s="976"/>
      <c r="AE256" s="976"/>
      <c r="AF256" s="37">
        <v>11</v>
      </c>
    </row>
    <row r="257" s="37" customFormat="1" ht="11.55" customHeight="1" spans="1:32">
      <c r="A257" s="957"/>
      <c r="B257" s="44"/>
      <c r="C257" s="44"/>
      <c r="K257" s="38"/>
      <c r="L257" s="44"/>
      <c r="M257" s="44"/>
      <c r="N257" s="38"/>
      <c r="O257" s="38"/>
      <c r="P257" s="38"/>
      <c r="Q257" s="38"/>
      <c r="R257" s="44"/>
      <c r="S257" s="38"/>
      <c r="T257" s="38"/>
      <c r="U257" s="958"/>
      <c r="V257" s="38"/>
      <c r="W257" s="38"/>
      <c r="X257" s="38"/>
      <c r="Y257" s="38"/>
      <c r="Z257" s="38"/>
      <c r="AA257" s="575"/>
      <c r="AB257" s="976"/>
      <c r="AC257" s="976"/>
      <c r="AD257" s="976"/>
      <c r="AE257" s="976"/>
      <c r="AF257" s="37">
        <v>11</v>
      </c>
    </row>
    <row r="258" s="37" customFormat="1" ht="11.55" customHeight="1" spans="1:32">
      <c r="A258" s="957"/>
      <c r="B258" s="44"/>
      <c r="C258" s="44"/>
      <c r="K258" s="38"/>
      <c r="L258" s="44"/>
      <c r="M258" s="44"/>
      <c r="N258" s="38"/>
      <c r="O258" s="38"/>
      <c r="P258" s="38"/>
      <c r="Q258" s="38"/>
      <c r="R258" s="44"/>
      <c r="S258" s="38"/>
      <c r="T258" s="38"/>
      <c r="U258" s="958"/>
      <c r="V258" s="38"/>
      <c r="W258" s="38"/>
      <c r="X258" s="38"/>
      <c r="Y258" s="38"/>
      <c r="Z258" s="38"/>
      <c r="AA258" s="575"/>
      <c r="AB258" s="976"/>
      <c r="AC258" s="976"/>
      <c r="AD258" s="976"/>
      <c r="AE258" s="976"/>
      <c r="AF258" s="37">
        <v>11</v>
      </c>
    </row>
    <row r="259" s="37" customFormat="1" ht="11.55" customHeight="1" spans="1:32">
      <c r="A259" s="957"/>
      <c r="B259" s="44"/>
      <c r="C259" s="44"/>
      <c r="K259" s="38"/>
      <c r="L259" s="44"/>
      <c r="M259" s="44"/>
      <c r="N259" s="38"/>
      <c r="O259" s="38"/>
      <c r="P259" s="38"/>
      <c r="Q259" s="38"/>
      <c r="R259" s="44"/>
      <c r="S259" s="38"/>
      <c r="T259" s="38"/>
      <c r="U259" s="958"/>
      <c r="V259" s="38"/>
      <c r="W259" s="38"/>
      <c r="X259" s="38"/>
      <c r="Y259" s="38"/>
      <c r="Z259" s="38"/>
      <c r="AA259" s="575"/>
      <c r="AB259" s="976"/>
      <c r="AC259" s="976"/>
      <c r="AD259" s="976"/>
      <c r="AE259" s="976"/>
      <c r="AF259" s="37">
        <v>11</v>
      </c>
    </row>
    <row r="260" s="37" customFormat="1" ht="11.55" customHeight="1" spans="1:32">
      <c r="A260" s="957"/>
      <c r="B260" s="44"/>
      <c r="C260" s="44"/>
      <c r="K260" s="38"/>
      <c r="L260" s="44"/>
      <c r="M260" s="44"/>
      <c r="N260" s="38"/>
      <c r="O260" s="38"/>
      <c r="P260" s="38"/>
      <c r="Q260" s="38"/>
      <c r="R260" s="44"/>
      <c r="S260" s="38"/>
      <c r="T260" s="38"/>
      <c r="U260" s="958"/>
      <c r="V260" s="38"/>
      <c r="W260" s="38"/>
      <c r="X260" s="38"/>
      <c r="Y260" s="38"/>
      <c r="Z260" s="38"/>
      <c r="AA260" s="575"/>
      <c r="AB260" s="976"/>
      <c r="AC260" s="976"/>
      <c r="AD260" s="976"/>
      <c r="AE260" s="976"/>
      <c r="AF260" s="37">
        <v>11</v>
      </c>
    </row>
    <row r="261" s="37" customFormat="1" ht="11.55" customHeight="1" spans="1:32">
      <c r="A261" s="957"/>
      <c r="B261" s="44"/>
      <c r="C261" s="44"/>
      <c r="K261" s="38"/>
      <c r="L261" s="44"/>
      <c r="M261" s="44"/>
      <c r="N261" s="38"/>
      <c r="O261" s="38"/>
      <c r="P261" s="38"/>
      <c r="Q261" s="38"/>
      <c r="R261" s="44"/>
      <c r="S261" s="38"/>
      <c r="T261" s="38"/>
      <c r="U261" s="958"/>
      <c r="V261" s="38"/>
      <c r="W261" s="38"/>
      <c r="X261" s="38"/>
      <c r="Y261" s="38"/>
      <c r="Z261" s="38"/>
      <c r="AA261" s="575"/>
      <c r="AB261" s="976"/>
      <c r="AC261" s="976"/>
      <c r="AD261" s="976"/>
      <c r="AE261" s="976"/>
      <c r="AF261" s="37">
        <v>11</v>
      </c>
    </row>
    <row r="262" s="37" customFormat="1" ht="11.55" customHeight="1" spans="1:32">
      <c r="A262" s="957"/>
      <c r="B262" s="44"/>
      <c r="C262" s="44"/>
      <c r="K262" s="38"/>
      <c r="L262" s="44"/>
      <c r="M262" s="44"/>
      <c r="N262" s="38"/>
      <c r="O262" s="38"/>
      <c r="P262" s="38"/>
      <c r="Q262" s="38"/>
      <c r="R262" s="44"/>
      <c r="S262" s="38"/>
      <c r="T262" s="38"/>
      <c r="U262" s="958"/>
      <c r="V262" s="38"/>
      <c r="W262" s="38"/>
      <c r="X262" s="38"/>
      <c r="Y262" s="38"/>
      <c r="Z262" s="38"/>
      <c r="AA262" s="575"/>
      <c r="AB262" s="976"/>
      <c r="AC262" s="976"/>
      <c r="AD262" s="976"/>
      <c r="AE262" s="976"/>
      <c r="AF262" s="37">
        <v>11</v>
      </c>
    </row>
    <row r="263" s="37" customFormat="1" ht="11.55" customHeight="1" spans="1:32">
      <c r="A263" s="957"/>
      <c r="B263" s="44"/>
      <c r="C263" s="44"/>
      <c r="K263" s="38"/>
      <c r="L263" s="44"/>
      <c r="M263" s="44"/>
      <c r="N263" s="38"/>
      <c r="O263" s="38"/>
      <c r="P263" s="38"/>
      <c r="Q263" s="38"/>
      <c r="R263" s="44"/>
      <c r="S263" s="38"/>
      <c r="T263" s="38"/>
      <c r="U263" s="958"/>
      <c r="V263" s="38"/>
      <c r="W263" s="38"/>
      <c r="X263" s="38"/>
      <c r="Y263" s="38"/>
      <c r="Z263" s="38"/>
      <c r="AA263" s="575"/>
      <c r="AB263" s="976"/>
      <c r="AC263" s="976"/>
      <c r="AD263" s="976"/>
      <c r="AE263" s="976"/>
      <c r="AF263" s="37">
        <v>11</v>
      </c>
    </row>
    <row r="264" s="37" customFormat="1" ht="11.55" customHeight="1" spans="1:32">
      <c r="A264" s="957"/>
      <c r="B264" s="44"/>
      <c r="C264" s="44"/>
      <c r="K264" s="38"/>
      <c r="L264" s="44"/>
      <c r="M264" s="44"/>
      <c r="N264" s="38"/>
      <c r="O264" s="38"/>
      <c r="P264" s="38"/>
      <c r="Q264" s="38"/>
      <c r="R264" s="44"/>
      <c r="S264" s="38"/>
      <c r="T264" s="38"/>
      <c r="U264" s="958"/>
      <c r="V264" s="38"/>
      <c r="W264" s="38"/>
      <c r="X264" s="38"/>
      <c r="Y264" s="38"/>
      <c r="Z264" s="38"/>
      <c r="AA264" s="575"/>
      <c r="AB264" s="976"/>
      <c r="AC264" s="976"/>
      <c r="AD264" s="976"/>
      <c r="AE264" s="976"/>
      <c r="AF264" s="37">
        <v>11</v>
      </c>
    </row>
    <row r="265" s="37" customFormat="1" ht="11.55" customHeight="1" spans="1:32">
      <c r="A265" s="957"/>
      <c r="B265" s="44"/>
      <c r="C265" s="44"/>
      <c r="K265" s="38"/>
      <c r="L265" s="44"/>
      <c r="M265" s="44"/>
      <c r="N265" s="38"/>
      <c r="O265" s="38"/>
      <c r="P265" s="38"/>
      <c r="Q265" s="38"/>
      <c r="R265" s="44"/>
      <c r="S265" s="38"/>
      <c r="T265" s="38"/>
      <c r="U265" s="958"/>
      <c r="V265" s="38"/>
      <c r="W265" s="38"/>
      <c r="X265" s="38"/>
      <c r="Y265" s="38"/>
      <c r="Z265" s="38"/>
      <c r="AA265" s="575"/>
      <c r="AB265" s="976"/>
      <c r="AC265" s="976"/>
      <c r="AD265" s="976"/>
      <c r="AE265" s="976"/>
      <c r="AF265" s="37">
        <v>11</v>
      </c>
    </row>
    <row r="266" s="37" customFormat="1" ht="11.55" customHeight="1" spans="1:32">
      <c r="A266" s="957"/>
      <c r="B266" s="44"/>
      <c r="C266" s="44"/>
      <c r="K266" s="38"/>
      <c r="L266" s="44"/>
      <c r="M266" s="44"/>
      <c r="N266" s="38"/>
      <c r="O266" s="38"/>
      <c r="P266" s="38"/>
      <c r="Q266" s="38"/>
      <c r="R266" s="44"/>
      <c r="S266" s="38"/>
      <c r="T266" s="38"/>
      <c r="U266" s="958"/>
      <c r="V266" s="38"/>
      <c r="W266" s="38"/>
      <c r="X266" s="38"/>
      <c r="Y266" s="38"/>
      <c r="Z266" s="38"/>
      <c r="AA266" s="575"/>
      <c r="AB266" s="976"/>
      <c r="AC266" s="976"/>
      <c r="AD266" s="976"/>
      <c r="AE266" s="976"/>
      <c r="AF266" s="37">
        <v>11</v>
      </c>
    </row>
    <row r="267" s="37" customFormat="1" ht="11.55" customHeight="1" spans="1:32">
      <c r="A267" s="957"/>
      <c r="B267" s="44"/>
      <c r="C267" s="44"/>
      <c r="K267" s="38"/>
      <c r="L267" s="44"/>
      <c r="M267" s="44"/>
      <c r="N267" s="38"/>
      <c r="O267" s="38"/>
      <c r="P267" s="38"/>
      <c r="Q267" s="38"/>
      <c r="R267" s="44"/>
      <c r="S267" s="38"/>
      <c r="T267" s="38"/>
      <c r="U267" s="958"/>
      <c r="V267" s="38"/>
      <c r="W267" s="38"/>
      <c r="X267" s="38"/>
      <c r="Y267" s="38"/>
      <c r="Z267" s="38"/>
      <c r="AA267" s="575"/>
      <c r="AB267" s="976"/>
      <c r="AC267" s="976"/>
      <c r="AD267" s="976"/>
      <c r="AE267" s="976"/>
      <c r="AF267" s="37">
        <v>11</v>
      </c>
    </row>
    <row r="268" s="37" customFormat="1" ht="11.55" customHeight="1" spans="1:32">
      <c r="A268" s="957"/>
      <c r="B268" s="44"/>
      <c r="C268" s="44"/>
      <c r="K268" s="38"/>
      <c r="L268" s="44"/>
      <c r="M268" s="44"/>
      <c r="N268" s="38"/>
      <c r="O268" s="38"/>
      <c r="P268" s="38"/>
      <c r="Q268" s="38"/>
      <c r="R268" s="44"/>
      <c r="S268" s="38"/>
      <c r="T268" s="38"/>
      <c r="U268" s="958"/>
      <c r="V268" s="38"/>
      <c r="W268" s="38"/>
      <c r="X268" s="38"/>
      <c r="Y268" s="38"/>
      <c r="Z268" s="38"/>
      <c r="AA268" s="575"/>
      <c r="AB268" s="976"/>
      <c r="AC268" s="976"/>
      <c r="AD268" s="976"/>
      <c r="AE268" s="976"/>
      <c r="AF268" s="37">
        <v>11</v>
      </c>
    </row>
    <row r="269" s="37" customFormat="1" ht="11.55" customHeight="1" spans="1:32">
      <c r="A269" s="957"/>
      <c r="B269" s="44"/>
      <c r="C269" s="44"/>
      <c r="K269" s="38"/>
      <c r="L269" s="44"/>
      <c r="M269" s="44"/>
      <c r="N269" s="38"/>
      <c r="O269" s="38"/>
      <c r="P269" s="38"/>
      <c r="Q269" s="38"/>
      <c r="R269" s="44"/>
      <c r="S269" s="38"/>
      <c r="T269" s="38"/>
      <c r="U269" s="958"/>
      <c r="V269" s="38"/>
      <c r="W269" s="38"/>
      <c r="X269" s="38"/>
      <c r="Y269" s="38"/>
      <c r="Z269" s="38"/>
      <c r="AA269" s="575"/>
      <c r="AB269" s="976"/>
      <c r="AC269" s="976"/>
      <c r="AD269" s="976"/>
      <c r="AE269" s="976"/>
      <c r="AF269" s="37">
        <v>11</v>
      </c>
    </row>
    <row r="270" s="37" customFormat="1" ht="11.55" customHeight="1" spans="1:32">
      <c r="A270" s="957"/>
      <c r="B270" s="44"/>
      <c r="C270" s="44"/>
      <c r="K270" s="38"/>
      <c r="L270" s="44"/>
      <c r="M270" s="44"/>
      <c r="N270" s="38"/>
      <c r="O270" s="38"/>
      <c r="P270" s="38"/>
      <c r="Q270" s="38"/>
      <c r="R270" s="44"/>
      <c r="S270" s="38"/>
      <c r="T270" s="38"/>
      <c r="U270" s="958"/>
      <c r="V270" s="38"/>
      <c r="W270" s="38"/>
      <c r="X270" s="38"/>
      <c r="Y270" s="38"/>
      <c r="Z270" s="38"/>
      <c r="AA270" s="575"/>
      <c r="AB270" s="976"/>
      <c r="AC270" s="976"/>
      <c r="AD270" s="976"/>
      <c r="AE270" s="976"/>
      <c r="AF270" s="37">
        <v>11</v>
      </c>
    </row>
    <row r="271" s="37" customFormat="1" ht="11.55" customHeight="1" spans="1:32">
      <c r="A271" s="957"/>
      <c r="B271" s="44"/>
      <c r="C271" s="44"/>
      <c r="K271" s="38"/>
      <c r="L271" s="44"/>
      <c r="M271" s="44"/>
      <c r="N271" s="38"/>
      <c r="O271" s="38"/>
      <c r="P271" s="38"/>
      <c r="Q271" s="38"/>
      <c r="R271" s="44"/>
      <c r="S271" s="38"/>
      <c r="T271" s="38"/>
      <c r="U271" s="958"/>
      <c r="V271" s="38"/>
      <c r="W271" s="38"/>
      <c r="X271" s="38"/>
      <c r="Y271" s="38"/>
      <c r="Z271" s="38"/>
      <c r="AA271" s="575"/>
      <c r="AB271" s="976"/>
      <c r="AC271" s="976"/>
      <c r="AD271" s="976"/>
      <c r="AE271" s="976"/>
      <c r="AF271" s="37">
        <v>11</v>
      </c>
    </row>
    <row r="272" s="37" customFormat="1" ht="11.55" customHeight="1" spans="1:32">
      <c r="A272" s="957"/>
      <c r="B272" s="44"/>
      <c r="C272" s="44"/>
      <c r="K272" s="38"/>
      <c r="L272" s="44"/>
      <c r="M272" s="44"/>
      <c r="N272" s="38"/>
      <c r="O272" s="38"/>
      <c r="P272" s="38"/>
      <c r="Q272" s="38"/>
      <c r="R272" s="44"/>
      <c r="S272" s="38"/>
      <c r="T272" s="38"/>
      <c r="U272" s="958"/>
      <c r="V272" s="38"/>
      <c r="W272" s="38"/>
      <c r="X272" s="38"/>
      <c r="Y272" s="38"/>
      <c r="Z272" s="38"/>
      <c r="AA272" s="575"/>
      <c r="AB272" s="976"/>
      <c r="AC272" s="976"/>
      <c r="AD272" s="976"/>
      <c r="AE272" s="976"/>
      <c r="AF272" s="37">
        <v>11</v>
      </c>
    </row>
    <row r="273" s="37" customFormat="1" ht="11.55" customHeight="1" spans="1:32">
      <c r="A273" s="957"/>
      <c r="B273" s="44"/>
      <c r="C273" s="44"/>
      <c r="K273" s="38"/>
      <c r="L273" s="44"/>
      <c r="M273" s="44"/>
      <c r="N273" s="38"/>
      <c r="O273" s="38"/>
      <c r="P273" s="38"/>
      <c r="Q273" s="38"/>
      <c r="R273" s="44"/>
      <c r="S273" s="38"/>
      <c r="T273" s="38"/>
      <c r="U273" s="958"/>
      <c r="V273" s="38"/>
      <c r="W273" s="38"/>
      <c r="X273" s="38"/>
      <c r="Y273" s="38"/>
      <c r="Z273" s="38"/>
      <c r="AA273" s="575"/>
      <c r="AB273" s="976"/>
      <c r="AC273" s="976"/>
      <c r="AD273" s="976"/>
      <c r="AE273" s="976"/>
      <c r="AF273" s="37">
        <v>11</v>
      </c>
    </row>
    <row r="274" s="37" customFormat="1" ht="11.55" customHeight="1" spans="1:32">
      <c r="A274" s="957"/>
      <c r="B274" s="44"/>
      <c r="C274" s="44"/>
      <c r="K274" s="38"/>
      <c r="L274" s="44"/>
      <c r="M274" s="44"/>
      <c r="N274" s="38"/>
      <c r="O274" s="38"/>
      <c r="P274" s="38"/>
      <c r="Q274" s="38"/>
      <c r="R274" s="44"/>
      <c r="S274" s="38"/>
      <c r="T274" s="38"/>
      <c r="U274" s="958"/>
      <c r="V274" s="38"/>
      <c r="W274" s="38"/>
      <c r="X274" s="38"/>
      <c r="Y274" s="38"/>
      <c r="Z274" s="38"/>
      <c r="AA274" s="575"/>
      <c r="AB274" s="976"/>
      <c r="AC274" s="976"/>
      <c r="AD274" s="976"/>
      <c r="AE274" s="976"/>
      <c r="AF274" s="37">
        <v>11</v>
      </c>
    </row>
    <row r="275" s="37" customFormat="1" ht="11.55" customHeight="1" spans="1:32">
      <c r="A275" s="957"/>
      <c r="B275" s="44"/>
      <c r="C275" s="44"/>
      <c r="K275" s="38"/>
      <c r="L275" s="44"/>
      <c r="M275" s="44"/>
      <c r="N275" s="38"/>
      <c r="O275" s="38"/>
      <c r="P275" s="38"/>
      <c r="Q275" s="38"/>
      <c r="R275" s="44"/>
      <c r="S275" s="38"/>
      <c r="T275" s="38"/>
      <c r="U275" s="958"/>
      <c r="V275" s="38"/>
      <c r="W275" s="38"/>
      <c r="X275" s="38"/>
      <c r="Y275" s="38"/>
      <c r="Z275" s="38"/>
      <c r="AA275" s="575"/>
      <c r="AB275" s="976"/>
      <c r="AC275" s="976"/>
      <c r="AD275" s="976"/>
      <c r="AE275" s="976"/>
      <c r="AF275" s="37">
        <v>11</v>
      </c>
    </row>
    <row r="276" s="37" customFormat="1" ht="11.55" customHeight="1" spans="1:32">
      <c r="A276" s="957"/>
      <c r="B276" s="44"/>
      <c r="C276" s="44"/>
      <c r="K276" s="38"/>
      <c r="L276" s="44"/>
      <c r="M276" s="44"/>
      <c r="N276" s="38"/>
      <c r="O276" s="38"/>
      <c r="P276" s="38"/>
      <c r="Q276" s="38"/>
      <c r="R276" s="44"/>
      <c r="S276" s="38"/>
      <c r="T276" s="38"/>
      <c r="U276" s="958"/>
      <c r="V276" s="38"/>
      <c r="W276" s="38"/>
      <c r="X276" s="38"/>
      <c r="Y276" s="38"/>
      <c r="Z276" s="38"/>
      <c r="AA276" s="575"/>
      <c r="AB276" s="976"/>
      <c r="AC276" s="976"/>
      <c r="AD276" s="976"/>
      <c r="AE276" s="976"/>
      <c r="AF276" s="37">
        <v>11</v>
      </c>
    </row>
    <row r="277" s="37" customFormat="1" ht="11.55" customHeight="1" spans="1:32">
      <c r="A277" s="957"/>
      <c r="B277" s="44"/>
      <c r="C277" s="44"/>
      <c r="K277" s="38"/>
      <c r="L277" s="44"/>
      <c r="M277" s="44"/>
      <c r="N277" s="38"/>
      <c r="O277" s="38"/>
      <c r="P277" s="38"/>
      <c r="Q277" s="38"/>
      <c r="R277" s="44"/>
      <c r="S277" s="38"/>
      <c r="T277" s="38"/>
      <c r="U277" s="958"/>
      <c r="V277" s="38"/>
      <c r="W277" s="38"/>
      <c r="X277" s="38"/>
      <c r="Y277" s="38"/>
      <c r="Z277" s="38"/>
      <c r="AA277" s="575"/>
      <c r="AB277" s="976"/>
      <c r="AC277" s="976"/>
      <c r="AD277" s="976"/>
      <c r="AE277" s="976"/>
      <c r="AF277" s="37">
        <v>11</v>
      </c>
    </row>
    <row r="278" s="37" customFormat="1" ht="11.55" customHeight="1" spans="1:32">
      <c r="A278" s="957"/>
      <c r="B278" s="44"/>
      <c r="C278" s="44"/>
      <c r="K278" s="38"/>
      <c r="L278" s="44"/>
      <c r="M278" s="44"/>
      <c r="N278" s="38"/>
      <c r="O278" s="38"/>
      <c r="P278" s="38"/>
      <c r="Q278" s="38"/>
      <c r="R278" s="44"/>
      <c r="S278" s="38"/>
      <c r="T278" s="38"/>
      <c r="U278" s="958"/>
      <c r="V278" s="38"/>
      <c r="W278" s="38"/>
      <c r="X278" s="38"/>
      <c r="Y278" s="38"/>
      <c r="Z278" s="38"/>
      <c r="AA278" s="575"/>
      <c r="AB278" s="976"/>
      <c r="AC278" s="976"/>
      <c r="AD278" s="976"/>
      <c r="AE278" s="976"/>
      <c r="AF278" s="37">
        <v>11</v>
      </c>
    </row>
    <row r="279" s="37" customFormat="1" ht="11.55" customHeight="1" spans="1:32">
      <c r="A279" s="957"/>
      <c r="B279" s="44"/>
      <c r="C279" s="44"/>
      <c r="K279" s="38"/>
      <c r="L279" s="44"/>
      <c r="M279" s="44"/>
      <c r="N279" s="38"/>
      <c r="O279" s="38"/>
      <c r="P279" s="38"/>
      <c r="Q279" s="38"/>
      <c r="R279" s="44"/>
      <c r="S279" s="38"/>
      <c r="T279" s="38"/>
      <c r="U279" s="958"/>
      <c r="V279" s="38"/>
      <c r="W279" s="38"/>
      <c r="X279" s="38"/>
      <c r="Y279" s="38"/>
      <c r="Z279" s="38"/>
      <c r="AA279" s="575"/>
      <c r="AB279" s="976"/>
      <c r="AC279" s="976"/>
      <c r="AD279" s="976"/>
      <c r="AE279" s="976"/>
      <c r="AF279" s="37">
        <v>11</v>
      </c>
    </row>
    <row r="280" s="37" customFormat="1" ht="11.55" customHeight="1" spans="1:32">
      <c r="A280" s="957"/>
      <c r="B280" s="44"/>
      <c r="C280" s="44"/>
      <c r="K280" s="38"/>
      <c r="L280" s="44"/>
      <c r="M280" s="44"/>
      <c r="N280" s="38"/>
      <c r="O280" s="38"/>
      <c r="P280" s="38"/>
      <c r="Q280" s="38"/>
      <c r="R280" s="44"/>
      <c r="S280" s="38"/>
      <c r="T280" s="38"/>
      <c r="U280" s="958"/>
      <c r="V280" s="38"/>
      <c r="W280" s="38"/>
      <c r="X280" s="38"/>
      <c r="Y280" s="38"/>
      <c r="Z280" s="38"/>
      <c r="AA280" s="575"/>
      <c r="AB280" s="976"/>
      <c r="AC280" s="976"/>
      <c r="AD280" s="976"/>
      <c r="AE280" s="976"/>
      <c r="AF280" s="37">
        <v>11</v>
      </c>
    </row>
    <row r="281" s="37" customFormat="1" ht="11.55" customHeight="1" spans="1:32">
      <c r="A281" s="957"/>
      <c r="B281" s="44"/>
      <c r="C281" s="44"/>
      <c r="K281" s="38"/>
      <c r="L281" s="44"/>
      <c r="M281" s="44"/>
      <c r="N281" s="38"/>
      <c r="O281" s="38"/>
      <c r="P281" s="38"/>
      <c r="Q281" s="38"/>
      <c r="R281" s="44"/>
      <c r="S281" s="38"/>
      <c r="T281" s="38"/>
      <c r="U281" s="958"/>
      <c r="V281" s="38"/>
      <c r="W281" s="38"/>
      <c r="X281" s="38"/>
      <c r="Y281" s="38"/>
      <c r="Z281" s="38"/>
      <c r="AA281" s="575"/>
      <c r="AB281" s="976"/>
      <c r="AC281" s="976"/>
      <c r="AD281" s="976"/>
      <c r="AE281" s="976"/>
      <c r="AF281" s="37">
        <v>11</v>
      </c>
    </row>
    <row r="282" s="37" customFormat="1" ht="11.55" customHeight="1" spans="1:32">
      <c r="A282" s="957"/>
      <c r="B282" s="44"/>
      <c r="C282" s="44"/>
      <c r="K282" s="38"/>
      <c r="L282" s="44"/>
      <c r="M282" s="44"/>
      <c r="N282" s="38"/>
      <c r="O282" s="38"/>
      <c r="P282" s="38"/>
      <c r="Q282" s="38"/>
      <c r="R282" s="44"/>
      <c r="S282" s="38"/>
      <c r="T282" s="38"/>
      <c r="U282" s="958"/>
      <c r="V282" s="38"/>
      <c r="W282" s="38"/>
      <c r="X282" s="38"/>
      <c r="Y282" s="38"/>
      <c r="Z282" s="38"/>
      <c r="AA282" s="575"/>
      <c r="AB282" s="976"/>
      <c r="AC282" s="976"/>
      <c r="AD282" s="976"/>
      <c r="AE282" s="976"/>
      <c r="AF282" s="37">
        <v>11</v>
      </c>
    </row>
    <row r="283" s="37" customFormat="1" ht="11.55" customHeight="1" spans="1:32">
      <c r="A283" s="957"/>
      <c r="B283" s="44"/>
      <c r="C283" s="44"/>
      <c r="K283" s="38"/>
      <c r="L283" s="44"/>
      <c r="M283" s="44"/>
      <c r="N283" s="38"/>
      <c r="O283" s="38"/>
      <c r="P283" s="38"/>
      <c r="Q283" s="38"/>
      <c r="R283" s="44"/>
      <c r="S283" s="38"/>
      <c r="T283" s="38"/>
      <c r="U283" s="958"/>
      <c r="V283" s="38"/>
      <c r="W283" s="38"/>
      <c r="X283" s="38"/>
      <c r="Y283" s="38"/>
      <c r="Z283" s="38"/>
      <c r="AA283" s="575"/>
      <c r="AB283" s="976"/>
      <c r="AC283" s="976"/>
      <c r="AD283" s="976"/>
      <c r="AE283" s="976"/>
      <c r="AF283" s="37">
        <v>11</v>
      </c>
    </row>
    <row r="284" s="37" customFormat="1" ht="11.55" customHeight="1" spans="1:32">
      <c r="A284" s="957"/>
      <c r="B284" s="44"/>
      <c r="C284" s="44"/>
      <c r="K284" s="38"/>
      <c r="L284" s="44"/>
      <c r="M284" s="44"/>
      <c r="N284" s="38"/>
      <c r="O284" s="38"/>
      <c r="P284" s="38"/>
      <c r="Q284" s="38"/>
      <c r="R284" s="44"/>
      <c r="S284" s="38"/>
      <c r="T284" s="38"/>
      <c r="U284" s="958"/>
      <c r="V284" s="38"/>
      <c r="W284" s="38"/>
      <c r="X284" s="38"/>
      <c r="Y284" s="38"/>
      <c r="Z284" s="38"/>
      <c r="AA284" s="575"/>
      <c r="AB284" s="976"/>
      <c r="AC284" s="976"/>
      <c r="AD284" s="976"/>
      <c r="AE284" s="976"/>
      <c r="AF284" s="37">
        <v>11</v>
      </c>
    </row>
    <row r="285" s="37" customFormat="1" ht="11.55" customHeight="1" spans="1:32">
      <c r="A285" s="957"/>
      <c r="B285" s="44"/>
      <c r="C285" s="44"/>
      <c r="K285" s="38"/>
      <c r="L285" s="44"/>
      <c r="M285" s="44"/>
      <c r="N285" s="38"/>
      <c r="O285" s="38"/>
      <c r="P285" s="38"/>
      <c r="Q285" s="38"/>
      <c r="R285" s="44"/>
      <c r="S285" s="38"/>
      <c r="T285" s="38"/>
      <c r="U285" s="958"/>
      <c r="V285" s="38"/>
      <c r="W285" s="38"/>
      <c r="X285" s="38"/>
      <c r="Y285" s="38"/>
      <c r="Z285" s="38"/>
      <c r="AA285" s="575"/>
      <c r="AB285" s="976"/>
      <c r="AC285" s="976"/>
      <c r="AD285" s="976"/>
      <c r="AE285" s="976"/>
      <c r="AF285" s="37">
        <v>11</v>
      </c>
    </row>
    <row r="286" s="37" customFormat="1" ht="11.55" customHeight="1" spans="1:32">
      <c r="A286" s="957"/>
      <c r="B286" s="44"/>
      <c r="C286" s="44"/>
      <c r="K286" s="38"/>
      <c r="L286" s="44"/>
      <c r="M286" s="44"/>
      <c r="N286" s="38"/>
      <c r="O286" s="38"/>
      <c r="P286" s="38"/>
      <c r="Q286" s="38"/>
      <c r="R286" s="44"/>
      <c r="S286" s="38"/>
      <c r="T286" s="38"/>
      <c r="U286" s="958"/>
      <c r="V286" s="38"/>
      <c r="W286" s="38"/>
      <c r="X286" s="38"/>
      <c r="Y286" s="38"/>
      <c r="Z286" s="38"/>
      <c r="AA286" s="575"/>
      <c r="AB286" s="976"/>
      <c r="AC286" s="976"/>
      <c r="AD286" s="976"/>
      <c r="AE286" s="976"/>
      <c r="AF286" s="37">
        <v>11</v>
      </c>
    </row>
    <row r="287" s="37" customFormat="1" ht="11.55" customHeight="1" spans="1:32">
      <c r="A287" s="957"/>
      <c r="B287" s="44"/>
      <c r="C287" s="44"/>
      <c r="K287" s="38"/>
      <c r="L287" s="44"/>
      <c r="M287" s="44"/>
      <c r="N287" s="38"/>
      <c r="O287" s="38"/>
      <c r="P287" s="38"/>
      <c r="Q287" s="38"/>
      <c r="R287" s="44"/>
      <c r="S287" s="38"/>
      <c r="T287" s="38"/>
      <c r="U287" s="958"/>
      <c r="V287" s="38"/>
      <c r="W287" s="38"/>
      <c r="X287" s="38"/>
      <c r="Y287" s="38"/>
      <c r="Z287" s="38"/>
      <c r="AA287" s="575"/>
      <c r="AB287" s="976"/>
      <c r="AC287" s="976"/>
      <c r="AD287" s="976"/>
      <c r="AE287" s="976"/>
      <c r="AF287" s="37">
        <v>11</v>
      </c>
    </row>
    <row r="288" s="37" customFormat="1" ht="11.55" customHeight="1" spans="1:32">
      <c r="A288" s="957"/>
      <c r="B288" s="44"/>
      <c r="C288" s="44"/>
      <c r="K288" s="38"/>
      <c r="L288" s="44"/>
      <c r="M288" s="44"/>
      <c r="N288" s="38"/>
      <c r="O288" s="38"/>
      <c r="P288" s="38"/>
      <c r="Q288" s="38"/>
      <c r="R288" s="44"/>
      <c r="S288" s="38"/>
      <c r="T288" s="38"/>
      <c r="U288" s="958"/>
      <c r="V288" s="38"/>
      <c r="W288" s="38"/>
      <c r="X288" s="38"/>
      <c r="Y288" s="38"/>
      <c r="Z288" s="38"/>
      <c r="AA288" s="575"/>
      <c r="AB288" s="976"/>
      <c r="AC288" s="976"/>
      <c r="AD288" s="976"/>
      <c r="AE288" s="976"/>
      <c r="AF288" s="37">
        <v>11</v>
      </c>
    </row>
    <row r="289" ht="11.55" customHeight="1" spans="32:32">
      <c r="AF289" s="43">
        <v>11</v>
      </c>
    </row>
    <row r="290" ht="11.55" customHeight="1" spans="32:32">
      <c r="AF290" s="43">
        <v>11</v>
      </c>
    </row>
    <row r="291" ht="11.55" customHeight="1" spans="32:32">
      <c r="AF291" s="43">
        <v>11</v>
      </c>
    </row>
    <row r="292" ht="11.55" customHeight="1" spans="1:32">
      <c r="A292" s="980"/>
      <c r="B292" s="43"/>
      <c r="K292" s="43"/>
      <c r="N292" s="43"/>
      <c r="O292" s="43"/>
      <c r="P292" s="43"/>
      <c r="Q292" s="43"/>
      <c r="S292" s="43"/>
      <c r="T292" s="43"/>
      <c r="U292" s="43"/>
      <c r="V292" s="43"/>
      <c r="W292" s="43"/>
      <c r="X292" s="43"/>
      <c r="Y292" s="43"/>
      <c r="Z292" s="43"/>
      <c r="AA292" s="43"/>
      <c r="AB292" s="43"/>
      <c r="AC292" s="43"/>
      <c r="AD292" s="43"/>
      <c r="AE292" s="43"/>
      <c r="AF292" s="43">
        <v>11</v>
      </c>
    </row>
    <row r="293" ht="11.55" customHeight="1" spans="1:32">
      <c r="A293" s="980"/>
      <c r="B293" s="43"/>
      <c r="K293" s="43"/>
      <c r="N293" s="43"/>
      <c r="O293" s="43"/>
      <c r="P293" s="43"/>
      <c r="Q293" s="43"/>
      <c r="S293" s="43"/>
      <c r="T293" s="43"/>
      <c r="U293" s="43"/>
      <c r="V293" s="43"/>
      <c r="W293" s="43"/>
      <c r="X293" s="43"/>
      <c r="Y293" s="43"/>
      <c r="Z293" s="43"/>
      <c r="AA293" s="43"/>
      <c r="AB293" s="43"/>
      <c r="AC293" s="43"/>
      <c r="AD293" s="43"/>
      <c r="AE293" s="43"/>
      <c r="AF293" s="43">
        <v>11</v>
      </c>
    </row>
    <row r="294" ht="11.55" customHeight="1" spans="1:32">
      <c r="A294" s="980"/>
      <c r="B294" s="43"/>
      <c r="K294" s="43"/>
      <c r="N294" s="43"/>
      <c r="O294" s="43"/>
      <c r="P294" s="43"/>
      <c r="Q294" s="43"/>
      <c r="S294" s="43"/>
      <c r="T294" s="43"/>
      <c r="U294" s="43"/>
      <c r="V294" s="43"/>
      <c r="W294" s="43"/>
      <c r="X294" s="43"/>
      <c r="Y294" s="43"/>
      <c r="Z294" s="43"/>
      <c r="AA294" s="43"/>
      <c r="AB294" s="43"/>
      <c r="AC294" s="43"/>
      <c r="AD294" s="43"/>
      <c r="AE294" s="43"/>
      <c r="AF294" s="43">
        <v>11</v>
      </c>
    </row>
    <row r="295" ht="11.55" customHeight="1" spans="1:32">
      <c r="A295" s="980"/>
      <c r="B295" s="43"/>
      <c r="K295" s="43"/>
      <c r="N295" s="43"/>
      <c r="O295" s="43"/>
      <c r="P295" s="43"/>
      <c r="Q295" s="43"/>
      <c r="S295" s="43"/>
      <c r="T295" s="43"/>
      <c r="U295" s="43"/>
      <c r="V295" s="43"/>
      <c r="W295" s="43"/>
      <c r="X295" s="43"/>
      <c r="Y295" s="43"/>
      <c r="Z295" s="43"/>
      <c r="AA295" s="43"/>
      <c r="AB295" s="43"/>
      <c r="AC295" s="43"/>
      <c r="AD295" s="43"/>
      <c r="AE295" s="43"/>
      <c r="AF295" s="43">
        <v>11</v>
      </c>
    </row>
    <row r="296" ht="11.55" customHeight="1" spans="1:32">
      <c r="A296" s="980"/>
      <c r="B296" s="43"/>
      <c r="K296" s="43"/>
      <c r="N296" s="43"/>
      <c r="O296" s="43"/>
      <c r="P296" s="43"/>
      <c r="Q296" s="43"/>
      <c r="S296" s="43"/>
      <c r="T296" s="43"/>
      <c r="U296" s="43"/>
      <c r="V296" s="43"/>
      <c r="W296" s="43"/>
      <c r="X296" s="43"/>
      <c r="Y296" s="43"/>
      <c r="Z296" s="43"/>
      <c r="AA296" s="43"/>
      <c r="AB296" s="43"/>
      <c r="AC296" s="43"/>
      <c r="AD296" s="43"/>
      <c r="AE296" s="43"/>
      <c r="AF296" s="43">
        <v>11</v>
      </c>
    </row>
    <row r="297" ht="11.55" customHeight="1" spans="1:32">
      <c r="A297" s="980"/>
      <c r="B297" s="43"/>
      <c r="K297" s="43"/>
      <c r="N297" s="43"/>
      <c r="O297" s="43"/>
      <c r="P297" s="43"/>
      <c r="Q297" s="43"/>
      <c r="S297" s="43"/>
      <c r="T297" s="43"/>
      <c r="U297" s="43"/>
      <c r="V297" s="43"/>
      <c r="W297" s="43"/>
      <c r="X297" s="43"/>
      <c r="Y297" s="43"/>
      <c r="Z297" s="43"/>
      <c r="AA297" s="43"/>
      <c r="AB297" s="43"/>
      <c r="AC297" s="43"/>
      <c r="AD297" s="43"/>
      <c r="AE297" s="43"/>
      <c r="AF297" s="43">
        <v>11</v>
      </c>
    </row>
    <row r="298" ht="11.55" customHeight="1" spans="1:32">
      <c r="A298" s="980"/>
      <c r="B298" s="43"/>
      <c r="K298" s="43"/>
      <c r="N298" s="43"/>
      <c r="O298" s="43"/>
      <c r="P298" s="43"/>
      <c r="Q298" s="43"/>
      <c r="S298" s="43"/>
      <c r="T298" s="43"/>
      <c r="U298" s="43"/>
      <c r="V298" s="43"/>
      <c r="W298" s="43"/>
      <c r="X298" s="43"/>
      <c r="Y298" s="43"/>
      <c r="Z298" s="43"/>
      <c r="AA298" s="43"/>
      <c r="AB298" s="43"/>
      <c r="AC298" s="43"/>
      <c r="AD298" s="43"/>
      <c r="AE298" s="43"/>
      <c r="AF298" s="43">
        <v>11</v>
      </c>
    </row>
    <row r="299" ht="11.55" customHeight="1" spans="1:32">
      <c r="A299" s="980"/>
      <c r="B299" s="43"/>
      <c r="K299" s="43"/>
      <c r="N299" s="43"/>
      <c r="O299" s="43"/>
      <c r="P299" s="43"/>
      <c r="Q299" s="43"/>
      <c r="S299" s="43"/>
      <c r="T299" s="43"/>
      <c r="U299" s="43"/>
      <c r="V299" s="43"/>
      <c r="W299" s="43"/>
      <c r="X299" s="43"/>
      <c r="Y299" s="43"/>
      <c r="Z299" s="43"/>
      <c r="AA299" s="43"/>
      <c r="AB299" s="43"/>
      <c r="AC299" s="43"/>
      <c r="AD299" s="43"/>
      <c r="AE299" s="43"/>
      <c r="AF299" s="43">
        <v>11</v>
      </c>
    </row>
    <row r="300" ht="11.55" customHeight="1" spans="1:32">
      <c r="A300" s="980"/>
      <c r="B300" s="43"/>
      <c r="K300" s="43"/>
      <c r="N300" s="43"/>
      <c r="O300" s="43"/>
      <c r="P300" s="43"/>
      <c r="Q300" s="43"/>
      <c r="S300" s="43"/>
      <c r="T300" s="43"/>
      <c r="U300" s="43"/>
      <c r="V300" s="43"/>
      <c r="W300" s="43"/>
      <c r="X300" s="43"/>
      <c r="Y300" s="43"/>
      <c r="Z300" s="43"/>
      <c r="AA300" s="43"/>
      <c r="AB300" s="43"/>
      <c r="AC300" s="43"/>
      <c r="AD300" s="43"/>
      <c r="AE300" s="43"/>
      <c r="AF300" s="43">
        <v>11</v>
      </c>
    </row>
    <row r="301" ht="11.55" customHeight="1" spans="1:32">
      <c r="A301" s="980"/>
      <c r="B301" s="43"/>
      <c r="K301" s="43"/>
      <c r="N301" s="43"/>
      <c r="O301" s="43"/>
      <c r="P301" s="43"/>
      <c r="Q301" s="43"/>
      <c r="S301" s="43"/>
      <c r="T301" s="43"/>
      <c r="U301" s="43"/>
      <c r="V301" s="43"/>
      <c r="W301" s="43"/>
      <c r="X301" s="43"/>
      <c r="Y301" s="43"/>
      <c r="Z301" s="43"/>
      <c r="AA301" s="43"/>
      <c r="AB301" s="43"/>
      <c r="AC301" s="43"/>
      <c r="AD301" s="43"/>
      <c r="AE301" s="43"/>
      <c r="AF301" s="43">
        <v>11</v>
      </c>
    </row>
    <row r="302" ht="11.55" customHeight="1" spans="1:32">
      <c r="A302" s="980"/>
      <c r="B302" s="43"/>
      <c r="K302" s="43"/>
      <c r="N302" s="43"/>
      <c r="O302" s="43"/>
      <c r="P302" s="43"/>
      <c r="Q302" s="43"/>
      <c r="S302" s="43"/>
      <c r="T302" s="43"/>
      <c r="U302" s="43"/>
      <c r="V302" s="43"/>
      <c r="W302" s="43"/>
      <c r="X302" s="43"/>
      <c r="Y302" s="43"/>
      <c r="Z302" s="43"/>
      <c r="AA302" s="43"/>
      <c r="AB302" s="43"/>
      <c r="AC302" s="43"/>
      <c r="AD302" s="43"/>
      <c r="AE302" s="43"/>
      <c r="AF302" s="43">
        <v>11</v>
      </c>
    </row>
    <row r="303" hidden="1" customHeight="1" spans="1:32">
      <c r="A303" s="957" t="s">
        <v>83</v>
      </c>
      <c r="B303" s="38">
        <v>0</v>
      </c>
      <c r="C303" s="44">
        <v>0</v>
      </c>
      <c r="D303" s="43">
        <v>3</v>
      </c>
      <c r="E303" s="43">
        <v>7</v>
      </c>
      <c r="F303" s="43">
        <v>54</v>
      </c>
      <c r="G303" s="43">
        <v>10</v>
      </c>
      <c r="H303" s="43">
        <v>0</v>
      </c>
      <c r="I303" s="43">
        <v>40</v>
      </c>
      <c r="J303" s="43">
        <v>102</v>
      </c>
      <c r="K303" s="38">
        <v>9</v>
      </c>
      <c r="L303" s="44">
        <v>5</v>
      </c>
      <c r="M303" s="44">
        <v>3</v>
      </c>
      <c r="N303" s="38">
        <v>3</v>
      </c>
      <c r="O303" s="38">
        <v>3</v>
      </c>
      <c r="P303" s="38">
        <v>3</v>
      </c>
      <c r="Q303" s="38">
        <v>3</v>
      </c>
      <c r="R303" s="44">
        <v>10</v>
      </c>
      <c r="S303" s="38">
        <v>34</v>
      </c>
      <c r="T303" s="38">
        <v>9</v>
      </c>
      <c r="U303" s="958">
        <v>8</v>
      </c>
      <c r="V303" s="38">
        <v>8</v>
      </c>
      <c r="W303" s="38">
        <v>8</v>
      </c>
      <c r="X303" s="38">
        <v>8</v>
      </c>
      <c r="Y303" s="38">
        <v>8</v>
      </c>
      <c r="Z303" s="38">
        <v>8</v>
      </c>
      <c r="AA303" s="575">
        <v>8</v>
      </c>
      <c r="AB303" s="575">
        <v>8</v>
      </c>
      <c r="AC303" s="575">
        <v>8</v>
      </c>
      <c r="AD303" s="575">
        <v>8</v>
      </c>
      <c r="AE303" s="575">
        <v>8</v>
      </c>
      <c r="AF303" s="43">
        <v>11</v>
      </c>
    </row>
  </sheetData>
  <sheetProtection formatColumns="0" formatRows="0" insertRows="0" deleteColumns="0" deleteRows="0" sort="0" autoFilter="0"/>
  <mergeCells count="18">
    <mergeCell ref="E21:I21"/>
    <mergeCell ref="E22:I22"/>
    <mergeCell ref="F25:G25"/>
    <mergeCell ref="F26:G26"/>
    <mergeCell ref="F27:G27"/>
    <mergeCell ref="E28:G28"/>
    <mergeCell ref="A33:A40"/>
    <mergeCell ref="A41:A43"/>
    <mergeCell ref="A67:A68"/>
    <mergeCell ref="A82:A90"/>
    <mergeCell ref="A91:A95"/>
    <mergeCell ref="A96:A98"/>
    <mergeCell ref="A99:A111"/>
    <mergeCell ref="A115:A119"/>
    <mergeCell ref="A120:A130"/>
    <mergeCell ref="B2:B7"/>
    <mergeCell ref="B34:B39"/>
    <mergeCell ref="J25:J29"/>
  </mergeCells>
  <dataValidations count="12">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0 F12 H70:I70">
      <formula1>900</formula1>
    </dataValidation>
    <dataValidation type="decimal" operator="between" allowBlank="1" showErrorMessage="1" errorTitle="Ошибка" error="Допускается ввод только неотрицательных чисел!" sqref="H15:I15 H17:I17 H30:I30 H67:I67 H69:I69 H74:I74 H127:I127 H35:I38 H91:I94 H32:I33 H88:I89 H40:I65 H82:I86 H9:I13 H4:I6 H96:I103 H105:I119">
      <formula1>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H66:I66 H68:I6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81:I81 H128:I130">
      <formula1>900</formula1>
    </dataValidation>
    <dataValidation type="decimal" operator="between" allowBlank="1" showErrorMessage="1" errorTitle="Ошибка" error="Введите значение от 0 до 100%" sqref="H90:I90 H95:I95">
      <formula1>0</formula1>
      <formula2>100</formula2>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decimal" operator="between" allowBlank="1" showErrorMessage="1" errorTitle="Ошибка" error="Допускается ввод только действительных чисел!" sqref="H104:I104 H120:I120 H123:I123 H126:I126 H75:I80">
      <formula1>-9.99999999999999E+37</formula1>
      <formula2>9.99999999999999E+37</formula2>
    </dataValidation>
    <dataValidation type="decimal" operator="between" allowBlank="1" showErrorMessage="1" errorTitle="Ошибка" error="Допускается ввод только действительных чисел!" sqref="H72:I73">
      <formula1>-9.99999999999999E+23</formula1>
      <formula2>9.99999999999999E+23</formula2>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CF29"/>
  <sheetViews>
    <sheetView showGridLines="0" zoomScale="90" zoomScaleNormal="90" topLeftCell="C4" workbookViewId="0">
      <selection activeCell="A1" sqref="A1"/>
    </sheetView>
  </sheetViews>
  <sheetFormatPr defaultColWidth="9.14285714285714" defaultRowHeight="11.25" customHeight="1"/>
  <cols>
    <col min="1" max="1" width="14.7142857142857" style="840" hidden="1" customWidth="1"/>
    <col min="2" max="2" width="17" style="575" hidden="1" customWidth="1"/>
    <col min="3" max="3" width="3" style="43" customWidth="1"/>
    <col min="4" max="4" width="1.84761904761905" style="43" hidden="1" customWidth="1"/>
    <col min="5" max="6" width="7" style="43" customWidth="1"/>
    <col min="7" max="7" width="29" style="43" customWidth="1"/>
    <col min="8" max="8" width="3.71428571428571" style="43" customWidth="1"/>
    <col min="9" max="9" width="5" style="43" customWidth="1"/>
    <col min="10" max="11" width="24" style="43" customWidth="1"/>
    <col min="12" max="12" width="3" style="43" customWidth="1"/>
    <col min="13" max="13" width="6" style="43" customWidth="1"/>
    <col min="14" max="14" width="25" style="43" customWidth="1"/>
    <col min="15" max="18" width="18" style="43" customWidth="1"/>
    <col min="19" max="19" width="93" style="43" customWidth="1"/>
    <col min="20" max="20" width="10" style="43" customWidth="1"/>
    <col min="21" max="21" width="10" style="44" customWidth="1"/>
    <col min="22" max="22" width="11" style="44" customWidth="1"/>
    <col min="23" max="27" width="10" style="575" customWidth="1"/>
    <col min="28" max="83" width="8" style="43" customWidth="1"/>
    <col min="84" max="84" width="9.14285714285714" style="43" hidden="1"/>
  </cols>
  <sheetData>
    <row r="1" ht="22.5" hidden="1" customHeight="1" spans="84:84">
      <c r="CF1" s="43" t="s">
        <v>14</v>
      </c>
    </row>
    <row r="2" hidden="1" customHeight="1" spans="84:84">
      <c r="CF2" s="43">
        <v>0</v>
      </c>
    </row>
    <row r="3" hidden="1" customHeight="1" spans="84:84">
      <c r="CF3" s="43">
        <v>0</v>
      </c>
    </row>
    <row r="4" ht="3" customHeight="1" spans="11:84">
      <c r="K4" s="61"/>
      <c r="L4" s="61"/>
      <c r="M4" s="61"/>
      <c r="CF4" s="43">
        <v>3</v>
      </c>
    </row>
    <row r="5" ht="29.25" customHeight="1" spans="4:84">
      <c r="D5" s="781"/>
      <c r="E5" s="755" t="str">
        <f>FHD20_NAME_FORM</f>
        <v>Форма 11. Информация о расходах на капитальный и текущий ремонт основных средств</v>
      </c>
      <c r="F5" s="755"/>
      <c r="G5" s="755"/>
      <c r="H5" s="755"/>
      <c r="I5" s="755"/>
      <c r="J5" s="755"/>
      <c r="K5" s="755"/>
      <c r="L5" s="86"/>
      <c r="M5" s="86"/>
      <c r="CF5" s="43">
        <v>28</v>
      </c>
    </row>
    <row r="6" s="43" customFormat="1" ht="16.8" customHeight="1" spans="1:84">
      <c r="A6" s="840"/>
      <c r="B6" s="575"/>
      <c r="D6" s="999"/>
      <c r="E6" s="660" t="str">
        <f>IF(org=0,"Не определено",org)</f>
        <v>АО "Теплокоммунэнерго"</v>
      </c>
      <c r="F6" s="660"/>
      <c r="G6" s="660"/>
      <c r="H6" s="660"/>
      <c r="I6" s="660"/>
      <c r="J6" s="660"/>
      <c r="K6" s="660"/>
      <c r="L6" s="86"/>
      <c r="M6" s="86"/>
      <c r="U6" s="44"/>
      <c r="V6" s="44"/>
      <c r="W6" s="575"/>
      <c r="X6" s="575"/>
      <c r="Y6" s="575"/>
      <c r="Z6" s="575"/>
      <c r="AA6" s="575"/>
      <c r="CF6" s="43">
        <v>16</v>
      </c>
    </row>
    <row r="7" ht="11.55" customHeight="1" spans="7:84">
      <c r="G7" s="86"/>
      <c r="H7" s="86"/>
      <c r="I7" s="86"/>
      <c r="J7" s="86"/>
      <c r="K7" s="922"/>
      <c r="L7" s="922"/>
      <c r="M7" s="922"/>
      <c r="R7" s="577"/>
      <c r="CF7" s="43">
        <v>11</v>
      </c>
    </row>
    <row r="8" s="37" customFormat="1" ht="4.2" customHeight="1" spans="1:84">
      <c r="A8" s="1000"/>
      <c r="B8" s="976"/>
      <c r="G8" s="1001"/>
      <c r="H8" s="1001"/>
      <c r="I8" s="1001"/>
      <c r="J8" s="1001"/>
      <c r="K8" s="1009"/>
      <c r="L8" s="1009"/>
      <c r="M8" s="1009"/>
      <c r="R8" s="1010"/>
      <c r="U8" s="44"/>
      <c r="V8" s="44"/>
      <c r="W8" s="976"/>
      <c r="X8" s="976"/>
      <c r="Y8" s="976"/>
      <c r="Z8" s="976"/>
      <c r="AA8" s="976"/>
      <c r="CF8" s="37">
        <v>4</v>
      </c>
    </row>
    <row r="9" ht="19.95" customHeight="1" spans="4:84">
      <c r="D9" s="83"/>
      <c r="E9" s="126" t="s">
        <v>296</v>
      </c>
      <c r="F9" s="128"/>
      <c r="G9" s="128"/>
      <c r="H9" s="128"/>
      <c r="I9" s="128"/>
      <c r="J9" s="128"/>
      <c r="K9" s="128"/>
      <c r="L9" s="128"/>
      <c r="M9" s="128"/>
      <c r="N9" s="128"/>
      <c r="O9" s="128"/>
      <c r="P9" s="128"/>
      <c r="Q9" s="128"/>
      <c r="R9" s="127"/>
      <c r="S9" s="64" t="s">
        <v>297</v>
      </c>
      <c r="T9" s="806"/>
      <c r="CF9" s="43">
        <v>19</v>
      </c>
    </row>
    <row r="10" ht="48.3" customHeight="1" spans="4:84">
      <c r="D10" s="675" t="s">
        <v>89</v>
      </c>
      <c r="E10" s="64" t="s">
        <v>89</v>
      </c>
      <c r="F10" s="64"/>
      <c r="G10" s="64" t="s">
        <v>298</v>
      </c>
      <c r="H10" s="64" t="s">
        <v>89</v>
      </c>
      <c r="I10" s="64"/>
      <c r="J10" s="64" t="s">
        <v>596</v>
      </c>
      <c r="K10" s="64" t="s">
        <v>597</v>
      </c>
      <c r="L10" s="64" t="s">
        <v>89</v>
      </c>
      <c r="M10" s="64"/>
      <c r="N10" s="64" t="s">
        <v>598</v>
      </c>
      <c r="O10" s="64" t="s">
        <v>599</v>
      </c>
      <c r="P10" s="64" t="s">
        <v>600</v>
      </c>
      <c r="Q10" s="64" t="s">
        <v>601</v>
      </c>
      <c r="R10" s="64" t="s">
        <v>602</v>
      </c>
      <c r="S10" s="64"/>
      <c r="T10" s="806"/>
      <c r="CF10" s="43">
        <v>46</v>
      </c>
    </row>
    <row r="11" s="44" customFormat="1" ht="15" customHeight="1" spans="1:84">
      <c r="A11" s="307"/>
      <c r="D11" s="307" t="s">
        <v>107</v>
      </c>
      <c r="E11" s="307"/>
      <c r="F11" s="307" t="s">
        <v>108</v>
      </c>
      <c r="G11" s="307" t="s">
        <v>91</v>
      </c>
      <c r="H11" s="307"/>
      <c r="I11" s="307" t="s">
        <v>92</v>
      </c>
      <c r="J11" s="307" t="s">
        <v>109</v>
      </c>
      <c r="K11" s="307" t="s">
        <v>93</v>
      </c>
      <c r="L11" s="307"/>
      <c r="M11" s="307" t="s">
        <v>94</v>
      </c>
      <c r="N11" s="307" t="s">
        <v>110</v>
      </c>
      <c r="O11" s="307" t="s">
        <v>146</v>
      </c>
      <c r="P11" s="307" t="s">
        <v>147</v>
      </c>
      <c r="Q11" s="307" t="s">
        <v>148</v>
      </c>
      <c r="R11" s="307" t="s">
        <v>149</v>
      </c>
      <c r="S11" s="307" t="s">
        <v>150</v>
      </c>
      <c r="CF11" s="44">
        <v>0</v>
      </c>
    </row>
    <row r="12" s="43" customFormat="1" ht="1.05" customHeight="1" spans="1:84">
      <c r="A12" s="840"/>
      <c r="B12" s="575"/>
      <c r="D12" s="307"/>
      <c r="E12" s="522"/>
      <c r="F12" s="522"/>
      <c r="Q12" s="594"/>
      <c r="R12" s="1011"/>
      <c r="T12" s="806"/>
      <c r="U12" s="44"/>
      <c r="V12" s="44"/>
      <c r="W12" s="575"/>
      <c r="X12" s="575"/>
      <c r="Y12" s="575"/>
      <c r="Z12" s="575"/>
      <c r="AA12" s="575"/>
      <c r="CF12" s="43">
        <v>1</v>
      </c>
    </row>
    <row r="13" s="37" customFormat="1" ht="1.05" customHeight="1" spans="1:84">
      <c r="A13" s="1000"/>
      <c r="B13" s="976"/>
      <c r="D13" s="307" t="s">
        <v>372</v>
      </c>
      <c r="E13" s="1002"/>
      <c r="F13" s="1002"/>
      <c r="G13" s="1002"/>
      <c r="H13" s="1002"/>
      <c r="I13" s="1002"/>
      <c r="J13" s="1002"/>
      <c r="K13" s="1002"/>
      <c r="L13" s="1002"/>
      <c r="M13" s="1002"/>
      <c r="N13" s="1002"/>
      <c r="O13" s="1002"/>
      <c r="P13" s="1002"/>
      <c r="Q13" s="1002"/>
      <c r="R13" s="1002"/>
      <c r="T13" s="806"/>
      <c r="U13" s="44"/>
      <c r="V13" s="44"/>
      <c r="W13" s="976"/>
      <c r="X13" s="976"/>
      <c r="Y13" s="976"/>
      <c r="Z13" s="976"/>
      <c r="AA13" s="976"/>
      <c r="CF13" s="37">
        <v>1</v>
      </c>
    </row>
    <row r="14" customFormat="1" ht="15" customHeight="1" spans="1:84">
      <c r="A14" s="4" t="s">
        <v>115</v>
      </c>
      <c r="D14" s="1003" t="s">
        <v>107</v>
      </c>
      <c r="E14" s="324" t="s">
        <v>103</v>
      </c>
      <c r="F14" s="325"/>
      <c r="G14" s="326"/>
      <c r="H14" s="327">
        <f>IF(A14="","",INDEX(DIFFERENTIATION_UNMERGE_VD,MATCH(A14,DIFFERENTIATION_ID_DIFF,0)))</f>
        <v>0</v>
      </c>
      <c r="I14" s="327"/>
      <c r="J14" s="327"/>
      <c r="K14" s="327"/>
      <c r="L14" s="327"/>
      <c r="M14" s="327"/>
      <c r="N14" s="327"/>
      <c r="O14" s="327"/>
      <c r="P14" s="327"/>
      <c r="Q14" s="327"/>
      <c r="R14" s="327"/>
      <c r="S14" s="389"/>
      <c r="T14" s="390"/>
      <c r="U14" s="152"/>
      <c r="V14" s="152"/>
      <c r="W14" s="264"/>
      <c r="X14" s="264"/>
      <c r="Y14" s="264"/>
      <c r="Z14" s="264"/>
      <c r="AA14" s="152"/>
      <c r="AB14" s="264"/>
      <c r="AC14" s="427"/>
      <c r="AD14" s="264"/>
      <c r="AE14" s="428" t="s">
        <v>22</v>
      </c>
      <c r="AF14" s="428"/>
      <c r="AG14" s="433" t="s">
        <v>603</v>
      </c>
      <c r="AH14" s="434">
        <v>3</v>
      </c>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264"/>
      <c r="BW14" s="264"/>
      <c r="BX14" s="264"/>
      <c r="BY14" s="264"/>
      <c r="BZ14" s="264"/>
      <c r="CA14" s="264"/>
      <c r="CB14" s="264"/>
      <c r="CC14" s="264"/>
      <c r="CD14" s="264"/>
      <c r="CE14" s="264"/>
      <c r="CF14">
        <v>0</v>
      </c>
    </row>
    <row r="15" customFormat="1" ht="15" customHeight="1" spans="1:84">
      <c r="A15" s="4"/>
      <c r="D15" s="1004"/>
      <c r="E15" s="324" t="s">
        <v>558</v>
      </c>
      <c r="F15" s="325"/>
      <c r="G15" s="326"/>
      <c r="H15" s="327" t="str">
        <f>IF(A14="","",INDEX(DIFFERENTIATION_UNMERGE_AREA,MATCH(A14,DIFFERENTIATION_ID_DIFF,0)))</f>
        <v/>
      </c>
      <c r="I15" s="327"/>
      <c r="J15" s="327"/>
      <c r="K15" s="327"/>
      <c r="L15" s="327"/>
      <c r="M15" s="327"/>
      <c r="N15" s="327"/>
      <c r="O15" s="327"/>
      <c r="P15" s="327"/>
      <c r="Q15" s="327"/>
      <c r="R15" s="327"/>
      <c r="S15" s="389"/>
      <c r="T15" s="390"/>
      <c r="U15" s="152"/>
      <c r="V15" s="152"/>
      <c r="W15" s="264"/>
      <c r="X15" s="264"/>
      <c r="Y15" s="264"/>
      <c r="Z15" s="264"/>
      <c r="AA15" s="152"/>
      <c r="AB15" s="264"/>
      <c r="AC15" s="427"/>
      <c r="AD15" s="264"/>
      <c r="AE15" s="428"/>
      <c r="AF15" s="428"/>
      <c r="AG15" s="433"/>
      <c r="AH15" s="434"/>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264"/>
      <c r="BW15" s="264"/>
      <c r="BX15" s="264"/>
      <c r="BY15" s="264"/>
      <c r="BZ15" s="264"/>
      <c r="CA15" s="264"/>
      <c r="CB15" s="264"/>
      <c r="CC15" s="264"/>
      <c r="CD15" s="264"/>
      <c r="CE15" s="264"/>
      <c r="CF15">
        <v>0</v>
      </c>
    </row>
    <row r="16" customFormat="1" ht="15" customHeight="1" spans="1:84">
      <c r="A16" s="4"/>
      <c r="D16" s="1004"/>
      <c r="E16" s="324" t="s">
        <v>559</v>
      </c>
      <c r="F16" s="325"/>
      <c r="G16" s="326"/>
      <c r="H16" s="327" t="str">
        <f>IF(A14="","",INDEX(DIFFERENTIATION_UNMERGE_SYSTEM,MATCH(A14,DIFFERENTIATION_ID_DIFF,0)))</f>
        <v>без дифференциации</v>
      </c>
      <c r="I16" s="327"/>
      <c r="J16" s="327"/>
      <c r="K16" s="327"/>
      <c r="L16" s="327"/>
      <c r="M16" s="327"/>
      <c r="N16" s="327"/>
      <c r="O16" s="327"/>
      <c r="P16" s="327"/>
      <c r="Q16" s="327"/>
      <c r="R16" s="327"/>
      <c r="S16" s="389"/>
      <c r="T16" s="390"/>
      <c r="U16" s="152"/>
      <c r="V16" s="152"/>
      <c r="W16" s="264"/>
      <c r="X16" s="264"/>
      <c r="Y16" s="264"/>
      <c r="Z16" s="264"/>
      <c r="AA16" s="152"/>
      <c r="AB16" s="264"/>
      <c r="AC16" s="427"/>
      <c r="AD16" s="264"/>
      <c r="AE16" s="428"/>
      <c r="AF16" s="428"/>
      <c r="AG16" s="433"/>
      <c r="AH16" s="434"/>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264"/>
      <c r="BW16" s="264"/>
      <c r="BX16" s="264"/>
      <c r="BY16" s="264"/>
      <c r="BZ16" s="264"/>
      <c r="CA16" s="264"/>
      <c r="CB16" s="264"/>
      <c r="CC16" s="264"/>
      <c r="CD16" s="264"/>
      <c r="CE16" s="264"/>
      <c r="CF16">
        <v>0</v>
      </c>
    </row>
    <row r="17" customFormat="1" ht="22.5" customHeight="1" spans="1:84">
      <c r="A17" s="48"/>
      <c r="B17" s="38"/>
      <c r="C17" s="224"/>
      <c r="D17" s="1004"/>
      <c r="E17" s="329" t="s">
        <v>604</v>
      </c>
      <c r="F17" s="329"/>
      <c r="G17" s="329"/>
      <c r="H17" s="329"/>
      <c r="I17" s="329"/>
      <c r="J17" s="329"/>
      <c r="K17" s="329"/>
      <c r="L17" s="329"/>
      <c r="M17" s="329"/>
      <c r="N17" s="329"/>
      <c r="O17" s="329"/>
      <c r="P17" s="329"/>
      <c r="Q17" s="391">
        <f>SUMIF(T18:T19,"i",Q18:Q19)</f>
        <v>0</v>
      </c>
      <c r="R17" s="392"/>
      <c r="S17" s="393" t="s">
        <v>605</v>
      </c>
      <c r="T17" s="390" t="s">
        <v>606</v>
      </c>
      <c r="U17" s="93">
        <v>1</v>
      </c>
      <c r="V17" s="93" t="str">
        <f>INDEX(B_FHD_FLAG_INDEX_1,1,MATCH(A14,B_FHD_FLAG_DIFFERENTIATION,0))</f>
        <v>отсутствует</v>
      </c>
      <c r="W17" s="38"/>
      <c r="X17" s="38"/>
      <c r="Y17" s="38"/>
      <c r="Z17" s="38"/>
      <c r="AA17" s="44"/>
      <c r="AB17" s="38"/>
      <c r="AC17" s="427"/>
      <c r="AD17" s="264"/>
      <c r="AE17" s="38"/>
      <c r="AF17" s="38"/>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38"/>
      <c r="BW17" s="38"/>
      <c r="BX17" s="38"/>
      <c r="BY17" s="38"/>
      <c r="BZ17" s="38"/>
      <c r="CA17" s="38"/>
      <c r="CB17" s="38"/>
      <c r="CC17" s="38"/>
      <c r="CD17" s="38"/>
      <c r="CE17" s="38"/>
      <c r="CF17">
        <v>0</v>
      </c>
    </row>
    <row r="18" customFormat="1" hidden="1" customHeight="1" spans="1:84">
      <c r="A18" s="93"/>
      <c r="B18" s="44"/>
      <c r="C18" s="44"/>
      <c r="D18" s="1004"/>
      <c r="E18" s="330"/>
      <c r="F18" s="330">
        <v>0</v>
      </c>
      <c r="G18" s="330"/>
      <c r="H18" s="330"/>
      <c r="I18" s="330"/>
      <c r="J18" s="330"/>
      <c r="K18" s="330"/>
      <c r="L18" s="330"/>
      <c r="M18" s="330"/>
      <c r="N18" s="330"/>
      <c r="O18" s="330"/>
      <c r="P18" s="330"/>
      <c r="Q18" s="330"/>
      <c r="R18" s="330"/>
      <c r="S18" s="394"/>
      <c r="T18" s="395"/>
      <c r="U18" s="93"/>
      <c r="V18" s="93"/>
      <c r="W18" s="44"/>
      <c r="X18" s="44"/>
      <c r="Y18" s="44"/>
      <c r="Z18" s="44"/>
      <c r="AA18" s="44"/>
      <c r="AB18" s="38"/>
      <c r="AC18" s="427"/>
      <c r="AD18" s="264"/>
      <c r="AE18" s="38"/>
      <c r="AF18" s="38"/>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v>0</v>
      </c>
    </row>
    <row r="19" customFormat="1" customHeight="1" spans="1:84">
      <c r="A19" s="48"/>
      <c r="B19" s="38"/>
      <c r="C19" s="224"/>
      <c r="D19" s="1004"/>
      <c r="E19" s="331" t="s">
        <v>22</v>
      </c>
      <c r="F19" s="227" t="s">
        <v>22</v>
      </c>
      <c r="G19" s="227" t="s">
        <v>22</v>
      </c>
      <c r="H19" s="332" t="s">
        <v>22</v>
      </c>
      <c r="I19" s="332"/>
      <c r="J19" s="332"/>
      <c r="K19" s="332"/>
      <c r="L19" s="332"/>
      <c r="M19" s="332"/>
      <c r="N19" s="332"/>
      <c r="O19" s="332"/>
      <c r="P19" s="332"/>
      <c r="Q19" s="332"/>
      <c r="R19" s="275"/>
      <c r="S19" s="329"/>
      <c r="T19" s="395"/>
      <c r="U19" s="93"/>
      <c r="V19" s="93"/>
      <c r="W19" s="38"/>
      <c r="X19" s="38"/>
      <c r="Y19" s="38"/>
      <c r="Z19" s="38"/>
      <c r="AA19" s="44"/>
      <c r="AB19" s="38"/>
      <c r="AC19" s="427"/>
      <c r="AD19" s="264"/>
      <c r="AE19" s="38"/>
      <c r="AF19" s="38"/>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38"/>
      <c r="BW19" s="38"/>
      <c r="BX19" s="38"/>
      <c r="BY19" s="38"/>
      <c r="BZ19" s="38"/>
      <c r="CA19" s="38"/>
      <c r="CB19" s="38"/>
      <c r="CC19" s="38"/>
      <c r="CD19" s="38"/>
      <c r="CE19" s="38"/>
      <c r="CF19">
        <v>0</v>
      </c>
    </row>
    <row r="20" customFormat="1" ht="22.5" customHeight="1" spans="1:84">
      <c r="A20" s="48"/>
      <c r="B20" s="38"/>
      <c r="C20" s="224"/>
      <c r="D20" s="1004"/>
      <c r="E20" s="329" t="s">
        <v>607</v>
      </c>
      <c r="F20" s="329"/>
      <c r="G20" s="329"/>
      <c r="H20" s="329"/>
      <c r="I20" s="329"/>
      <c r="J20" s="329"/>
      <c r="K20" s="329"/>
      <c r="L20" s="329"/>
      <c r="M20" s="329"/>
      <c r="N20" s="329"/>
      <c r="O20" s="329"/>
      <c r="P20" s="329"/>
      <c r="Q20" s="391">
        <f>SUMIF(T21:T22,"i",Q21:Q22)</f>
        <v>0</v>
      </c>
      <c r="R20" s="392"/>
      <c r="S20" s="393" t="s">
        <v>608</v>
      </c>
      <c r="T20" s="390" t="s">
        <v>606</v>
      </c>
      <c r="U20" s="93">
        <v>2</v>
      </c>
      <c r="V20" s="93" t="str">
        <f>INDEX(B_FHD_FLAG_INDEX_2,1,MATCH(A14,B_FHD_FLAG_DIFFERENTIATION,0))</f>
        <v>отсутствует</v>
      </c>
      <c r="W20" s="38"/>
      <c r="X20" s="38"/>
      <c r="Y20" s="38"/>
      <c r="Z20" s="38"/>
      <c r="AA20" s="44"/>
      <c r="AB20" s="38"/>
      <c r="AC20" s="427"/>
      <c r="AD20" s="264"/>
      <c r="AE20" s="38"/>
      <c r="AF20" s="38"/>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38"/>
      <c r="BW20" s="38"/>
      <c r="BX20" s="38"/>
      <c r="BY20" s="38"/>
      <c r="BZ20" s="38"/>
      <c r="CA20" s="38"/>
      <c r="CB20" s="38"/>
      <c r="CC20" s="38"/>
      <c r="CD20" s="38"/>
      <c r="CE20" s="38"/>
      <c r="CF20">
        <v>0</v>
      </c>
    </row>
    <row r="21" customFormat="1" hidden="1" customHeight="1" spans="1:84">
      <c r="A21" s="93"/>
      <c r="B21" s="44"/>
      <c r="C21" s="44"/>
      <c r="D21" s="1004"/>
      <c r="E21" s="330"/>
      <c r="F21" s="330">
        <v>0</v>
      </c>
      <c r="G21" s="330"/>
      <c r="H21" s="330"/>
      <c r="I21" s="330"/>
      <c r="J21" s="330"/>
      <c r="K21" s="330"/>
      <c r="L21" s="330"/>
      <c r="M21" s="330"/>
      <c r="N21" s="330"/>
      <c r="O21" s="330"/>
      <c r="P21" s="330"/>
      <c r="Q21" s="330"/>
      <c r="R21" s="330"/>
      <c r="S21" s="394"/>
      <c r="T21" s="395"/>
      <c r="U21" s="93"/>
      <c r="V21" s="93"/>
      <c r="W21" s="44"/>
      <c r="X21" s="44"/>
      <c r="Y21" s="44"/>
      <c r="Z21" s="44"/>
      <c r="AA21" s="44"/>
      <c r="AB21" s="38"/>
      <c r="AC21" s="427"/>
      <c r="AD21" s="264"/>
      <c r="AE21" s="38"/>
      <c r="AF21" s="38"/>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v>0</v>
      </c>
    </row>
    <row r="22" customFormat="1" customHeight="1" spans="1:84">
      <c r="A22" s="48"/>
      <c r="B22" s="38"/>
      <c r="C22" s="224"/>
      <c r="D22" s="1005"/>
      <c r="E22" s="331" t="s">
        <v>22</v>
      </c>
      <c r="F22" s="227" t="s">
        <v>22</v>
      </c>
      <c r="G22" s="227" t="s">
        <v>22</v>
      </c>
      <c r="H22" s="332" t="s">
        <v>22</v>
      </c>
      <c r="I22" s="332"/>
      <c r="J22" s="332"/>
      <c r="K22" s="332"/>
      <c r="L22" s="332"/>
      <c r="M22" s="332"/>
      <c r="N22" s="332"/>
      <c r="O22" s="332"/>
      <c r="P22" s="332"/>
      <c r="Q22" s="332"/>
      <c r="R22" s="275"/>
      <c r="S22" s="329"/>
      <c r="T22" s="395"/>
      <c r="U22" s="93"/>
      <c r="V22" s="93"/>
      <c r="W22" s="38"/>
      <c r="X22" s="38"/>
      <c r="Y22" s="38"/>
      <c r="Z22" s="38"/>
      <c r="AA22" s="44"/>
      <c r="AB22" s="38"/>
      <c r="AC22" s="427"/>
      <c r="AD22" s="264"/>
      <c r="AE22" s="38"/>
      <c r="AF22" s="38"/>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38"/>
      <c r="BW22" s="38"/>
      <c r="BX22" s="38"/>
      <c r="BY22" s="38"/>
      <c r="BZ22" s="38"/>
      <c r="CA22" s="38"/>
      <c r="CB22" s="38"/>
      <c r="CC22" s="38"/>
      <c r="CD22" s="38"/>
      <c r="CE22" s="38"/>
      <c r="CF22">
        <v>0</v>
      </c>
    </row>
    <row r="23" ht="19.95" customHeight="1" spans="4:84">
      <c r="D23" s="1006"/>
      <c r="E23" s="1006"/>
      <c r="F23" s="1006"/>
      <c r="G23" s="1006"/>
      <c r="H23" s="1006"/>
      <c r="I23" s="1006"/>
      <c r="J23" s="1006"/>
      <c r="K23" s="1006"/>
      <c r="L23" s="1006"/>
      <c r="M23" s="1006"/>
      <c r="N23" s="1006"/>
      <c r="O23" s="1006"/>
      <c r="P23" s="1006"/>
      <c r="Q23" s="1006"/>
      <c r="R23" s="1006"/>
      <c r="S23" s="1006"/>
      <c r="T23" s="806"/>
      <c r="CF23" s="43">
        <v>19</v>
      </c>
    </row>
    <row r="24" ht="11.55" customHeight="1" spans="84:84">
      <c r="CF24" s="43">
        <v>11</v>
      </c>
    </row>
    <row r="25" ht="11.55" customHeight="1" spans="4:84">
      <c r="D25" s="61"/>
      <c r="E25" s="61"/>
      <c r="F25" s="61"/>
      <c r="G25" s="36"/>
      <c r="CF25" s="43">
        <v>11</v>
      </c>
    </row>
    <row r="26" ht="11.55" customHeight="1" spans="84:84">
      <c r="CF26" s="43">
        <v>11</v>
      </c>
    </row>
    <row r="27" ht="11.55" customHeight="1" spans="4:84">
      <c r="D27" s="1007"/>
      <c r="E27" s="1008"/>
      <c r="F27" s="1008"/>
      <c r="G27" s="1008"/>
      <c r="H27" s="1008"/>
      <c r="I27" s="1008"/>
      <c r="J27" s="1008"/>
      <c r="K27" s="1008"/>
      <c r="L27" s="1008"/>
      <c r="M27" s="1008"/>
      <c r="N27" s="1008"/>
      <c r="O27" s="1008"/>
      <c r="P27" s="1008"/>
      <c r="Q27" s="1008"/>
      <c r="R27" s="1008"/>
      <c r="CF27" s="43">
        <v>11</v>
      </c>
    </row>
    <row r="28" ht="11.55" customHeight="1" spans="84:84">
      <c r="CF28" s="43">
        <v>11</v>
      </c>
    </row>
    <row r="29" hidden="1" customHeight="1" spans="1:84">
      <c r="A29" s="840" t="s">
        <v>83</v>
      </c>
      <c r="B29" s="575">
        <v>0</v>
      </c>
      <c r="C29" s="43">
        <v>3</v>
      </c>
      <c r="D29" s="43">
        <v>0</v>
      </c>
      <c r="E29" s="43">
        <v>7</v>
      </c>
      <c r="F29" s="43">
        <v>7</v>
      </c>
      <c r="G29" s="43">
        <v>29</v>
      </c>
      <c r="H29" s="43">
        <v>3</v>
      </c>
      <c r="I29" s="43">
        <v>5</v>
      </c>
      <c r="J29" s="43">
        <v>24</v>
      </c>
      <c r="K29" s="43">
        <v>24</v>
      </c>
      <c r="L29" s="43">
        <v>3</v>
      </c>
      <c r="M29" s="43">
        <v>6</v>
      </c>
      <c r="N29" s="43">
        <v>25</v>
      </c>
      <c r="O29" s="43">
        <v>18</v>
      </c>
      <c r="P29" s="43">
        <v>18</v>
      </c>
      <c r="Q29" s="43">
        <v>18</v>
      </c>
      <c r="R29" s="43">
        <v>18</v>
      </c>
      <c r="S29" s="43">
        <v>93</v>
      </c>
      <c r="T29" s="43">
        <v>10</v>
      </c>
      <c r="U29" s="44">
        <v>10</v>
      </c>
      <c r="V29" s="44">
        <v>11</v>
      </c>
      <c r="W29" s="575">
        <v>10</v>
      </c>
      <c r="X29" s="575">
        <v>10</v>
      </c>
      <c r="Y29" s="575">
        <v>10</v>
      </c>
      <c r="Z29" s="575">
        <v>10</v>
      </c>
      <c r="AA29" s="575">
        <v>10</v>
      </c>
      <c r="AB29" s="43">
        <v>8</v>
      </c>
      <c r="AC29" s="43">
        <v>8</v>
      </c>
      <c r="AD29" s="43">
        <v>8</v>
      </c>
      <c r="AE29" s="43">
        <v>8</v>
      </c>
      <c r="AF29" s="43">
        <v>8</v>
      </c>
      <c r="AG29" s="43">
        <v>8</v>
      </c>
      <c r="AH29" s="43">
        <v>8</v>
      </c>
      <c r="AI29" s="43">
        <v>8</v>
      </c>
      <c r="AJ29" s="43">
        <v>8</v>
      </c>
      <c r="AK29" s="43">
        <v>8</v>
      </c>
      <c r="AL29" s="43">
        <v>8</v>
      </c>
      <c r="AM29" s="43">
        <v>8</v>
      </c>
      <c r="AN29" s="43">
        <v>8</v>
      </c>
      <c r="AO29" s="43">
        <v>8</v>
      </c>
      <c r="AP29" s="43">
        <v>8</v>
      </c>
      <c r="AQ29" s="43">
        <v>8</v>
      </c>
      <c r="AR29" s="43">
        <v>8</v>
      </c>
      <c r="AS29" s="43">
        <v>8</v>
      </c>
      <c r="AT29" s="43">
        <v>8</v>
      </c>
      <c r="AU29" s="43">
        <v>8</v>
      </c>
      <c r="AV29" s="43">
        <v>8</v>
      </c>
      <c r="AW29" s="43">
        <v>8</v>
      </c>
      <c r="AX29" s="43">
        <v>8</v>
      </c>
      <c r="AY29" s="43">
        <v>8</v>
      </c>
      <c r="AZ29" s="43">
        <v>8</v>
      </c>
      <c r="BA29" s="43">
        <v>8</v>
      </c>
      <c r="BB29" s="43">
        <v>8</v>
      </c>
      <c r="BC29" s="43">
        <v>8</v>
      </c>
      <c r="BD29" s="43">
        <v>8</v>
      </c>
      <c r="BE29" s="43">
        <v>8</v>
      </c>
      <c r="BF29" s="43">
        <v>8</v>
      </c>
      <c r="BG29" s="43">
        <v>8</v>
      </c>
      <c r="BH29" s="43">
        <v>8</v>
      </c>
      <c r="BI29" s="43">
        <v>8</v>
      </c>
      <c r="BJ29" s="43">
        <v>8</v>
      </c>
      <c r="BK29" s="43">
        <v>8</v>
      </c>
      <c r="BL29" s="43">
        <v>8</v>
      </c>
      <c r="BM29" s="43">
        <v>8</v>
      </c>
      <c r="BN29" s="43">
        <v>8</v>
      </c>
      <c r="BO29" s="43">
        <v>8</v>
      </c>
      <c r="BP29" s="43">
        <v>8</v>
      </c>
      <c r="BQ29" s="43">
        <v>8</v>
      </c>
      <c r="BR29" s="43">
        <v>8</v>
      </c>
      <c r="BS29" s="43">
        <v>8</v>
      </c>
      <c r="BT29" s="43">
        <v>8</v>
      </c>
      <c r="BU29" s="43">
        <v>8</v>
      </c>
      <c r="BV29" s="43">
        <v>8</v>
      </c>
      <c r="BW29" s="43">
        <v>8</v>
      </c>
      <c r="BX29" s="43">
        <v>8</v>
      </c>
      <c r="BY29" s="43">
        <v>8</v>
      </c>
      <c r="BZ29" s="43">
        <v>8</v>
      </c>
      <c r="CA29" s="43">
        <v>8</v>
      </c>
      <c r="CB29" s="43">
        <v>8</v>
      </c>
      <c r="CC29" s="43">
        <v>8</v>
      </c>
      <c r="CD29" s="43">
        <v>8</v>
      </c>
      <c r="CE29" s="43">
        <v>8</v>
      </c>
      <c r="CF29" s="43">
        <v>11</v>
      </c>
    </row>
  </sheetData>
  <sheetProtection formatColumns="0" formatRows="0" insertRows="0" deleteColumns="0" deleteRows="0" sort="0" autoFilter="0"/>
  <mergeCells count="22">
    <mergeCell ref="E5:K5"/>
    <mergeCell ref="E6:K6"/>
    <mergeCell ref="E9:R9"/>
    <mergeCell ref="E10:F10"/>
    <mergeCell ref="H10:I10"/>
    <mergeCell ref="L10:M10"/>
    <mergeCell ref="E14:G14"/>
    <mergeCell ref="H14:R14"/>
    <mergeCell ref="E15:G15"/>
    <mergeCell ref="H15:R15"/>
    <mergeCell ref="E16:G16"/>
    <mergeCell ref="H16:R16"/>
    <mergeCell ref="E17:P17"/>
    <mergeCell ref="E20:P20"/>
    <mergeCell ref="E27:R27"/>
    <mergeCell ref="D14:D22"/>
    <mergeCell ref="S9:S10"/>
    <mergeCell ref="U17:U19"/>
    <mergeCell ref="U20:U22"/>
    <mergeCell ref="V17:V19"/>
    <mergeCell ref="V20:V22"/>
    <mergeCell ref="AC14:AC19"/>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K204"/>
  <sheetViews>
    <sheetView showGridLines="0" zoomScale="90" zoomScaleNormal="90" workbookViewId="0">
      <pane xSplit="12" ySplit="14" topLeftCell="M15" activePane="bottomRight" state="frozen"/>
      <selection/>
      <selection pane="topRight"/>
      <selection pane="bottomLeft"/>
      <selection pane="bottomRight" activeCell="A1" sqref="A1"/>
    </sheetView>
  </sheetViews>
  <sheetFormatPr defaultColWidth="9.14285714285714" defaultRowHeight="11.25" customHeight="1"/>
  <cols>
    <col min="1" max="5" width="10.7142857142857" style="957" hidden="1" customWidth="1"/>
    <col min="6" max="6" width="16.847619047619" style="38" hidden="1" customWidth="1"/>
    <col min="7" max="7" width="5.57142857142857" style="44" hidden="1" customWidth="1"/>
    <col min="8" max="8" width="3" style="43" customWidth="1"/>
    <col min="9" max="9" width="7" style="43" customWidth="1"/>
    <col min="10" max="10" width="56" style="43" customWidth="1"/>
    <col min="11" max="11" width="10" style="43" customWidth="1"/>
    <col min="12" max="12" width="40.5714285714286" style="43" hidden="1" customWidth="1"/>
    <col min="13" max="13" width="40.7142857142857" style="43" customWidth="1"/>
    <col min="14" max="14" width="9.71428571428571" style="38" hidden="1" customWidth="1"/>
    <col min="15" max="15" width="102" style="43" customWidth="1"/>
    <col min="16" max="16" width="9" style="38" customWidth="1"/>
    <col min="17" max="17" width="5" style="44" customWidth="1"/>
    <col min="18" max="18" width="3" style="44" customWidth="1"/>
    <col min="19" max="22" width="3" style="38" customWidth="1"/>
    <col min="23" max="23" width="10" style="44" customWidth="1"/>
    <col min="24" max="24" width="34" style="38" customWidth="1"/>
    <col min="25" max="25" width="9" style="38" customWidth="1"/>
    <col min="26" max="26" width="8" style="958" customWidth="1"/>
    <col min="27" max="31" width="8" style="38" customWidth="1"/>
    <col min="32" max="36" width="8" style="575" customWidth="1"/>
    <col min="37" max="37" width="5.41904761904762" style="43" hidden="1" customWidth="1"/>
  </cols>
  <sheetData>
    <row r="1" s="38" customFormat="1" ht="33.75" hidden="1" customHeight="1" spans="1:37">
      <c r="A1" s="957"/>
      <c r="B1" s="957"/>
      <c r="C1" s="957"/>
      <c r="D1" s="957"/>
      <c r="E1" s="957"/>
      <c r="G1" s="44"/>
      <c r="L1" s="38">
        <v>4</v>
      </c>
      <c r="M1" s="38">
        <v>4</v>
      </c>
      <c r="Q1" s="44"/>
      <c r="R1" s="44"/>
      <c r="W1" s="44"/>
      <c r="AK1" s="38" t="s">
        <v>14</v>
      </c>
    </row>
    <row r="2" s="38" customFormat="1" ht="78.75" hidden="1" customHeight="1" spans="1:37">
      <c r="A2" s="957"/>
      <c r="B2" s="987" t="s">
        <v>609</v>
      </c>
      <c r="C2" s="987" t="s">
        <v>610</v>
      </c>
      <c r="D2" s="988" t="s">
        <v>611</v>
      </c>
      <c r="E2" s="989" t="e">
        <f>RIGHT(I2,LEN(I2)-SEARCH("#",SUBSTITUTE(I2,".","#",LEN(I2)-LEN(SUBSTITUTE(I2,".","")))))</f>
        <v>#VALUE!</v>
      </c>
      <c r="F2" s="989">
        <f>J2</f>
        <v>0</v>
      </c>
      <c r="G2" s="44"/>
      <c r="H2" s="763"/>
      <c r="I2" s="232"/>
      <c r="J2" s="219"/>
      <c r="K2" s="127" t="s">
        <v>550</v>
      </c>
      <c r="L2" s="102"/>
      <c r="M2" s="102"/>
      <c r="N2" s="978"/>
      <c r="O2" s="83" t="s">
        <v>551</v>
      </c>
      <c r="P2" s="978"/>
      <c r="Q2" s="44"/>
      <c r="R2" s="44"/>
      <c r="W2" s="44"/>
      <c r="Z2" s="958"/>
      <c r="AF2" s="575"/>
      <c r="AG2" s="575"/>
      <c r="AH2" s="575"/>
      <c r="AI2" s="575"/>
      <c r="AJ2" s="575"/>
      <c r="AK2" s="38">
        <v>0</v>
      </c>
    </row>
    <row r="3" hidden="1" customHeight="1" spans="5:37">
      <c r="E3" s="990" t="s">
        <v>612</v>
      </c>
      <c r="L3" s="43">
        <f>0</f>
        <v>0</v>
      </c>
      <c r="M3" s="43">
        <v>1</v>
      </c>
      <c r="AK3" s="43">
        <v>0</v>
      </c>
    </row>
    <row r="4" s="575" customFormat="1" hidden="1" customHeight="1" spans="1:37">
      <c r="A4" s="957"/>
      <c r="B4" s="957"/>
      <c r="C4" s="957"/>
      <c r="E4" s="957"/>
      <c r="F4" s="38"/>
      <c r="G4" s="44"/>
      <c r="N4" s="38"/>
      <c r="O4" s="575">
        <v>4</v>
      </c>
      <c r="P4" s="38"/>
      <c r="Q4" s="44"/>
      <c r="R4" s="44"/>
      <c r="S4" s="38"/>
      <c r="T4" s="38"/>
      <c r="U4" s="38"/>
      <c r="V4" s="38"/>
      <c r="W4" s="44"/>
      <c r="X4" s="38"/>
      <c r="Y4" s="38"/>
      <c r="Z4" s="958"/>
      <c r="AA4" s="38"/>
      <c r="AB4" s="38"/>
      <c r="AC4" s="38"/>
      <c r="AD4" s="38"/>
      <c r="AE4" s="38"/>
      <c r="AK4" s="575">
        <v>0</v>
      </c>
    </row>
    <row r="5" ht="11.55" customHeight="1" spans="37:37">
      <c r="AK5" s="43">
        <v>11</v>
      </c>
    </row>
    <row r="6" ht="57.75" customHeight="1" spans="9:37">
      <c r="I6" s="981" t="s">
        <v>613</v>
      </c>
      <c r="J6" s="981"/>
      <c r="K6" s="981"/>
      <c r="L6" s="981"/>
      <c r="M6" s="981"/>
      <c r="O6" s="121"/>
      <c r="AK6" s="43">
        <v>55</v>
      </c>
    </row>
    <row r="7" ht="25.2" customHeight="1" spans="9:37">
      <c r="I7" s="660" t="str">
        <f>IF(org=0,"Не определено",org)</f>
        <v>АО "Теплокоммунэнерго"</v>
      </c>
      <c r="J7" s="660"/>
      <c r="K7" s="660"/>
      <c r="L7" s="660"/>
      <c r="M7" s="660"/>
      <c r="AK7" s="43">
        <v>24</v>
      </c>
    </row>
    <row r="8" ht="11.55" customHeight="1" spans="9:37">
      <c r="I8" s="899"/>
      <c r="J8" s="899"/>
      <c r="K8" s="899"/>
      <c r="L8" s="899"/>
      <c r="M8" s="899"/>
      <c r="AK8" s="43">
        <v>11</v>
      </c>
    </row>
    <row r="9" s="44" customFormat="1" ht="30" hidden="1" customHeight="1" spans="1:37">
      <c r="A9" s="307"/>
      <c r="B9" s="307"/>
      <c r="C9" s="307"/>
      <c r="E9" s="307"/>
      <c r="L9" s="959"/>
      <c r="M9" s="959" t="s">
        <v>115</v>
      </c>
      <c r="AK9" s="44">
        <v>1</v>
      </c>
    </row>
    <row r="10" ht="11.55" customHeight="1" spans="5:37">
      <c r="E10" s="991" t="s">
        <v>614</v>
      </c>
      <c r="I10" s="756"/>
      <c r="J10" s="757" t="s">
        <v>103</v>
      </c>
      <c r="K10" s="758"/>
      <c r="L10" s="924" t="str">
        <f>IF(L9="","",INDEX(DIFFERENTIATION_UNMERGE_VD,MATCH(L9,DIFFERENTIATION_ID_DIFF,0)))</f>
        <v/>
      </c>
      <c r="M10" s="924">
        <f>IF(M9="","",INDEX(DIFFERENTIATION_UNMERGE_VD,MATCH(M9,DIFFERENTIATION_ID_DIFF,0)))</f>
        <v>0</v>
      </c>
      <c r="O10" s="64" t="s">
        <v>297</v>
      </c>
      <c r="AK10" s="43">
        <v>11</v>
      </c>
    </row>
    <row r="11" ht="11.55" customHeight="1" spans="5:37">
      <c r="E11" s="991" t="s">
        <v>615</v>
      </c>
      <c r="I11" s="756"/>
      <c r="J11" s="757" t="s">
        <v>558</v>
      </c>
      <c r="K11" s="758"/>
      <c r="L11" s="924" t="str">
        <f>IF(L9="","",INDEX(DIFFERENTIATION_UNMERGE_AREA,MATCH(L9,DIFFERENTIATION_ID_DIFF,0)))</f>
        <v/>
      </c>
      <c r="M11" s="924" t="str">
        <f>IF(M9="","",INDEX(DIFFERENTIATION_UNMERGE_AREA,MATCH(M9,DIFFERENTIATION_ID_DIFF,0)))</f>
        <v/>
      </c>
      <c r="O11" s="64"/>
      <c r="AK11" s="43">
        <v>11</v>
      </c>
    </row>
    <row r="12" ht="11.55" customHeight="1" spans="5:37">
      <c r="E12" s="991" t="s">
        <v>616</v>
      </c>
      <c r="I12" s="960"/>
      <c r="J12" s="757" t="s">
        <v>559</v>
      </c>
      <c r="K12" s="758"/>
      <c r="L12" s="924" t="str">
        <f>IF(L9="","",INDEX(DIFFERENTIATION_UNMERGE_SYSTEM,MATCH(L9,DIFFERENTIATION_ID_DIFF,0)))</f>
        <v/>
      </c>
      <c r="M12" s="924" t="str">
        <f>IF(M9="","",INDEX(DIFFERENTIATION_UNMERGE_SYSTEM,MATCH(M9,DIFFERENTIATION_ID_DIFF,0)))</f>
        <v>без дифференциации</v>
      </c>
      <c r="O12" s="64"/>
      <c r="AK12" s="43">
        <v>11</v>
      </c>
    </row>
    <row r="13" ht="11.55" customHeight="1" spans="5:37">
      <c r="E13" s="991" t="s">
        <v>617</v>
      </c>
      <c r="F13" s="991" t="s">
        <v>618</v>
      </c>
      <c r="I13" s="761" t="s">
        <v>296</v>
      </c>
      <c r="J13" s="762"/>
      <c r="K13" s="762"/>
      <c r="L13" s="757"/>
      <c r="M13" s="993"/>
      <c r="O13" s="64"/>
      <c r="AK13" s="43">
        <v>11</v>
      </c>
    </row>
    <row r="14" ht="24" customHeight="1" spans="9:37">
      <c r="I14" s="64" t="s">
        <v>89</v>
      </c>
      <c r="J14" s="64" t="s">
        <v>298</v>
      </c>
      <c r="K14" s="64" t="s">
        <v>560</v>
      </c>
      <c r="L14" s="126" t="s">
        <v>299</v>
      </c>
      <c r="M14" s="64" t="s">
        <v>299</v>
      </c>
      <c r="O14" s="64"/>
      <c r="AK14" s="43">
        <v>23</v>
      </c>
    </row>
    <row r="15" ht="24" customHeight="1" spans="1:37">
      <c r="A15" s="992"/>
      <c r="B15" s="987" t="s">
        <v>619</v>
      </c>
      <c r="C15" s="987" t="s">
        <v>620</v>
      </c>
      <c r="D15" s="988" t="s">
        <v>621</v>
      </c>
      <c r="E15" s="989" t="s">
        <v>622</v>
      </c>
      <c r="F15" s="989" t="s">
        <v>622</v>
      </c>
      <c r="G15" s="44" t="s">
        <v>574</v>
      </c>
      <c r="H15" s="522"/>
      <c r="I15" s="964">
        <v>1</v>
      </c>
      <c r="J15" s="393" t="s">
        <v>623</v>
      </c>
      <c r="K15" s="64" t="s">
        <v>302</v>
      </c>
      <c r="L15" s="829"/>
      <c r="M15" s="628"/>
      <c r="N15" s="978" t="s">
        <v>624</v>
      </c>
      <c r="O15" s="83" t="s">
        <v>625</v>
      </c>
      <c r="P15" s="978" t="s">
        <v>624</v>
      </c>
      <c r="AK15" s="43">
        <v>23</v>
      </c>
    </row>
    <row r="16" ht="35.7" customHeight="1" spans="1:37">
      <c r="A16" s="992"/>
      <c r="B16" s="987" t="s">
        <v>626</v>
      </c>
      <c r="C16" s="987" t="s">
        <v>627</v>
      </c>
      <c r="D16" s="988" t="s">
        <v>611</v>
      </c>
      <c r="E16" s="989" t="s">
        <v>622</v>
      </c>
      <c r="F16" s="989" t="s">
        <v>622</v>
      </c>
      <c r="H16" s="522"/>
      <c r="I16" s="967">
        <v>2</v>
      </c>
      <c r="J16" s="553" t="s">
        <v>628</v>
      </c>
      <c r="K16" s="71" t="s">
        <v>550</v>
      </c>
      <c r="L16" s="994"/>
      <c r="M16" s="983"/>
      <c r="N16" s="978" t="s">
        <v>624</v>
      </c>
      <c r="O16" s="83" t="s">
        <v>629</v>
      </c>
      <c r="P16" s="978" t="s">
        <v>624</v>
      </c>
      <c r="AK16" s="43">
        <v>34</v>
      </c>
    </row>
    <row r="17" s="44" customFormat="1" ht="17.25" hidden="1" customHeight="1" spans="1:37">
      <c r="A17" s="307"/>
      <c r="B17" s="307"/>
      <c r="C17" s="307"/>
      <c r="D17" s="307"/>
      <c r="E17" s="307"/>
      <c r="H17" s="307"/>
      <c r="I17" s="675" t="s">
        <v>630</v>
      </c>
      <c r="J17" s="969"/>
      <c r="K17" s="675"/>
      <c r="L17" s="970"/>
      <c r="M17" s="970"/>
      <c r="O17" s="995"/>
      <c r="AK17" s="44">
        <v>1</v>
      </c>
    </row>
    <row r="18" s="38" customFormat="1" ht="24" customHeight="1" spans="1:37">
      <c r="A18" s="957"/>
      <c r="B18" s="957"/>
      <c r="C18" s="957"/>
      <c r="D18" s="957"/>
      <c r="E18" s="957"/>
      <c r="G18" s="44"/>
      <c r="H18" s="217"/>
      <c r="I18" s="971"/>
      <c r="J18" s="780" t="s">
        <v>581</v>
      </c>
      <c r="K18" s="402"/>
      <c r="L18" s="996"/>
      <c r="M18" s="921"/>
      <c r="N18" s="978"/>
      <c r="O18" s="83" t="s">
        <v>582</v>
      </c>
      <c r="P18" s="978"/>
      <c r="Q18" s="44"/>
      <c r="R18" s="44"/>
      <c r="W18" s="44"/>
      <c r="Z18" s="958"/>
      <c r="AF18" s="575"/>
      <c r="AG18" s="575"/>
      <c r="AH18" s="575"/>
      <c r="AI18" s="575"/>
      <c r="AJ18" s="575"/>
      <c r="AK18" s="38">
        <v>23</v>
      </c>
    </row>
    <row r="19" ht="19.95" customHeight="1" spans="1:37">
      <c r="A19" s="992"/>
      <c r="B19" s="987" t="s">
        <v>631</v>
      </c>
      <c r="C19" s="987" t="s">
        <v>632</v>
      </c>
      <c r="D19" s="988" t="s">
        <v>611</v>
      </c>
      <c r="E19" s="989" t="s">
        <v>622</v>
      </c>
      <c r="F19" s="989" t="s">
        <v>622</v>
      </c>
      <c r="H19" s="522"/>
      <c r="I19" s="966">
        <v>3</v>
      </c>
      <c r="J19" s="393" t="s">
        <v>632</v>
      </c>
      <c r="K19" s="128" t="s">
        <v>550</v>
      </c>
      <c r="L19" s="954"/>
      <c r="M19" s="928"/>
      <c r="N19" s="978"/>
      <c r="O19" s="83" t="s">
        <v>633</v>
      </c>
      <c r="P19" s="978"/>
      <c r="AK19" s="43">
        <v>19</v>
      </c>
    </row>
    <row r="20" ht="77.7" customHeight="1" spans="1:37">
      <c r="A20" s="992"/>
      <c r="B20" s="987" t="s">
        <v>634</v>
      </c>
      <c r="C20" s="987" t="s">
        <v>635</v>
      </c>
      <c r="D20" s="988" t="s">
        <v>611</v>
      </c>
      <c r="E20" s="989" t="s">
        <v>622</v>
      </c>
      <c r="F20" s="989" t="s">
        <v>622</v>
      </c>
      <c r="H20" s="522"/>
      <c r="I20" s="966">
        <v>4</v>
      </c>
      <c r="J20" s="393" t="s">
        <v>636</v>
      </c>
      <c r="K20" s="128" t="s">
        <v>578</v>
      </c>
      <c r="L20" s="954"/>
      <c r="M20" s="928"/>
      <c r="N20" s="978"/>
      <c r="O20" s="83"/>
      <c r="P20" s="978"/>
      <c r="AK20" s="43">
        <v>74</v>
      </c>
    </row>
    <row r="21" ht="35.7" customHeight="1" spans="1:37">
      <c r="A21" s="992"/>
      <c r="B21" s="987" t="s">
        <v>637</v>
      </c>
      <c r="C21" s="987" t="s">
        <v>638</v>
      </c>
      <c r="D21" s="988" t="s">
        <v>611</v>
      </c>
      <c r="E21" s="989" t="s">
        <v>622</v>
      </c>
      <c r="F21" s="989" t="s">
        <v>622</v>
      </c>
      <c r="H21" s="522"/>
      <c r="I21" s="966">
        <v>5</v>
      </c>
      <c r="J21" s="393" t="s">
        <v>639</v>
      </c>
      <c r="K21" s="128" t="s">
        <v>578</v>
      </c>
      <c r="L21" s="954"/>
      <c r="M21" s="928"/>
      <c r="N21" s="978"/>
      <c r="O21" s="83" t="s">
        <v>633</v>
      </c>
      <c r="P21" s="978"/>
      <c r="AK21" s="43">
        <v>34</v>
      </c>
    </row>
    <row r="22" ht="48.3" customHeight="1" spans="1:37">
      <c r="A22" s="992"/>
      <c r="B22" s="987" t="s">
        <v>640</v>
      </c>
      <c r="C22" s="987" t="s">
        <v>641</v>
      </c>
      <c r="D22" s="988" t="s">
        <v>611</v>
      </c>
      <c r="E22" s="989" t="s">
        <v>622</v>
      </c>
      <c r="F22" s="989" t="s">
        <v>622</v>
      </c>
      <c r="H22" s="522"/>
      <c r="I22" s="966">
        <v>6</v>
      </c>
      <c r="J22" s="393" t="s">
        <v>642</v>
      </c>
      <c r="K22" s="128" t="s">
        <v>578</v>
      </c>
      <c r="L22" s="954"/>
      <c r="M22" s="928"/>
      <c r="N22" s="978"/>
      <c r="O22" s="83" t="s">
        <v>643</v>
      </c>
      <c r="P22" s="978"/>
      <c r="AK22" s="43">
        <v>46</v>
      </c>
    </row>
    <row r="23" ht="19.95" customHeight="1" spans="1:37">
      <c r="A23" s="992"/>
      <c r="B23" s="987" t="s">
        <v>644</v>
      </c>
      <c r="C23" s="987" t="s">
        <v>645</v>
      </c>
      <c r="D23" s="988" t="s">
        <v>611</v>
      </c>
      <c r="E23" s="989" t="s">
        <v>622</v>
      </c>
      <c r="F23" s="989" t="s">
        <v>622</v>
      </c>
      <c r="H23" s="522"/>
      <c r="I23" s="966" t="s">
        <v>646</v>
      </c>
      <c r="J23" s="669" t="s">
        <v>647</v>
      </c>
      <c r="K23" s="128" t="s">
        <v>578</v>
      </c>
      <c r="L23" s="954"/>
      <c r="M23" s="928"/>
      <c r="N23" s="978"/>
      <c r="O23" s="83" t="s">
        <v>633</v>
      </c>
      <c r="P23" s="978"/>
      <c r="AK23" s="43">
        <v>19</v>
      </c>
    </row>
    <row r="24" ht="19.95" customHeight="1" spans="1:37">
      <c r="A24" s="992"/>
      <c r="B24" s="987" t="s">
        <v>648</v>
      </c>
      <c r="C24" s="987" t="s">
        <v>649</v>
      </c>
      <c r="D24" s="988" t="s">
        <v>611</v>
      </c>
      <c r="E24" s="989" t="s">
        <v>622</v>
      </c>
      <c r="F24" s="989" t="s">
        <v>622</v>
      </c>
      <c r="H24" s="522"/>
      <c r="I24" s="966" t="s">
        <v>650</v>
      </c>
      <c r="J24" s="669" t="s">
        <v>651</v>
      </c>
      <c r="K24" s="128" t="s">
        <v>578</v>
      </c>
      <c r="L24" s="954"/>
      <c r="M24" s="928"/>
      <c r="N24" s="978"/>
      <c r="O24" s="83"/>
      <c r="P24" s="978"/>
      <c r="AK24" s="43">
        <v>19</v>
      </c>
    </row>
    <row r="25" ht="24" customHeight="1" spans="1:37">
      <c r="A25" s="992"/>
      <c r="B25" s="987" t="s">
        <v>652</v>
      </c>
      <c r="C25" s="987" t="s">
        <v>653</v>
      </c>
      <c r="D25" s="988" t="s">
        <v>611</v>
      </c>
      <c r="E25" s="989" t="s">
        <v>622</v>
      </c>
      <c r="F25" s="989" t="s">
        <v>622</v>
      </c>
      <c r="H25" s="522"/>
      <c r="I25" s="966" t="s">
        <v>654</v>
      </c>
      <c r="J25" s="669" t="s">
        <v>655</v>
      </c>
      <c r="K25" s="128" t="s">
        <v>578</v>
      </c>
      <c r="L25" s="954"/>
      <c r="M25" s="928"/>
      <c r="N25" s="978"/>
      <c r="O25" s="83"/>
      <c r="P25" s="978"/>
      <c r="AK25" s="43">
        <v>23</v>
      </c>
    </row>
    <row r="26" ht="24" customHeight="1" spans="1:37">
      <c r="A26" s="992"/>
      <c r="B26" s="987" t="s">
        <v>656</v>
      </c>
      <c r="C26" s="987" t="s">
        <v>657</v>
      </c>
      <c r="D26" s="988" t="s">
        <v>611</v>
      </c>
      <c r="E26" s="989" t="s">
        <v>622</v>
      </c>
      <c r="F26" s="989" t="s">
        <v>622</v>
      </c>
      <c r="H26" s="522"/>
      <c r="I26" s="966">
        <v>7</v>
      </c>
      <c r="J26" s="393" t="s">
        <v>657</v>
      </c>
      <c r="K26" s="128" t="s">
        <v>658</v>
      </c>
      <c r="L26" s="954"/>
      <c r="M26" s="928"/>
      <c r="N26" s="978"/>
      <c r="O26" s="83"/>
      <c r="P26" s="978"/>
      <c r="AK26" s="43">
        <v>23</v>
      </c>
    </row>
    <row r="27" ht="24" customHeight="1" spans="1:37">
      <c r="A27" s="992"/>
      <c r="B27" s="987" t="s">
        <v>659</v>
      </c>
      <c r="C27" s="987" t="s">
        <v>660</v>
      </c>
      <c r="D27" s="988" t="s">
        <v>611</v>
      </c>
      <c r="E27" s="989" t="s">
        <v>622</v>
      </c>
      <c r="F27" s="989" t="s">
        <v>622</v>
      </c>
      <c r="H27" s="522"/>
      <c r="I27" s="966">
        <v>8</v>
      </c>
      <c r="J27" s="393" t="s">
        <v>660</v>
      </c>
      <c r="K27" s="128" t="s">
        <v>583</v>
      </c>
      <c r="L27" s="954"/>
      <c r="M27" s="928"/>
      <c r="N27" s="978"/>
      <c r="O27" s="83"/>
      <c r="P27" s="978"/>
      <c r="AK27" s="43">
        <v>23</v>
      </c>
    </row>
    <row r="28" ht="35.7" customHeight="1" spans="1:37">
      <c r="A28" s="992"/>
      <c r="B28" s="987" t="s">
        <v>661</v>
      </c>
      <c r="C28" s="987" t="s">
        <v>662</v>
      </c>
      <c r="D28" s="988" t="s">
        <v>611</v>
      </c>
      <c r="E28" s="989" t="s">
        <v>622</v>
      </c>
      <c r="F28" s="989" t="s">
        <v>622</v>
      </c>
      <c r="H28" s="522"/>
      <c r="I28" s="982">
        <v>9</v>
      </c>
      <c r="J28" s="393" t="s">
        <v>663</v>
      </c>
      <c r="K28" s="128" t="s">
        <v>554</v>
      </c>
      <c r="L28" s="954"/>
      <c r="M28" s="928"/>
      <c r="N28" s="978"/>
      <c r="O28" s="83"/>
      <c r="P28" s="978"/>
      <c r="AK28" s="43">
        <v>34</v>
      </c>
    </row>
    <row r="29" ht="35.7" customHeight="1" spans="1:37">
      <c r="A29" s="992"/>
      <c r="B29" s="987" t="s">
        <v>664</v>
      </c>
      <c r="C29" s="987" t="s">
        <v>665</v>
      </c>
      <c r="D29" s="988" t="s">
        <v>611</v>
      </c>
      <c r="E29" s="989" t="s">
        <v>622</v>
      </c>
      <c r="F29" s="989" t="s">
        <v>622</v>
      </c>
      <c r="H29" s="522"/>
      <c r="I29" s="982">
        <v>10</v>
      </c>
      <c r="J29" s="393" t="s">
        <v>666</v>
      </c>
      <c r="K29" s="128" t="s">
        <v>554</v>
      </c>
      <c r="L29" s="954"/>
      <c r="M29" s="928"/>
      <c r="N29" s="978"/>
      <c r="O29" s="83"/>
      <c r="P29" s="978"/>
      <c r="AK29" s="43">
        <v>34</v>
      </c>
    </row>
    <row r="30" ht="24" customHeight="1" spans="1:37">
      <c r="A30" s="992"/>
      <c r="B30" s="987" t="s">
        <v>667</v>
      </c>
      <c r="C30" s="987" t="s">
        <v>668</v>
      </c>
      <c r="D30" s="988" t="s">
        <v>611</v>
      </c>
      <c r="E30" s="989" t="s">
        <v>622</v>
      </c>
      <c r="F30" s="989" t="s">
        <v>622</v>
      </c>
      <c r="H30" s="522"/>
      <c r="I30" s="982">
        <v>11</v>
      </c>
      <c r="J30" s="393" t="s">
        <v>668</v>
      </c>
      <c r="K30" s="128" t="s">
        <v>584</v>
      </c>
      <c r="L30" s="997"/>
      <c r="M30" s="998"/>
      <c r="N30" s="978"/>
      <c r="O30" s="83"/>
      <c r="P30" s="978"/>
      <c r="AK30" s="43">
        <v>23</v>
      </c>
    </row>
    <row r="31" ht="24" customHeight="1" spans="1:37">
      <c r="A31" s="992"/>
      <c r="B31" s="987" t="s">
        <v>669</v>
      </c>
      <c r="C31" s="987" t="s">
        <v>670</v>
      </c>
      <c r="D31" s="988" t="s">
        <v>611</v>
      </c>
      <c r="E31" s="989" t="s">
        <v>622</v>
      </c>
      <c r="F31" s="989" t="s">
        <v>622</v>
      </c>
      <c r="H31" s="522"/>
      <c r="I31" s="982">
        <v>12</v>
      </c>
      <c r="J31" s="393" t="s">
        <v>670</v>
      </c>
      <c r="K31" s="128" t="s">
        <v>584</v>
      </c>
      <c r="L31" s="997"/>
      <c r="M31" s="998"/>
      <c r="N31" s="978"/>
      <c r="O31" s="83"/>
      <c r="P31" s="978"/>
      <c r="AK31" s="43">
        <v>23</v>
      </c>
    </row>
    <row r="32" ht="48.3" customHeight="1" spans="1:37">
      <c r="A32" s="992"/>
      <c r="B32" s="987" t="s">
        <v>671</v>
      </c>
      <c r="C32" s="987" t="s">
        <v>672</v>
      </c>
      <c r="D32" s="988" t="s">
        <v>611</v>
      </c>
      <c r="E32" s="989" t="s">
        <v>622</v>
      </c>
      <c r="F32" s="989" t="s">
        <v>622</v>
      </c>
      <c r="H32" s="522"/>
      <c r="I32" s="982">
        <v>13</v>
      </c>
      <c r="J32" s="393" t="s">
        <v>673</v>
      </c>
      <c r="K32" s="128" t="s">
        <v>594</v>
      </c>
      <c r="L32" s="954"/>
      <c r="M32" s="928"/>
      <c r="N32" s="978"/>
      <c r="O32" s="83" t="s">
        <v>633</v>
      </c>
      <c r="P32" s="978"/>
      <c r="AK32" s="43">
        <v>46</v>
      </c>
    </row>
    <row r="33" s="38" customFormat="1" ht="48.3" customHeight="1" spans="1:37">
      <c r="A33" s="992"/>
      <c r="B33" s="987" t="s">
        <v>674</v>
      </c>
      <c r="C33" s="987" t="s">
        <v>675</v>
      </c>
      <c r="D33" s="988" t="s">
        <v>611</v>
      </c>
      <c r="E33" s="989" t="s">
        <v>622</v>
      </c>
      <c r="F33" s="989" t="s">
        <v>622</v>
      </c>
      <c r="G33" s="44"/>
      <c r="H33" s="522"/>
      <c r="I33" s="982">
        <v>14</v>
      </c>
      <c r="J33" s="553" t="s">
        <v>676</v>
      </c>
      <c r="K33" s="903" t="s">
        <v>677</v>
      </c>
      <c r="L33" s="954"/>
      <c r="M33" s="928"/>
      <c r="N33" s="978"/>
      <c r="O33" s="83" t="s">
        <v>633</v>
      </c>
      <c r="P33" s="978"/>
      <c r="Q33" s="44"/>
      <c r="R33" s="44"/>
      <c r="W33" s="44"/>
      <c r="Z33" s="958"/>
      <c r="AF33" s="575"/>
      <c r="AG33" s="575"/>
      <c r="AH33" s="575"/>
      <c r="AI33" s="575"/>
      <c r="AJ33" s="575"/>
      <c r="AK33" s="38">
        <v>46</v>
      </c>
    </row>
    <row r="34" ht="108" customHeight="1" spans="1:37">
      <c r="A34" s="992"/>
      <c r="B34" s="987" t="s">
        <v>678</v>
      </c>
      <c r="C34" s="987" t="s">
        <v>679</v>
      </c>
      <c r="D34" s="988" t="s">
        <v>621</v>
      </c>
      <c r="E34" s="989" t="s">
        <v>622</v>
      </c>
      <c r="F34" s="989" t="s">
        <v>622</v>
      </c>
      <c r="G34" s="44" t="s">
        <v>574</v>
      </c>
      <c r="H34" s="522"/>
      <c r="I34" s="232">
        <v>15</v>
      </c>
      <c r="J34" s="393" t="s">
        <v>680</v>
      </c>
      <c r="K34" s="128" t="s">
        <v>302</v>
      </c>
      <c r="L34" s="823"/>
      <c r="M34" s="578"/>
      <c r="N34" s="978"/>
      <c r="O34" s="83" t="s">
        <v>625</v>
      </c>
      <c r="P34" s="978"/>
      <c r="AK34" s="43">
        <v>103</v>
      </c>
    </row>
    <row r="35" s="37" customFormat="1" ht="11.55" customHeight="1" spans="1:37">
      <c r="A35" s="957"/>
      <c r="B35" s="957"/>
      <c r="C35" s="957"/>
      <c r="D35" s="957"/>
      <c r="E35" s="957"/>
      <c r="F35" s="44"/>
      <c r="G35" s="44"/>
      <c r="N35" s="38"/>
      <c r="P35" s="38"/>
      <c r="Q35" s="44"/>
      <c r="R35" s="44"/>
      <c r="S35" s="38"/>
      <c r="T35" s="38"/>
      <c r="U35" s="38"/>
      <c r="V35" s="38"/>
      <c r="W35" s="44"/>
      <c r="X35" s="38"/>
      <c r="Y35" s="38"/>
      <c r="Z35" s="958"/>
      <c r="AA35" s="38"/>
      <c r="AB35" s="38"/>
      <c r="AC35" s="38"/>
      <c r="AD35" s="38"/>
      <c r="AE35" s="38"/>
      <c r="AF35" s="575"/>
      <c r="AG35" s="976"/>
      <c r="AH35" s="976"/>
      <c r="AI35" s="976"/>
      <c r="AJ35" s="976"/>
      <c r="AK35" s="37">
        <v>11</v>
      </c>
    </row>
    <row r="36" s="37" customFormat="1" ht="11.55" customHeight="1" spans="1:37">
      <c r="A36" s="957"/>
      <c r="B36" s="957"/>
      <c r="C36" s="957"/>
      <c r="D36" s="957"/>
      <c r="E36" s="957"/>
      <c r="F36" s="44"/>
      <c r="G36" s="44"/>
      <c r="N36" s="38"/>
      <c r="P36" s="38"/>
      <c r="Q36" s="44"/>
      <c r="R36" s="44"/>
      <c r="S36" s="38"/>
      <c r="T36" s="38"/>
      <c r="U36" s="38"/>
      <c r="V36" s="38"/>
      <c r="W36" s="44"/>
      <c r="X36" s="38"/>
      <c r="Y36" s="38"/>
      <c r="Z36" s="958"/>
      <c r="AA36" s="38"/>
      <c r="AB36" s="38"/>
      <c r="AC36" s="38"/>
      <c r="AD36" s="38"/>
      <c r="AE36" s="38"/>
      <c r="AF36" s="575"/>
      <c r="AG36" s="976"/>
      <c r="AH36" s="976"/>
      <c r="AI36" s="976"/>
      <c r="AJ36" s="976"/>
      <c r="AK36" s="37">
        <v>11</v>
      </c>
    </row>
    <row r="37" s="37" customFormat="1" ht="11.55" customHeight="1" spans="1:37">
      <c r="A37" s="957"/>
      <c r="B37" s="957"/>
      <c r="C37" s="957"/>
      <c r="D37" s="957"/>
      <c r="E37" s="957"/>
      <c r="F37" s="44"/>
      <c r="G37" s="44"/>
      <c r="L37" s="976"/>
      <c r="M37" s="976"/>
      <c r="N37" s="38"/>
      <c r="P37" s="38"/>
      <c r="Q37" s="44"/>
      <c r="R37" s="44"/>
      <c r="S37" s="38"/>
      <c r="T37" s="38"/>
      <c r="U37" s="38"/>
      <c r="V37" s="38"/>
      <c r="W37" s="44"/>
      <c r="X37" s="38"/>
      <c r="Y37" s="38"/>
      <c r="Z37" s="958"/>
      <c r="AA37" s="38"/>
      <c r="AB37" s="38"/>
      <c r="AC37" s="38"/>
      <c r="AD37" s="38"/>
      <c r="AE37" s="38"/>
      <c r="AF37" s="575"/>
      <c r="AG37" s="976"/>
      <c r="AH37" s="976"/>
      <c r="AI37" s="976"/>
      <c r="AJ37" s="976"/>
      <c r="AK37" s="37">
        <v>11</v>
      </c>
    </row>
    <row r="38" s="37" customFormat="1" ht="11.55" customHeight="1" spans="1:37">
      <c r="A38" s="957"/>
      <c r="B38" s="957"/>
      <c r="C38" s="957"/>
      <c r="D38" s="957"/>
      <c r="E38" s="957"/>
      <c r="F38" s="44"/>
      <c r="G38" s="44"/>
      <c r="N38" s="38"/>
      <c r="P38" s="38"/>
      <c r="Q38" s="44"/>
      <c r="R38" s="44"/>
      <c r="S38" s="38"/>
      <c r="T38" s="38"/>
      <c r="U38" s="38"/>
      <c r="V38" s="38"/>
      <c r="W38" s="44"/>
      <c r="X38" s="38"/>
      <c r="Y38" s="38"/>
      <c r="Z38" s="958"/>
      <c r="AA38" s="38"/>
      <c r="AB38" s="38"/>
      <c r="AC38" s="38"/>
      <c r="AD38" s="38"/>
      <c r="AE38" s="38"/>
      <c r="AF38" s="575"/>
      <c r="AG38" s="976"/>
      <c r="AH38" s="976"/>
      <c r="AI38" s="976"/>
      <c r="AJ38" s="976"/>
      <c r="AK38" s="37">
        <v>11</v>
      </c>
    </row>
    <row r="39" s="37" customFormat="1" ht="11.55" customHeight="1" spans="1:37">
      <c r="A39" s="957"/>
      <c r="B39" s="957"/>
      <c r="C39" s="957"/>
      <c r="D39" s="957"/>
      <c r="E39" s="957"/>
      <c r="F39" s="44"/>
      <c r="G39" s="44"/>
      <c r="N39" s="38"/>
      <c r="P39" s="38"/>
      <c r="Q39" s="44"/>
      <c r="R39" s="44"/>
      <c r="S39" s="38"/>
      <c r="T39" s="38"/>
      <c r="U39" s="38"/>
      <c r="V39" s="38"/>
      <c r="W39" s="44"/>
      <c r="X39" s="38"/>
      <c r="Y39" s="38"/>
      <c r="Z39" s="958"/>
      <c r="AA39" s="38"/>
      <c r="AB39" s="38"/>
      <c r="AC39" s="38"/>
      <c r="AD39" s="38"/>
      <c r="AE39" s="38"/>
      <c r="AF39" s="575"/>
      <c r="AG39" s="976"/>
      <c r="AH39" s="976"/>
      <c r="AI39" s="976"/>
      <c r="AJ39" s="976"/>
      <c r="AK39" s="37">
        <v>11</v>
      </c>
    </row>
    <row r="40" s="37" customFormat="1" ht="11.55" customHeight="1" spans="1:37">
      <c r="A40" s="957"/>
      <c r="B40" s="957"/>
      <c r="C40" s="957"/>
      <c r="D40" s="957"/>
      <c r="E40" s="957"/>
      <c r="F40" s="44"/>
      <c r="G40" s="44"/>
      <c r="N40" s="38"/>
      <c r="P40" s="38"/>
      <c r="Q40" s="44"/>
      <c r="R40" s="44"/>
      <c r="S40" s="38"/>
      <c r="T40" s="38"/>
      <c r="U40" s="38"/>
      <c r="V40" s="38"/>
      <c r="W40" s="44"/>
      <c r="X40" s="38"/>
      <c r="Y40" s="38"/>
      <c r="Z40" s="958"/>
      <c r="AA40" s="38"/>
      <c r="AB40" s="38"/>
      <c r="AC40" s="38"/>
      <c r="AD40" s="38"/>
      <c r="AE40" s="38"/>
      <c r="AF40" s="575"/>
      <c r="AG40" s="976"/>
      <c r="AH40" s="976"/>
      <c r="AI40" s="976"/>
      <c r="AJ40" s="976"/>
      <c r="AK40" s="37">
        <v>11</v>
      </c>
    </row>
    <row r="41" s="37" customFormat="1" ht="11.55" customHeight="1" spans="1:37">
      <c r="A41" s="957"/>
      <c r="B41" s="957"/>
      <c r="C41" s="957"/>
      <c r="D41" s="957"/>
      <c r="E41" s="957"/>
      <c r="F41" s="44"/>
      <c r="G41" s="44"/>
      <c r="N41" s="38"/>
      <c r="P41" s="38"/>
      <c r="Q41" s="44"/>
      <c r="R41" s="44"/>
      <c r="S41" s="38"/>
      <c r="T41" s="38"/>
      <c r="U41" s="38"/>
      <c r="V41" s="38"/>
      <c r="W41" s="44"/>
      <c r="X41" s="38"/>
      <c r="Y41" s="38"/>
      <c r="Z41" s="958"/>
      <c r="AA41" s="38"/>
      <c r="AB41" s="38"/>
      <c r="AC41" s="38"/>
      <c r="AD41" s="38"/>
      <c r="AE41" s="38"/>
      <c r="AF41" s="575"/>
      <c r="AG41" s="976"/>
      <c r="AH41" s="976"/>
      <c r="AI41" s="976"/>
      <c r="AJ41" s="976"/>
      <c r="AK41" s="37">
        <v>11</v>
      </c>
    </row>
    <row r="42" s="37" customFormat="1" ht="11.55" customHeight="1" spans="1:37">
      <c r="A42" s="957"/>
      <c r="B42" s="957"/>
      <c r="C42" s="957"/>
      <c r="D42" s="957"/>
      <c r="E42" s="957"/>
      <c r="F42" s="44"/>
      <c r="G42" s="44"/>
      <c r="N42" s="38"/>
      <c r="P42" s="38"/>
      <c r="Q42" s="44"/>
      <c r="R42" s="44"/>
      <c r="S42" s="38"/>
      <c r="T42" s="38"/>
      <c r="U42" s="38"/>
      <c r="V42" s="38"/>
      <c r="W42" s="44"/>
      <c r="X42" s="38"/>
      <c r="Y42" s="38"/>
      <c r="Z42" s="958"/>
      <c r="AA42" s="38"/>
      <c r="AB42" s="38"/>
      <c r="AC42" s="38"/>
      <c r="AD42" s="38"/>
      <c r="AE42" s="38"/>
      <c r="AF42" s="575"/>
      <c r="AG42" s="976"/>
      <c r="AH42" s="976"/>
      <c r="AI42" s="976"/>
      <c r="AJ42" s="976"/>
      <c r="AK42" s="37">
        <v>11</v>
      </c>
    </row>
    <row r="43" s="37" customFormat="1" ht="11.55" customHeight="1" spans="1:37">
      <c r="A43" s="957"/>
      <c r="B43" s="957"/>
      <c r="C43" s="957"/>
      <c r="D43" s="957"/>
      <c r="E43" s="957"/>
      <c r="F43" s="44"/>
      <c r="G43" s="44"/>
      <c r="N43" s="38"/>
      <c r="P43" s="38"/>
      <c r="Q43" s="44"/>
      <c r="R43" s="44"/>
      <c r="S43" s="38"/>
      <c r="T43" s="38"/>
      <c r="U43" s="38"/>
      <c r="V43" s="38"/>
      <c r="W43" s="44"/>
      <c r="X43" s="38"/>
      <c r="Y43" s="38"/>
      <c r="Z43" s="958"/>
      <c r="AA43" s="38"/>
      <c r="AB43" s="38"/>
      <c r="AC43" s="38"/>
      <c r="AD43" s="38"/>
      <c r="AE43" s="38"/>
      <c r="AF43" s="575"/>
      <c r="AG43" s="976"/>
      <c r="AH43" s="976"/>
      <c r="AI43" s="976"/>
      <c r="AJ43" s="976"/>
      <c r="AK43" s="37">
        <v>11</v>
      </c>
    </row>
    <row r="44" s="37" customFormat="1" ht="11.55" customHeight="1" spans="1:37">
      <c r="A44" s="957"/>
      <c r="B44" s="957"/>
      <c r="C44" s="957"/>
      <c r="D44" s="957"/>
      <c r="E44" s="957"/>
      <c r="F44" s="44"/>
      <c r="G44" s="44"/>
      <c r="N44" s="38"/>
      <c r="P44" s="38"/>
      <c r="Q44" s="44"/>
      <c r="R44" s="44"/>
      <c r="S44" s="38"/>
      <c r="T44" s="38"/>
      <c r="U44" s="38"/>
      <c r="V44" s="38"/>
      <c r="W44" s="44"/>
      <c r="X44" s="38"/>
      <c r="Y44" s="38"/>
      <c r="Z44" s="958"/>
      <c r="AA44" s="38"/>
      <c r="AB44" s="38"/>
      <c r="AC44" s="38"/>
      <c r="AD44" s="38"/>
      <c r="AE44" s="38"/>
      <c r="AF44" s="575"/>
      <c r="AG44" s="976"/>
      <c r="AH44" s="976"/>
      <c r="AI44" s="976"/>
      <c r="AJ44" s="976"/>
      <c r="AK44" s="37">
        <v>11</v>
      </c>
    </row>
    <row r="45" s="37" customFormat="1" ht="11.55" customHeight="1" spans="1:37">
      <c r="A45" s="957"/>
      <c r="B45" s="957"/>
      <c r="C45" s="957"/>
      <c r="D45" s="957"/>
      <c r="E45" s="957"/>
      <c r="F45" s="44"/>
      <c r="G45" s="44"/>
      <c r="N45" s="38"/>
      <c r="P45" s="38"/>
      <c r="Q45" s="44"/>
      <c r="R45" s="44"/>
      <c r="S45" s="38"/>
      <c r="T45" s="38"/>
      <c r="U45" s="38"/>
      <c r="V45" s="38"/>
      <c r="W45" s="44"/>
      <c r="X45" s="38"/>
      <c r="Y45" s="38"/>
      <c r="Z45" s="958"/>
      <c r="AA45" s="38"/>
      <c r="AB45" s="38"/>
      <c r="AC45" s="38"/>
      <c r="AD45" s="38"/>
      <c r="AE45" s="38"/>
      <c r="AF45" s="575"/>
      <c r="AG45" s="976"/>
      <c r="AH45" s="976"/>
      <c r="AI45" s="976"/>
      <c r="AJ45" s="976"/>
      <c r="AK45" s="37">
        <v>11</v>
      </c>
    </row>
    <row r="46" s="37" customFormat="1" ht="11.55" customHeight="1" spans="1:37">
      <c r="A46" s="957"/>
      <c r="B46" s="957"/>
      <c r="C46" s="957"/>
      <c r="D46" s="957"/>
      <c r="E46" s="957"/>
      <c r="F46" s="44"/>
      <c r="G46" s="44"/>
      <c r="N46" s="38"/>
      <c r="P46" s="38"/>
      <c r="Q46" s="44"/>
      <c r="R46" s="44"/>
      <c r="S46" s="38"/>
      <c r="T46" s="38"/>
      <c r="U46" s="38"/>
      <c r="V46" s="38"/>
      <c r="W46" s="44"/>
      <c r="X46" s="38"/>
      <c r="Y46" s="38"/>
      <c r="Z46" s="958"/>
      <c r="AA46" s="38"/>
      <c r="AB46" s="38"/>
      <c r="AC46" s="38"/>
      <c r="AD46" s="38"/>
      <c r="AE46" s="38"/>
      <c r="AF46" s="575"/>
      <c r="AG46" s="976"/>
      <c r="AH46" s="976"/>
      <c r="AI46" s="976"/>
      <c r="AJ46" s="976"/>
      <c r="AK46" s="37">
        <v>11</v>
      </c>
    </row>
    <row r="47" s="37" customFormat="1" ht="11.55" customHeight="1" spans="1:37">
      <c r="A47" s="957"/>
      <c r="B47" s="957"/>
      <c r="C47" s="957"/>
      <c r="D47" s="957"/>
      <c r="E47" s="957"/>
      <c r="F47" s="44"/>
      <c r="G47" s="44"/>
      <c r="N47" s="38"/>
      <c r="P47" s="38"/>
      <c r="Q47" s="44"/>
      <c r="R47" s="44"/>
      <c r="S47" s="38"/>
      <c r="T47" s="38"/>
      <c r="U47" s="38"/>
      <c r="V47" s="38"/>
      <c r="W47" s="44"/>
      <c r="X47" s="38"/>
      <c r="Y47" s="38"/>
      <c r="Z47" s="958"/>
      <c r="AA47" s="38"/>
      <c r="AB47" s="38"/>
      <c r="AC47" s="38"/>
      <c r="AD47" s="38"/>
      <c r="AE47" s="38"/>
      <c r="AF47" s="575"/>
      <c r="AG47" s="976"/>
      <c r="AH47" s="976"/>
      <c r="AI47" s="976"/>
      <c r="AJ47" s="976"/>
      <c r="AK47" s="37">
        <v>11</v>
      </c>
    </row>
    <row r="48" s="37" customFormat="1" ht="11.55" customHeight="1" spans="1:37">
      <c r="A48" s="957"/>
      <c r="B48" s="957"/>
      <c r="C48" s="957"/>
      <c r="D48" s="957"/>
      <c r="E48" s="957"/>
      <c r="F48" s="44"/>
      <c r="G48" s="44"/>
      <c r="N48" s="38"/>
      <c r="P48" s="38"/>
      <c r="Q48" s="44"/>
      <c r="R48" s="44"/>
      <c r="S48" s="38"/>
      <c r="T48" s="38"/>
      <c r="U48" s="38"/>
      <c r="V48" s="38"/>
      <c r="W48" s="44"/>
      <c r="X48" s="38"/>
      <c r="Y48" s="38"/>
      <c r="Z48" s="958"/>
      <c r="AA48" s="38"/>
      <c r="AB48" s="38"/>
      <c r="AC48" s="38"/>
      <c r="AD48" s="38"/>
      <c r="AE48" s="38"/>
      <c r="AF48" s="575"/>
      <c r="AG48" s="976"/>
      <c r="AH48" s="976"/>
      <c r="AI48" s="976"/>
      <c r="AJ48" s="976"/>
      <c r="AK48" s="37">
        <v>11</v>
      </c>
    </row>
    <row r="49" s="37" customFormat="1" ht="11.55" customHeight="1" spans="1:37">
      <c r="A49" s="957"/>
      <c r="B49" s="957"/>
      <c r="C49" s="957"/>
      <c r="D49" s="957"/>
      <c r="E49" s="957"/>
      <c r="F49" s="44"/>
      <c r="G49" s="44"/>
      <c r="N49" s="38"/>
      <c r="P49" s="38"/>
      <c r="Q49" s="44"/>
      <c r="R49" s="44"/>
      <c r="S49" s="38"/>
      <c r="T49" s="38"/>
      <c r="U49" s="38"/>
      <c r="V49" s="38"/>
      <c r="W49" s="44"/>
      <c r="X49" s="38"/>
      <c r="Y49" s="38"/>
      <c r="Z49" s="958"/>
      <c r="AA49" s="38"/>
      <c r="AB49" s="38"/>
      <c r="AC49" s="38"/>
      <c r="AD49" s="38"/>
      <c r="AE49" s="38"/>
      <c r="AF49" s="575"/>
      <c r="AG49" s="976"/>
      <c r="AH49" s="976"/>
      <c r="AI49" s="976"/>
      <c r="AJ49" s="976"/>
      <c r="AK49" s="37">
        <v>11</v>
      </c>
    </row>
    <row r="50" s="37" customFormat="1" ht="11.55" customHeight="1" spans="1:37">
      <c r="A50" s="957"/>
      <c r="B50" s="957"/>
      <c r="C50" s="957"/>
      <c r="D50" s="957"/>
      <c r="E50" s="957"/>
      <c r="F50" s="44"/>
      <c r="G50" s="44"/>
      <c r="N50" s="38"/>
      <c r="P50" s="38"/>
      <c r="Q50" s="44"/>
      <c r="R50" s="44"/>
      <c r="S50" s="38"/>
      <c r="T50" s="38"/>
      <c r="U50" s="38"/>
      <c r="V50" s="38"/>
      <c r="W50" s="44"/>
      <c r="X50" s="38"/>
      <c r="Y50" s="38"/>
      <c r="Z50" s="958"/>
      <c r="AA50" s="38"/>
      <c r="AB50" s="38"/>
      <c r="AC50" s="38"/>
      <c r="AD50" s="38"/>
      <c r="AE50" s="38"/>
      <c r="AF50" s="575"/>
      <c r="AG50" s="976"/>
      <c r="AH50" s="976"/>
      <c r="AI50" s="976"/>
      <c r="AJ50" s="976"/>
      <c r="AK50" s="37">
        <v>11</v>
      </c>
    </row>
    <row r="51" s="37" customFormat="1" ht="11.55" customHeight="1" spans="1:37">
      <c r="A51" s="957"/>
      <c r="B51" s="957"/>
      <c r="C51" s="957"/>
      <c r="D51" s="957"/>
      <c r="E51" s="957"/>
      <c r="F51" s="44"/>
      <c r="G51" s="44"/>
      <c r="N51" s="38"/>
      <c r="P51" s="38"/>
      <c r="Q51" s="44"/>
      <c r="R51" s="44"/>
      <c r="S51" s="38"/>
      <c r="T51" s="38"/>
      <c r="U51" s="38"/>
      <c r="V51" s="38"/>
      <c r="W51" s="44"/>
      <c r="X51" s="38"/>
      <c r="Y51" s="38"/>
      <c r="Z51" s="958"/>
      <c r="AA51" s="38"/>
      <c r="AB51" s="38"/>
      <c r="AC51" s="38"/>
      <c r="AD51" s="38"/>
      <c r="AE51" s="38"/>
      <c r="AF51" s="575"/>
      <c r="AG51" s="976"/>
      <c r="AH51" s="976"/>
      <c r="AI51" s="976"/>
      <c r="AJ51" s="976"/>
      <c r="AK51" s="37">
        <v>11</v>
      </c>
    </row>
    <row r="52" s="37" customFormat="1" ht="11.55" customHeight="1" spans="1:37">
      <c r="A52" s="957"/>
      <c r="B52" s="957"/>
      <c r="C52" s="957"/>
      <c r="D52" s="957"/>
      <c r="E52" s="957"/>
      <c r="F52" s="44"/>
      <c r="G52" s="44"/>
      <c r="N52" s="38"/>
      <c r="P52" s="38"/>
      <c r="Q52" s="44"/>
      <c r="R52" s="44"/>
      <c r="S52" s="38"/>
      <c r="T52" s="38"/>
      <c r="U52" s="38"/>
      <c r="V52" s="38"/>
      <c r="W52" s="44"/>
      <c r="X52" s="38"/>
      <c r="Y52" s="38"/>
      <c r="Z52" s="958"/>
      <c r="AA52" s="38"/>
      <c r="AB52" s="38"/>
      <c r="AC52" s="38"/>
      <c r="AD52" s="38"/>
      <c r="AE52" s="38"/>
      <c r="AF52" s="575"/>
      <c r="AG52" s="976"/>
      <c r="AH52" s="976"/>
      <c r="AI52" s="976"/>
      <c r="AJ52" s="976"/>
      <c r="AK52" s="37">
        <v>11</v>
      </c>
    </row>
    <row r="53" s="37" customFormat="1" ht="11.55" customHeight="1" spans="1:37">
      <c r="A53" s="957"/>
      <c r="B53" s="957"/>
      <c r="C53" s="957"/>
      <c r="D53" s="957"/>
      <c r="E53" s="957"/>
      <c r="F53" s="44"/>
      <c r="G53" s="44"/>
      <c r="N53" s="38"/>
      <c r="P53" s="38"/>
      <c r="Q53" s="44"/>
      <c r="R53" s="44"/>
      <c r="S53" s="38"/>
      <c r="T53" s="38"/>
      <c r="U53" s="38"/>
      <c r="V53" s="38"/>
      <c r="W53" s="44"/>
      <c r="X53" s="38"/>
      <c r="Y53" s="38"/>
      <c r="Z53" s="958"/>
      <c r="AA53" s="38"/>
      <c r="AB53" s="38"/>
      <c r="AC53" s="38"/>
      <c r="AD53" s="38"/>
      <c r="AE53" s="38"/>
      <c r="AF53" s="575"/>
      <c r="AG53" s="976"/>
      <c r="AH53" s="976"/>
      <c r="AI53" s="976"/>
      <c r="AJ53" s="976"/>
      <c r="AK53" s="37">
        <v>11</v>
      </c>
    </row>
    <row r="54" s="37" customFormat="1" ht="11.55" customHeight="1" spans="1:37">
      <c r="A54" s="957"/>
      <c r="B54" s="957"/>
      <c r="C54" s="957"/>
      <c r="D54" s="957"/>
      <c r="E54" s="957"/>
      <c r="F54" s="44"/>
      <c r="G54" s="44"/>
      <c r="N54" s="38"/>
      <c r="P54" s="38"/>
      <c r="Q54" s="44"/>
      <c r="R54" s="44"/>
      <c r="S54" s="38"/>
      <c r="T54" s="38"/>
      <c r="U54" s="38"/>
      <c r="V54" s="38"/>
      <c r="W54" s="44"/>
      <c r="X54" s="38"/>
      <c r="Y54" s="38"/>
      <c r="Z54" s="958"/>
      <c r="AA54" s="38"/>
      <c r="AB54" s="38"/>
      <c r="AC54" s="38"/>
      <c r="AD54" s="38"/>
      <c r="AE54" s="38"/>
      <c r="AF54" s="575"/>
      <c r="AG54" s="976"/>
      <c r="AH54" s="976"/>
      <c r="AI54" s="976"/>
      <c r="AJ54" s="976"/>
      <c r="AK54" s="37">
        <v>11</v>
      </c>
    </row>
    <row r="55" s="37" customFormat="1" ht="11.55" customHeight="1" spans="1:37">
      <c r="A55" s="957"/>
      <c r="B55" s="957"/>
      <c r="C55" s="957"/>
      <c r="D55" s="957"/>
      <c r="E55" s="957"/>
      <c r="F55" s="44"/>
      <c r="G55" s="44"/>
      <c r="N55" s="38"/>
      <c r="P55" s="38"/>
      <c r="Q55" s="44"/>
      <c r="R55" s="44"/>
      <c r="S55" s="38"/>
      <c r="T55" s="38"/>
      <c r="U55" s="38"/>
      <c r="V55" s="38"/>
      <c r="W55" s="44"/>
      <c r="X55" s="38"/>
      <c r="Y55" s="38"/>
      <c r="Z55" s="958"/>
      <c r="AA55" s="38"/>
      <c r="AB55" s="38"/>
      <c r="AC55" s="38"/>
      <c r="AD55" s="38"/>
      <c r="AE55" s="38"/>
      <c r="AF55" s="575"/>
      <c r="AG55" s="976"/>
      <c r="AH55" s="976"/>
      <c r="AI55" s="976"/>
      <c r="AJ55" s="976"/>
      <c r="AK55" s="37">
        <v>11</v>
      </c>
    </row>
    <row r="56" s="37" customFormat="1" ht="11.55" customHeight="1" spans="1:37">
      <c r="A56" s="957"/>
      <c r="B56" s="957"/>
      <c r="C56" s="957"/>
      <c r="D56" s="957"/>
      <c r="E56" s="957"/>
      <c r="F56" s="44"/>
      <c r="G56" s="44"/>
      <c r="N56" s="38"/>
      <c r="P56" s="38"/>
      <c r="Q56" s="44"/>
      <c r="R56" s="44"/>
      <c r="S56" s="38"/>
      <c r="T56" s="38"/>
      <c r="U56" s="38"/>
      <c r="V56" s="38"/>
      <c r="W56" s="44"/>
      <c r="X56" s="38"/>
      <c r="Y56" s="38"/>
      <c r="Z56" s="958"/>
      <c r="AA56" s="38"/>
      <c r="AB56" s="38"/>
      <c r="AC56" s="38"/>
      <c r="AD56" s="38"/>
      <c r="AE56" s="38"/>
      <c r="AF56" s="575"/>
      <c r="AG56" s="976"/>
      <c r="AH56" s="976"/>
      <c r="AI56" s="976"/>
      <c r="AJ56" s="976"/>
      <c r="AK56" s="37">
        <v>11</v>
      </c>
    </row>
    <row r="57" s="37" customFormat="1" ht="11.55" customHeight="1" spans="1:37">
      <c r="A57" s="957"/>
      <c r="B57" s="957"/>
      <c r="C57" s="957"/>
      <c r="D57" s="957"/>
      <c r="E57" s="957"/>
      <c r="F57" s="44"/>
      <c r="G57" s="44"/>
      <c r="N57" s="38"/>
      <c r="P57" s="38"/>
      <c r="Q57" s="44"/>
      <c r="R57" s="44"/>
      <c r="S57" s="38"/>
      <c r="T57" s="38"/>
      <c r="U57" s="38"/>
      <c r="V57" s="38"/>
      <c r="W57" s="44"/>
      <c r="X57" s="38"/>
      <c r="Y57" s="38"/>
      <c r="Z57" s="958"/>
      <c r="AA57" s="38"/>
      <c r="AB57" s="38"/>
      <c r="AC57" s="38"/>
      <c r="AD57" s="38"/>
      <c r="AE57" s="38"/>
      <c r="AF57" s="575"/>
      <c r="AG57" s="976"/>
      <c r="AH57" s="976"/>
      <c r="AI57" s="976"/>
      <c r="AJ57" s="976"/>
      <c r="AK57" s="37">
        <v>11</v>
      </c>
    </row>
    <row r="58" s="37" customFormat="1" ht="11.55" customHeight="1" spans="1:37">
      <c r="A58" s="957"/>
      <c r="B58" s="957"/>
      <c r="C58" s="957"/>
      <c r="D58" s="957"/>
      <c r="E58" s="957"/>
      <c r="F58" s="44"/>
      <c r="G58" s="44"/>
      <c r="N58" s="38"/>
      <c r="P58" s="38"/>
      <c r="Q58" s="44"/>
      <c r="R58" s="44"/>
      <c r="S58" s="38"/>
      <c r="T58" s="38"/>
      <c r="U58" s="38"/>
      <c r="V58" s="38"/>
      <c r="W58" s="44"/>
      <c r="X58" s="38"/>
      <c r="Y58" s="38"/>
      <c r="Z58" s="958"/>
      <c r="AA58" s="38"/>
      <c r="AB58" s="38"/>
      <c r="AC58" s="38"/>
      <c r="AD58" s="38"/>
      <c r="AE58" s="38"/>
      <c r="AF58" s="575"/>
      <c r="AG58" s="976"/>
      <c r="AH58" s="976"/>
      <c r="AI58" s="976"/>
      <c r="AJ58" s="976"/>
      <c r="AK58" s="37">
        <v>11</v>
      </c>
    </row>
    <row r="59" s="37" customFormat="1" ht="11.55" customHeight="1" spans="1:37">
      <c r="A59" s="957"/>
      <c r="B59" s="957"/>
      <c r="C59" s="957"/>
      <c r="D59" s="957"/>
      <c r="E59" s="957"/>
      <c r="F59" s="44"/>
      <c r="G59" s="44"/>
      <c r="N59" s="38"/>
      <c r="P59" s="38"/>
      <c r="Q59" s="44"/>
      <c r="R59" s="44"/>
      <c r="S59" s="38"/>
      <c r="T59" s="38"/>
      <c r="U59" s="38"/>
      <c r="V59" s="38"/>
      <c r="W59" s="44"/>
      <c r="X59" s="38"/>
      <c r="Y59" s="38"/>
      <c r="Z59" s="958"/>
      <c r="AA59" s="38"/>
      <c r="AB59" s="38"/>
      <c r="AC59" s="38"/>
      <c r="AD59" s="38"/>
      <c r="AE59" s="38"/>
      <c r="AF59" s="575"/>
      <c r="AG59" s="976"/>
      <c r="AH59" s="976"/>
      <c r="AI59" s="976"/>
      <c r="AJ59" s="976"/>
      <c r="AK59" s="37">
        <v>11</v>
      </c>
    </row>
    <row r="60" s="37" customFormat="1" ht="11.55" customHeight="1" spans="1:37">
      <c r="A60" s="957"/>
      <c r="B60" s="957"/>
      <c r="C60" s="957"/>
      <c r="D60" s="957"/>
      <c r="E60" s="957"/>
      <c r="F60" s="44"/>
      <c r="G60" s="44"/>
      <c r="N60" s="38"/>
      <c r="P60" s="38"/>
      <c r="Q60" s="44"/>
      <c r="R60" s="44"/>
      <c r="S60" s="38"/>
      <c r="T60" s="38"/>
      <c r="U60" s="38"/>
      <c r="V60" s="38"/>
      <c r="W60" s="44"/>
      <c r="X60" s="38"/>
      <c r="Y60" s="38"/>
      <c r="Z60" s="958"/>
      <c r="AA60" s="38"/>
      <c r="AB60" s="38"/>
      <c r="AC60" s="38"/>
      <c r="AD60" s="38"/>
      <c r="AE60" s="38"/>
      <c r="AF60" s="575"/>
      <c r="AG60" s="976"/>
      <c r="AH60" s="976"/>
      <c r="AI60" s="976"/>
      <c r="AJ60" s="976"/>
      <c r="AK60" s="37">
        <v>11</v>
      </c>
    </row>
    <row r="61" s="37" customFormat="1" ht="11.55" customHeight="1" spans="1:37">
      <c r="A61" s="957"/>
      <c r="B61" s="957"/>
      <c r="C61" s="957"/>
      <c r="D61" s="957"/>
      <c r="E61" s="957"/>
      <c r="F61" s="44"/>
      <c r="G61" s="44"/>
      <c r="N61" s="38"/>
      <c r="P61" s="38"/>
      <c r="Q61" s="44"/>
      <c r="R61" s="44"/>
      <c r="S61" s="38"/>
      <c r="T61" s="38"/>
      <c r="U61" s="38"/>
      <c r="V61" s="38"/>
      <c r="W61" s="44"/>
      <c r="X61" s="38"/>
      <c r="Y61" s="38"/>
      <c r="Z61" s="958"/>
      <c r="AA61" s="38"/>
      <c r="AB61" s="38"/>
      <c r="AC61" s="38"/>
      <c r="AD61" s="38"/>
      <c r="AE61" s="38"/>
      <c r="AF61" s="575"/>
      <c r="AG61" s="976"/>
      <c r="AH61" s="976"/>
      <c r="AI61" s="976"/>
      <c r="AJ61" s="976"/>
      <c r="AK61" s="37">
        <v>11</v>
      </c>
    </row>
    <row r="62" s="37" customFormat="1" ht="11.55" customHeight="1" spans="1:37">
      <c r="A62" s="957"/>
      <c r="B62" s="957"/>
      <c r="C62" s="957"/>
      <c r="D62" s="957"/>
      <c r="E62" s="957"/>
      <c r="F62" s="44"/>
      <c r="G62" s="44"/>
      <c r="N62" s="38"/>
      <c r="P62" s="38"/>
      <c r="Q62" s="44"/>
      <c r="R62" s="44"/>
      <c r="S62" s="38"/>
      <c r="T62" s="38"/>
      <c r="U62" s="38"/>
      <c r="V62" s="38"/>
      <c r="W62" s="44"/>
      <c r="X62" s="38"/>
      <c r="Y62" s="38"/>
      <c r="Z62" s="958"/>
      <c r="AA62" s="38"/>
      <c r="AB62" s="38"/>
      <c r="AC62" s="38"/>
      <c r="AD62" s="38"/>
      <c r="AE62" s="38"/>
      <c r="AF62" s="575"/>
      <c r="AG62" s="976"/>
      <c r="AH62" s="976"/>
      <c r="AI62" s="976"/>
      <c r="AJ62" s="976"/>
      <c r="AK62" s="37">
        <v>11</v>
      </c>
    </row>
    <row r="63" s="37" customFormat="1" ht="11.55" customHeight="1" spans="1:37">
      <c r="A63" s="957"/>
      <c r="B63" s="957"/>
      <c r="C63" s="957"/>
      <c r="D63" s="957"/>
      <c r="E63" s="957"/>
      <c r="F63" s="44"/>
      <c r="G63" s="44"/>
      <c r="N63" s="38"/>
      <c r="P63" s="38"/>
      <c r="Q63" s="44"/>
      <c r="R63" s="44"/>
      <c r="S63" s="38"/>
      <c r="T63" s="38"/>
      <c r="U63" s="38"/>
      <c r="V63" s="38"/>
      <c r="W63" s="44"/>
      <c r="X63" s="38"/>
      <c r="Y63" s="38"/>
      <c r="Z63" s="958"/>
      <c r="AA63" s="38"/>
      <c r="AB63" s="38"/>
      <c r="AC63" s="38"/>
      <c r="AD63" s="38"/>
      <c r="AE63" s="38"/>
      <c r="AF63" s="575"/>
      <c r="AG63" s="976"/>
      <c r="AH63" s="976"/>
      <c r="AI63" s="976"/>
      <c r="AJ63" s="976"/>
      <c r="AK63" s="37">
        <v>11</v>
      </c>
    </row>
    <row r="64" s="37" customFormat="1" ht="11.55" customHeight="1" spans="1:37">
      <c r="A64" s="957"/>
      <c r="B64" s="957"/>
      <c r="C64" s="957"/>
      <c r="D64" s="957"/>
      <c r="E64" s="957"/>
      <c r="F64" s="44"/>
      <c r="G64" s="44"/>
      <c r="N64" s="38"/>
      <c r="P64" s="38"/>
      <c r="Q64" s="44"/>
      <c r="R64" s="44"/>
      <c r="S64" s="38"/>
      <c r="T64" s="38"/>
      <c r="U64" s="38"/>
      <c r="V64" s="38"/>
      <c r="W64" s="44"/>
      <c r="X64" s="38"/>
      <c r="Y64" s="38"/>
      <c r="Z64" s="958"/>
      <c r="AA64" s="38"/>
      <c r="AB64" s="38"/>
      <c r="AC64" s="38"/>
      <c r="AD64" s="38"/>
      <c r="AE64" s="38"/>
      <c r="AF64" s="575"/>
      <c r="AG64" s="976"/>
      <c r="AH64" s="976"/>
      <c r="AI64" s="976"/>
      <c r="AJ64" s="976"/>
      <c r="AK64" s="37">
        <v>11</v>
      </c>
    </row>
    <row r="65" s="37" customFormat="1" ht="11.55" customHeight="1" spans="1:37">
      <c r="A65" s="957"/>
      <c r="B65" s="957"/>
      <c r="C65" s="957"/>
      <c r="D65" s="957"/>
      <c r="E65" s="957"/>
      <c r="F65" s="44"/>
      <c r="G65" s="44"/>
      <c r="N65" s="38"/>
      <c r="P65" s="38"/>
      <c r="Q65" s="44"/>
      <c r="R65" s="44"/>
      <c r="S65" s="38"/>
      <c r="T65" s="38"/>
      <c r="U65" s="38"/>
      <c r="V65" s="38"/>
      <c r="W65" s="44"/>
      <c r="X65" s="38"/>
      <c r="Y65" s="38"/>
      <c r="Z65" s="958"/>
      <c r="AA65" s="38"/>
      <c r="AB65" s="38"/>
      <c r="AC65" s="38"/>
      <c r="AD65" s="38"/>
      <c r="AE65" s="38"/>
      <c r="AF65" s="575"/>
      <c r="AG65" s="976"/>
      <c r="AH65" s="976"/>
      <c r="AI65" s="976"/>
      <c r="AJ65" s="976"/>
      <c r="AK65" s="37">
        <v>11</v>
      </c>
    </row>
    <row r="66" s="37" customFormat="1" ht="11.55" customHeight="1" spans="1:37">
      <c r="A66" s="957"/>
      <c r="B66" s="957"/>
      <c r="C66" s="957"/>
      <c r="D66" s="957"/>
      <c r="E66" s="957"/>
      <c r="F66" s="44"/>
      <c r="G66" s="44"/>
      <c r="N66" s="38"/>
      <c r="P66" s="38"/>
      <c r="Q66" s="44"/>
      <c r="R66" s="44"/>
      <c r="S66" s="38"/>
      <c r="T66" s="38"/>
      <c r="U66" s="38"/>
      <c r="V66" s="38"/>
      <c r="W66" s="44"/>
      <c r="X66" s="38"/>
      <c r="Y66" s="38"/>
      <c r="Z66" s="958"/>
      <c r="AA66" s="38"/>
      <c r="AB66" s="38"/>
      <c r="AC66" s="38"/>
      <c r="AD66" s="38"/>
      <c r="AE66" s="38"/>
      <c r="AF66" s="575"/>
      <c r="AG66" s="976"/>
      <c r="AH66" s="976"/>
      <c r="AI66" s="976"/>
      <c r="AJ66" s="976"/>
      <c r="AK66" s="37">
        <v>11</v>
      </c>
    </row>
    <row r="67" s="37" customFormat="1" ht="11.55" customHeight="1" spans="1:37">
      <c r="A67" s="957"/>
      <c r="B67" s="957"/>
      <c r="C67" s="957"/>
      <c r="D67" s="957"/>
      <c r="E67" s="957"/>
      <c r="F67" s="44"/>
      <c r="G67" s="44"/>
      <c r="N67" s="38"/>
      <c r="P67" s="38"/>
      <c r="Q67" s="44"/>
      <c r="R67" s="44"/>
      <c r="S67" s="38"/>
      <c r="T67" s="38"/>
      <c r="U67" s="38"/>
      <c r="V67" s="38"/>
      <c r="W67" s="44"/>
      <c r="X67" s="38"/>
      <c r="Y67" s="38"/>
      <c r="Z67" s="958"/>
      <c r="AA67" s="38"/>
      <c r="AB67" s="38"/>
      <c r="AC67" s="38"/>
      <c r="AD67" s="38"/>
      <c r="AE67" s="38"/>
      <c r="AF67" s="575"/>
      <c r="AG67" s="976"/>
      <c r="AH67" s="976"/>
      <c r="AI67" s="976"/>
      <c r="AJ67" s="976"/>
      <c r="AK67" s="37">
        <v>11</v>
      </c>
    </row>
    <row r="68" s="37" customFormat="1" ht="11.55" customHeight="1" spans="1:37">
      <c r="A68" s="957"/>
      <c r="B68" s="957"/>
      <c r="C68" s="957"/>
      <c r="D68" s="957"/>
      <c r="E68" s="957"/>
      <c r="F68" s="44"/>
      <c r="G68" s="44"/>
      <c r="N68" s="38"/>
      <c r="P68" s="38"/>
      <c r="Q68" s="44"/>
      <c r="R68" s="44"/>
      <c r="S68" s="38"/>
      <c r="T68" s="38"/>
      <c r="U68" s="38"/>
      <c r="V68" s="38"/>
      <c r="W68" s="44"/>
      <c r="X68" s="38"/>
      <c r="Y68" s="38"/>
      <c r="Z68" s="958"/>
      <c r="AA68" s="38"/>
      <c r="AB68" s="38"/>
      <c r="AC68" s="38"/>
      <c r="AD68" s="38"/>
      <c r="AE68" s="38"/>
      <c r="AF68" s="575"/>
      <c r="AG68" s="976"/>
      <c r="AH68" s="976"/>
      <c r="AI68" s="976"/>
      <c r="AJ68" s="976"/>
      <c r="AK68" s="37">
        <v>11</v>
      </c>
    </row>
    <row r="69" s="37" customFormat="1" ht="11.55" customHeight="1" spans="1:37">
      <c r="A69" s="957"/>
      <c r="B69" s="957"/>
      <c r="C69" s="957"/>
      <c r="D69" s="957"/>
      <c r="E69" s="957"/>
      <c r="F69" s="44"/>
      <c r="G69" s="44"/>
      <c r="N69" s="38"/>
      <c r="P69" s="38"/>
      <c r="Q69" s="44"/>
      <c r="R69" s="44"/>
      <c r="S69" s="38"/>
      <c r="T69" s="38"/>
      <c r="U69" s="38"/>
      <c r="V69" s="38"/>
      <c r="W69" s="44"/>
      <c r="X69" s="38"/>
      <c r="Y69" s="38"/>
      <c r="Z69" s="958"/>
      <c r="AA69" s="38"/>
      <c r="AB69" s="38"/>
      <c r="AC69" s="38"/>
      <c r="AD69" s="38"/>
      <c r="AE69" s="38"/>
      <c r="AF69" s="575"/>
      <c r="AG69" s="976"/>
      <c r="AH69" s="976"/>
      <c r="AI69" s="976"/>
      <c r="AJ69" s="976"/>
      <c r="AK69" s="37">
        <v>11</v>
      </c>
    </row>
    <row r="70" s="37" customFormat="1" ht="11.55" customHeight="1" spans="1:37">
      <c r="A70" s="957"/>
      <c r="B70" s="957"/>
      <c r="C70" s="957"/>
      <c r="D70" s="957"/>
      <c r="E70" s="957"/>
      <c r="F70" s="44"/>
      <c r="G70" s="44"/>
      <c r="N70" s="38"/>
      <c r="P70" s="38"/>
      <c r="Q70" s="44"/>
      <c r="R70" s="44"/>
      <c r="S70" s="38"/>
      <c r="T70" s="38"/>
      <c r="U70" s="38"/>
      <c r="V70" s="38"/>
      <c r="W70" s="44"/>
      <c r="X70" s="38"/>
      <c r="Y70" s="38"/>
      <c r="Z70" s="958"/>
      <c r="AA70" s="38"/>
      <c r="AB70" s="38"/>
      <c r="AC70" s="38"/>
      <c r="AD70" s="38"/>
      <c r="AE70" s="38"/>
      <c r="AF70" s="575"/>
      <c r="AG70" s="976"/>
      <c r="AH70" s="976"/>
      <c r="AI70" s="976"/>
      <c r="AJ70" s="976"/>
      <c r="AK70" s="37">
        <v>11</v>
      </c>
    </row>
    <row r="71" s="37" customFormat="1" ht="11.55" customHeight="1" spans="1:37">
      <c r="A71" s="957"/>
      <c r="B71" s="957"/>
      <c r="C71" s="957"/>
      <c r="D71" s="957"/>
      <c r="E71" s="957"/>
      <c r="F71" s="44"/>
      <c r="G71" s="44"/>
      <c r="N71" s="38"/>
      <c r="P71" s="38"/>
      <c r="Q71" s="44"/>
      <c r="R71" s="44"/>
      <c r="S71" s="38"/>
      <c r="T71" s="38"/>
      <c r="U71" s="38"/>
      <c r="V71" s="38"/>
      <c r="W71" s="44"/>
      <c r="X71" s="38"/>
      <c r="Y71" s="38"/>
      <c r="Z71" s="958"/>
      <c r="AA71" s="38"/>
      <c r="AB71" s="38"/>
      <c r="AC71" s="38"/>
      <c r="AD71" s="38"/>
      <c r="AE71" s="38"/>
      <c r="AF71" s="575"/>
      <c r="AG71" s="976"/>
      <c r="AH71" s="976"/>
      <c r="AI71" s="976"/>
      <c r="AJ71" s="976"/>
      <c r="AK71" s="37">
        <v>11</v>
      </c>
    </row>
    <row r="72" s="37" customFormat="1" ht="11.55" customHeight="1" spans="1:37">
      <c r="A72" s="957"/>
      <c r="B72" s="957"/>
      <c r="C72" s="957"/>
      <c r="D72" s="957"/>
      <c r="E72" s="957"/>
      <c r="F72" s="44"/>
      <c r="G72" s="44"/>
      <c r="N72" s="38"/>
      <c r="P72" s="38"/>
      <c r="Q72" s="44"/>
      <c r="R72" s="44"/>
      <c r="S72" s="38"/>
      <c r="T72" s="38"/>
      <c r="U72" s="38"/>
      <c r="V72" s="38"/>
      <c r="W72" s="44"/>
      <c r="X72" s="38"/>
      <c r="Y72" s="38"/>
      <c r="Z72" s="958"/>
      <c r="AA72" s="38"/>
      <c r="AB72" s="38"/>
      <c r="AC72" s="38"/>
      <c r="AD72" s="38"/>
      <c r="AE72" s="38"/>
      <c r="AF72" s="575"/>
      <c r="AG72" s="976"/>
      <c r="AH72" s="976"/>
      <c r="AI72" s="976"/>
      <c r="AJ72" s="976"/>
      <c r="AK72" s="37">
        <v>11</v>
      </c>
    </row>
    <row r="73" s="37" customFormat="1" ht="11.55" customHeight="1" spans="1:37">
      <c r="A73" s="957"/>
      <c r="B73" s="957"/>
      <c r="C73" s="957"/>
      <c r="D73" s="957"/>
      <c r="E73" s="957"/>
      <c r="F73" s="44"/>
      <c r="G73" s="44"/>
      <c r="N73" s="38"/>
      <c r="P73" s="38"/>
      <c r="Q73" s="44"/>
      <c r="R73" s="44"/>
      <c r="S73" s="38"/>
      <c r="T73" s="38"/>
      <c r="U73" s="38"/>
      <c r="V73" s="38"/>
      <c r="W73" s="44"/>
      <c r="X73" s="38"/>
      <c r="Y73" s="38"/>
      <c r="Z73" s="958"/>
      <c r="AA73" s="38"/>
      <c r="AB73" s="38"/>
      <c r="AC73" s="38"/>
      <c r="AD73" s="38"/>
      <c r="AE73" s="38"/>
      <c r="AF73" s="575"/>
      <c r="AG73" s="976"/>
      <c r="AH73" s="976"/>
      <c r="AI73" s="976"/>
      <c r="AJ73" s="976"/>
      <c r="AK73" s="37">
        <v>11</v>
      </c>
    </row>
    <row r="74" s="37" customFormat="1" ht="11.55" customHeight="1" spans="1:37">
      <c r="A74" s="957"/>
      <c r="B74" s="957"/>
      <c r="C74" s="957"/>
      <c r="D74" s="957"/>
      <c r="E74" s="957"/>
      <c r="F74" s="44"/>
      <c r="G74" s="44"/>
      <c r="N74" s="38"/>
      <c r="P74" s="38"/>
      <c r="Q74" s="44"/>
      <c r="R74" s="44"/>
      <c r="S74" s="38"/>
      <c r="T74" s="38"/>
      <c r="U74" s="38"/>
      <c r="V74" s="38"/>
      <c r="W74" s="44"/>
      <c r="X74" s="38"/>
      <c r="Y74" s="38"/>
      <c r="Z74" s="958"/>
      <c r="AA74" s="38"/>
      <c r="AB74" s="38"/>
      <c r="AC74" s="38"/>
      <c r="AD74" s="38"/>
      <c r="AE74" s="38"/>
      <c r="AF74" s="575"/>
      <c r="AG74" s="976"/>
      <c r="AH74" s="976"/>
      <c r="AI74" s="976"/>
      <c r="AJ74" s="976"/>
      <c r="AK74" s="37">
        <v>11</v>
      </c>
    </row>
    <row r="75" s="37" customFormat="1" ht="11.55" customHeight="1" spans="1:37">
      <c r="A75" s="957"/>
      <c r="B75" s="957"/>
      <c r="C75" s="957"/>
      <c r="D75" s="957"/>
      <c r="E75" s="957"/>
      <c r="F75" s="44"/>
      <c r="G75" s="44"/>
      <c r="N75" s="38"/>
      <c r="P75" s="38"/>
      <c r="Q75" s="44"/>
      <c r="R75" s="44"/>
      <c r="S75" s="38"/>
      <c r="T75" s="38"/>
      <c r="U75" s="38"/>
      <c r="V75" s="38"/>
      <c r="W75" s="44"/>
      <c r="X75" s="38"/>
      <c r="Y75" s="38"/>
      <c r="Z75" s="958"/>
      <c r="AA75" s="38"/>
      <c r="AB75" s="38"/>
      <c r="AC75" s="38"/>
      <c r="AD75" s="38"/>
      <c r="AE75" s="38"/>
      <c r="AF75" s="575"/>
      <c r="AG75" s="976"/>
      <c r="AH75" s="976"/>
      <c r="AI75" s="976"/>
      <c r="AJ75" s="976"/>
      <c r="AK75" s="37">
        <v>11</v>
      </c>
    </row>
    <row r="76" s="37" customFormat="1" ht="11.55" customHeight="1" spans="1:37">
      <c r="A76" s="957"/>
      <c r="B76" s="957"/>
      <c r="C76" s="957"/>
      <c r="D76" s="957"/>
      <c r="E76" s="957"/>
      <c r="F76" s="44"/>
      <c r="G76" s="44"/>
      <c r="N76" s="38"/>
      <c r="P76" s="38"/>
      <c r="Q76" s="44"/>
      <c r="R76" s="44"/>
      <c r="S76" s="38"/>
      <c r="T76" s="38"/>
      <c r="U76" s="38"/>
      <c r="V76" s="38"/>
      <c r="W76" s="44"/>
      <c r="X76" s="38"/>
      <c r="Y76" s="38"/>
      <c r="Z76" s="958"/>
      <c r="AA76" s="38"/>
      <c r="AB76" s="38"/>
      <c r="AC76" s="38"/>
      <c r="AD76" s="38"/>
      <c r="AE76" s="38"/>
      <c r="AF76" s="575"/>
      <c r="AG76" s="976"/>
      <c r="AH76" s="976"/>
      <c r="AI76" s="976"/>
      <c r="AJ76" s="976"/>
      <c r="AK76" s="37">
        <v>11</v>
      </c>
    </row>
    <row r="77" s="37" customFormat="1" ht="11.55" customHeight="1" spans="1:37">
      <c r="A77" s="957"/>
      <c r="B77" s="957"/>
      <c r="C77" s="957"/>
      <c r="D77" s="957"/>
      <c r="E77" s="957"/>
      <c r="F77" s="44"/>
      <c r="G77" s="44"/>
      <c r="N77" s="38"/>
      <c r="P77" s="38"/>
      <c r="Q77" s="44"/>
      <c r="R77" s="44"/>
      <c r="S77" s="38"/>
      <c r="T77" s="38"/>
      <c r="U77" s="38"/>
      <c r="V77" s="38"/>
      <c r="W77" s="44"/>
      <c r="X77" s="38"/>
      <c r="Y77" s="38"/>
      <c r="Z77" s="958"/>
      <c r="AA77" s="38"/>
      <c r="AB77" s="38"/>
      <c r="AC77" s="38"/>
      <c r="AD77" s="38"/>
      <c r="AE77" s="38"/>
      <c r="AF77" s="575"/>
      <c r="AG77" s="976"/>
      <c r="AH77" s="976"/>
      <c r="AI77" s="976"/>
      <c r="AJ77" s="976"/>
      <c r="AK77" s="37">
        <v>11</v>
      </c>
    </row>
    <row r="78" s="37" customFormat="1" ht="11.55" customHeight="1" spans="1:37">
      <c r="A78" s="957"/>
      <c r="B78" s="957"/>
      <c r="C78" s="957"/>
      <c r="D78" s="957"/>
      <c r="E78" s="957"/>
      <c r="F78" s="44"/>
      <c r="G78" s="44"/>
      <c r="N78" s="38"/>
      <c r="P78" s="38"/>
      <c r="Q78" s="44"/>
      <c r="R78" s="44"/>
      <c r="S78" s="38"/>
      <c r="T78" s="38"/>
      <c r="U78" s="38"/>
      <c r="V78" s="38"/>
      <c r="W78" s="44"/>
      <c r="X78" s="38"/>
      <c r="Y78" s="38"/>
      <c r="Z78" s="958"/>
      <c r="AA78" s="38"/>
      <c r="AB78" s="38"/>
      <c r="AC78" s="38"/>
      <c r="AD78" s="38"/>
      <c r="AE78" s="38"/>
      <c r="AF78" s="575"/>
      <c r="AG78" s="976"/>
      <c r="AH78" s="976"/>
      <c r="AI78" s="976"/>
      <c r="AJ78" s="976"/>
      <c r="AK78" s="37">
        <v>11</v>
      </c>
    </row>
    <row r="79" s="37" customFormat="1" ht="11.55" customHeight="1" spans="1:37">
      <c r="A79" s="957"/>
      <c r="B79" s="957"/>
      <c r="C79" s="957"/>
      <c r="D79" s="957"/>
      <c r="E79" s="957"/>
      <c r="F79" s="44"/>
      <c r="G79" s="44"/>
      <c r="N79" s="38"/>
      <c r="P79" s="38"/>
      <c r="Q79" s="44"/>
      <c r="R79" s="44"/>
      <c r="S79" s="38"/>
      <c r="T79" s="38"/>
      <c r="U79" s="38"/>
      <c r="V79" s="38"/>
      <c r="W79" s="44"/>
      <c r="X79" s="38"/>
      <c r="Y79" s="38"/>
      <c r="Z79" s="958"/>
      <c r="AA79" s="38"/>
      <c r="AB79" s="38"/>
      <c r="AC79" s="38"/>
      <c r="AD79" s="38"/>
      <c r="AE79" s="38"/>
      <c r="AF79" s="575"/>
      <c r="AG79" s="976"/>
      <c r="AH79" s="976"/>
      <c r="AI79" s="976"/>
      <c r="AJ79" s="976"/>
      <c r="AK79" s="37">
        <v>11</v>
      </c>
    </row>
    <row r="80" s="37" customFormat="1" ht="11.55" customHeight="1" spans="1:37">
      <c r="A80" s="957"/>
      <c r="B80" s="957"/>
      <c r="C80" s="957"/>
      <c r="D80" s="957"/>
      <c r="E80" s="957"/>
      <c r="F80" s="44"/>
      <c r="G80" s="44"/>
      <c r="N80" s="38"/>
      <c r="P80" s="38"/>
      <c r="Q80" s="44"/>
      <c r="R80" s="44"/>
      <c r="S80" s="38"/>
      <c r="T80" s="38"/>
      <c r="U80" s="38"/>
      <c r="V80" s="38"/>
      <c r="W80" s="44"/>
      <c r="X80" s="38"/>
      <c r="Y80" s="38"/>
      <c r="Z80" s="958"/>
      <c r="AA80" s="38"/>
      <c r="AB80" s="38"/>
      <c r="AC80" s="38"/>
      <c r="AD80" s="38"/>
      <c r="AE80" s="38"/>
      <c r="AF80" s="575"/>
      <c r="AG80" s="976"/>
      <c r="AH80" s="976"/>
      <c r="AI80" s="976"/>
      <c r="AJ80" s="976"/>
      <c r="AK80" s="37">
        <v>11</v>
      </c>
    </row>
    <row r="81" s="37" customFormat="1" ht="11.55" customHeight="1" spans="1:37">
      <c r="A81" s="957"/>
      <c r="B81" s="957"/>
      <c r="C81" s="957"/>
      <c r="D81" s="957"/>
      <c r="E81" s="957"/>
      <c r="F81" s="44"/>
      <c r="G81" s="44"/>
      <c r="N81" s="38"/>
      <c r="P81" s="38"/>
      <c r="Q81" s="44"/>
      <c r="R81" s="44"/>
      <c r="S81" s="38"/>
      <c r="T81" s="38"/>
      <c r="U81" s="38"/>
      <c r="V81" s="38"/>
      <c r="W81" s="44"/>
      <c r="X81" s="38"/>
      <c r="Y81" s="38"/>
      <c r="Z81" s="958"/>
      <c r="AA81" s="38"/>
      <c r="AB81" s="38"/>
      <c r="AC81" s="38"/>
      <c r="AD81" s="38"/>
      <c r="AE81" s="38"/>
      <c r="AF81" s="575"/>
      <c r="AG81" s="976"/>
      <c r="AH81" s="976"/>
      <c r="AI81" s="976"/>
      <c r="AJ81" s="976"/>
      <c r="AK81" s="37">
        <v>11</v>
      </c>
    </row>
    <row r="82" s="37" customFormat="1" ht="11.55" customHeight="1" spans="1:37">
      <c r="A82" s="957"/>
      <c r="B82" s="957"/>
      <c r="C82" s="957"/>
      <c r="D82" s="957"/>
      <c r="E82" s="957"/>
      <c r="F82" s="44"/>
      <c r="G82" s="44"/>
      <c r="N82" s="38"/>
      <c r="P82" s="38"/>
      <c r="Q82" s="44"/>
      <c r="R82" s="44"/>
      <c r="S82" s="38"/>
      <c r="T82" s="38"/>
      <c r="U82" s="38"/>
      <c r="V82" s="38"/>
      <c r="W82" s="44"/>
      <c r="X82" s="38"/>
      <c r="Y82" s="38"/>
      <c r="Z82" s="958"/>
      <c r="AA82" s="38"/>
      <c r="AB82" s="38"/>
      <c r="AC82" s="38"/>
      <c r="AD82" s="38"/>
      <c r="AE82" s="38"/>
      <c r="AF82" s="575"/>
      <c r="AG82" s="976"/>
      <c r="AH82" s="976"/>
      <c r="AI82" s="976"/>
      <c r="AJ82" s="976"/>
      <c r="AK82" s="37">
        <v>11</v>
      </c>
    </row>
    <row r="83" s="37" customFormat="1" ht="11.55" customHeight="1" spans="1:37">
      <c r="A83" s="957"/>
      <c r="B83" s="957"/>
      <c r="C83" s="957"/>
      <c r="D83" s="957"/>
      <c r="E83" s="957"/>
      <c r="F83" s="44"/>
      <c r="G83" s="44"/>
      <c r="N83" s="38"/>
      <c r="P83" s="38"/>
      <c r="Q83" s="44"/>
      <c r="R83" s="44"/>
      <c r="S83" s="38"/>
      <c r="T83" s="38"/>
      <c r="U83" s="38"/>
      <c r="V83" s="38"/>
      <c r="W83" s="44"/>
      <c r="X83" s="38"/>
      <c r="Y83" s="38"/>
      <c r="Z83" s="958"/>
      <c r="AA83" s="38"/>
      <c r="AB83" s="38"/>
      <c r="AC83" s="38"/>
      <c r="AD83" s="38"/>
      <c r="AE83" s="38"/>
      <c r="AF83" s="575"/>
      <c r="AG83" s="976"/>
      <c r="AH83" s="976"/>
      <c r="AI83" s="976"/>
      <c r="AJ83" s="976"/>
      <c r="AK83" s="37">
        <v>11</v>
      </c>
    </row>
    <row r="84" s="37" customFormat="1" ht="11.55" customHeight="1" spans="1:37">
      <c r="A84" s="957"/>
      <c r="B84" s="957"/>
      <c r="C84" s="957"/>
      <c r="D84" s="957"/>
      <c r="E84" s="957"/>
      <c r="F84" s="44"/>
      <c r="G84" s="44"/>
      <c r="N84" s="38"/>
      <c r="P84" s="38"/>
      <c r="Q84" s="44"/>
      <c r="R84" s="44"/>
      <c r="S84" s="38"/>
      <c r="T84" s="38"/>
      <c r="U84" s="38"/>
      <c r="V84" s="38"/>
      <c r="W84" s="44"/>
      <c r="X84" s="38"/>
      <c r="Y84" s="38"/>
      <c r="Z84" s="958"/>
      <c r="AA84" s="38"/>
      <c r="AB84" s="38"/>
      <c r="AC84" s="38"/>
      <c r="AD84" s="38"/>
      <c r="AE84" s="38"/>
      <c r="AF84" s="575"/>
      <c r="AG84" s="976"/>
      <c r="AH84" s="976"/>
      <c r="AI84" s="976"/>
      <c r="AJ84" s="976"/>
      <c r="AK84" s="37">
        <v>11</v>
      </c>
    </row>
    <row r="85" s="37" customFormat="1" ht="11.55" customHeight="1" spans="1:37">
      <c r="A85" s="957"/>
      <c r="B85" s="957"/>
      <c r="C85" s="957"/>
      <c r="D85" s="957"/>
      <c r="E85" s="957"/>
      <c r="F85" s="44"/>
      <c r="G85" s="44"/>
      <c r="N85" s="38"/>
      <c r="P85" s="38"/>
      <c r="Q85" s="44"/>
      <c r="R85" s="44"/>
      <c r="S85" s="38"/>
      <c r="T85" s="38"/>
      <c r="U85" s="38"/>
      <c r="V85" s="38"/>
      <c r="W85" s="44"/>
      <c r="X85" s="38"/>
      <c r="Y85" s="38"/>
      <c r="Z85" s="958"/>
      <c r="AA85" s="38"/>
      <c r="AB85" s="38"/>
      <c r="AC85" s="38"/>
      <c r="AD85" s="38"/>
      <c r="AE85" s="38"/>
      <c r="AF85" s="575"/>
      <c r="AG85" s="976"/>
      <c r="AH85" s="976"/>
      <c r="AI85" s="976"/>
      <c r="AJ85" s="976"/>
      <c r="AK85" s="37">
        <v>11</v>
      </c>
    </row>
    <row r="86" s="37" customFormat="1" ht="11.55" customHeight="1" spans="1:37">
      <c r="A86" s="957"/>
      <c r="B86" s="957"/>
      <c r="C86" s="957"/>
      <c r="D86" s="957"/>
      <c r="E86" s="957"/>
      <c r="F86" s="44"/>
      <c r="G86" s="44"/>
      <c r="N86" s="38"/>
      <c r="P86" s="38"/>
      <c r="Q86" s="44"/>
      <c r="R86" s="44"/>
      <c r="S86" s="38"/>
      <c r="T86" s="38"/>
      <c r="U86" s="38"/>
      <c r="V86" s="38"/>
      <c r="W86" s="44"/>
      <c r="X86" s="38"/>
      <c r="Y86" s="38"/>
      <c r="Z86" s="958"/>
      <c r="AA86" s="38"/>
      <c r="AB86" s="38"/>
      <c r="AC86" s="38"/>
      <c r="AD86" s="38"/>
      <c r="AE86" s="38"/>
      <c r="AF86" s="575"/>
      <c r="AG86" s="976"/>
      <c r="AH86" s="976"/>
      <c r="AI86" s="976"/>
      <c r="AJ86" s="976"/>
      <c r="AK86" s="37">
        <v>11</v>
      </c>
    </row>
    <row r="87" s="37" customFormat="1" ht="11.55" customHeight="1" spans="1:37">
      <c r="A87" s="957"/>
      <c r="B87" s="957"/>
      <c r="C87" s="957"/>
      <c r="D87" s="957"/>
      <c r="E87" s="957"/>
      <c r="F87" s="44"/>
      <c r="G87" s="44"/>
      <c r="N87" s="38"/>
      <c r="P87" s="38"/>
      <c r="Q87" s="44"/>
      <c r="R87" s="44"/>
      <c r="S87" s="38"/>
      <c r="T87" s="38"/>
      <c r="U87" s="38"/>
      <c r="V87" s="38"/>
      <c r="W87" s="44"/>
      <c r="X87" s="38"/>
      <c r="Y87" s="38"/>
      <c r="Z87" s="958"/>
      <c r="AA87" s="38"/>
      <c r="AB87" s="38"/>
      <c r="AC87" s="38"/>
      <c r="AD87" s="38"/>
      <c r="AE87" s="38"/>
      <c r="AF87" s="575"/>
      <c r="AG87" s="976"/>
      <c r="AH87" s="976"/>
      <c r="AI87" s="976"/>
      <c r="AJ87" s="976"/>
      <c r="AK87" s="37">
        <v>11</v>
      </c>
    </row>
    <row r="88" s="37" customFormat="1" ht="11.55" customHeight="1" spans="1:37">
      <c r="A88" s="957"/>
      <c r="B88" s="957"/>
      <c r="C88" s="957"/>
      <c r="D88" s="957"/>
      <c r="E88" s="957"/>
      <c r="F88" s="44"/>
      <c r="G88" s="44"/>
      <c r="N88" s="38"/>
      <c r="P88" s="38"/>
      <c r="Q88" s="44"/>
      <c r="R88" s="44"/>
      <c r="S88" s="38"/>
      <c r="T88" s="38"/>
      <c r="U88" s="38"/>
      <c r="V88" s="38"/>
      <c r="W88" s="44"/>
      <c r="X88" s="38"/>
      <c r="Y88" s="38"/>
      <c r="Z88" s="958"/>
      <c r="AA88" s="38"/>
      <c r="AB88" s="38"/>
      <c r="AC88" s="38"/>
      <c r="AD88" s="38"/>
      <c r="AE88" s="38"/>
      <c r="AF88" s="575"/>
      <c r="AG88" s="976"/>
      <c r="AH88" s="976"/>
      <c r="AI88" s="976"/>
      <c r="AJ88" s="976"/>
      <c r="AK88" s="37">
        <v>11</v>
      </c>
    </row>
    <row r="89" s="37" customFormat="1" ht="11.55" customHeight="1" spans="1:37">
      <c r="A89" s="957"/>
      <c r="B89" s="957"/>
      <c r="C89" s="957"/>
      <c r="D89" s="957"/>
      <c r="E89" s="957"/>
      <c r="F89" s="44"/>
      <c r="G89" s="44"/>
      <c r="N89" s="38"/>
      <c r="P89" s="38"/>
      <c r="Q89" s="44"/>
      <c r="R89" s="44"/>
      <c r="S89" s="38"/>
      <c r="T89" s="38"/>
      <c r="U89" s="38"/>
      <c r="V89" s="38"/>
      <c r="W89" s="44"/>
      <c r="X89" s="38"/>
      <c r="Y89" s="38"/>
      <c r="Z89" s="958"/>
      <c r="AA89" s="38"/>
      <c r="AB89" s="38"/>
      <c r="AC89" s="38"/>
      <c r="AD89" s="38"/>
      <c r="AE89" s="38"/>
      <c r="AF89" s="575"/>
      <c r="AG89" s="976"/>
      <c r="AH89" s="976"/>
      <c r="AI89" s="976"/>
      <c r="AJ89" s="976"/>
      <c r="AK89" s="37">
        <v>11</v>
      </c>
    </row>
    <row r="90" s="37" customFormat="1" ht="11.55" customHeight="1" spans="1:37">
      <c r="A90" s="957"/>
      <c r="B90" s="957"/>
      <c r="C90" s="957"/>
      <c r="D90" s="957"/>
      <c r="E90" s="957"/>
      <c r="F90" s="44"/>
      <c r="G90" s="44"/>
      <c r="N90" s="38"/>
      <c r="P90" s="38"/>
      <c r="Q90" s="44"/>
      <c r="R90" s="44"/>
      <c r="S90" s="38"/>
      <c r="T90" s="38"/>
      <c r="U90" s="38"/>
      <c r="V90" s="38"/>
      <c r="W90" s="44"/>
      <c r="X90" s="38"/>
      <c r="Y90" s="38"/>
      <c r="Z90" s="958"/>
      <c r="AA90" s="38"/>
      <c r="AB90" s="38"/>
      <c r="AC90" s="38"/>
      <c r="AD90" s="38"/>
      <c r="AE90" s="38"/>
      <c r="AF90" s="575"/>
      <c r="AG90" s="976"/>
      <c r="AH90" s="976"/>
      <c r="AI90" s="976"/>
      <c r="AJ90" s="976"/>
      <c r="AK90" s="37">
        <v>11</v>
      </c>
    </row>
    <row r="91" s="37" customFormat="1" ht="11.55" customHeight="1" spans="1:37">
      <c r="A91" s="957"/>
      <c r="B91" s="957"/>
      <c r="C91" s="957"/>
      <c r="D91" s="957"/>
      <c r="E91" s="957"/>
      <c r="F91" s="44"/>
      <c r="G91" s="44"/>
      <c r="N91" s="38"/>
      <c r="P91" s="38"/>
      <c r="Q91" s="44"/>
      <c r="R91" s="44"/>
      <c r="S91" s="38"/>
      <c r="T91" s="38"/>
      <c r="U91" s="38"/>
      <c r="V91" s="38"/>
      <c r="W91" s="44"/>
      <c r="X91" s="38"/>
      <c r="Y91" s="38"/>
      <c r="Z91" s="958"/>
      <c r="AA91" s="38"/>
      <c r="AB91" s="38"/>
      <c r="AC91" s="38"/>
      <c r="AD91" s="38"/>
      <c r="AE91" s="38"/>
      <c r="AF91" s="575"/>
      <c r="AG91" s="976"/>
      <c r="AH91" s="976"/>
      <c r="AI91" s="976"/>
      <c r="AJ91" s="976"/>
      <c r="AK91" s="37">
        <v>11</v>
      </c>
    </row>
    <row r="92" s="37" customFormat="1" ht="11.55" customHeight="1" spans="1:37">
      <c r="A92" s="957"/>
      <c r="B92" s="957"/>
      <c r="C92" s="957"/>
      <c r="D92" s="957"/>
      <c r="E92" s="957"/>
      <c r="F92" s="44"/>
      <c r="G92" s="44"/>
      <c r="N92" s="38"/>
      <c r="P92" s="38"/>
      <c r="Q92" s="44"/>
      <c r="R92" s="44"/>
      <c r="S92" s="38"/>
      <c r="T92" s="38"/>
      <c r="U92" s="38"/>
      <c r="V92" s="38"/>
      <c r="W92" s="44"/>
      <c r="X92" s="38"/>
      <c r="Y92" s="38"/>
      <c r="Z92" s="958"/>
      <c r="AA92" s="38"/>
      <c r="AB92" s="38"/>
      <c r="AC92" s="38"/>
      <c r="AD92" s="38"/>
      <c r="AE92" s="38"/>
      <c r="AF92" s="575"/>
      <c r="AG92" s="976"/>
      <c r="AH92" s="976"/>
      <c r="AI92" s="976"/>
      <c r="AJ92" s="976"/>
      <c r="AK92" s="37">
        <v>11</v>
      </c>
    </row>
    <row r="93" s="37" customFormat="1" ht="11.55" customHeight="1" spans="1:37">
      <c r="A93" s="957"/>
      <c r="B93" s="957"/>
      <c r="C93" s="957"/>
      <c r="D93" s="957"/>
      <c r="E93" s="957"/>
      <c r="F93" s="44"/>
      <c r="G93" s="44"/>
      <c r="N93" s="38"/>
      <c r="P93" s="38"/>
      <c r="Q93" s="44"/>
      <c r="R93" s="44"/>
      <c r="S93" s="38"/>
      <c r="T93" s="38"/>
      <c r="U93" s="38"/>
      <c r="V93" s="38"/>
      <c r="W93" s="44"/>
      <c r="X93" s="38"/>
      <c r="Y93" s="38"/>
      <c r="Z93" s="958"/>
      <c r="AA93" s="38"/>
      <c r="AB93" s="38"/>
      <c r="AC93" s="38"/>
      <c r="AD93" s="38"/>
      <c r="AE93" s="38"/>
      <c r="AF93" s="575"/>
      <c r="AG93" s="976"/>
      <c r="AH93" s="976"/>
      <c r="AI93" s="976"/>
      <c r="AJ93" s="976"/>
      <c r="AK93" s="37">
        <v>11</v>
      </c>
    </row>
    <row r="94" s="37" customFormat="1" ht="11.55" customHeight="1" spans="1:37">
      <c r="A94" s="957"/>
      <c r="B94" s="957"/>
      <c r="C94" s="957"/>
      <c r="D94" s="957"/>
      <c r="E94" s="957"/>
      <c r="F94" s="44"/>
      <c r="G94" s="44"/>
      <c r="N94" s="38"/>
      <c r="P94" s="38"/>
      <c r="Q94" s="44"/>
      <c r="R94" s="44"/>
      <c r="S94" s="38"/>
      <c r="T94" s="38"/>
      <c r="U94" s="38"/>
      <c r="V94" s="38"/>
      <c r="W94" s="44"/>
      <c r="X94" s="38"/>
      <c r="Y94" s="38"/>
      <c r="Z94" s="958"/>
      <c r="AA94" s="38"/>
      <c r="AB94" s="38"/>
      <c r="AC94" s="38"/>
      <c r="AD94" s="38"/>
      <c r="AE94" s="38"/>
      <c r="AF94" s="575"/>
      <c r="AG94" s="976"/>
      <c r="AH94" s="976"/>
      <c r="AI94" s="976"/>
      <c r="AJ94" s="976"/>
      <c r="AK94" s="37">
        <v>11</v>
      </c>
    </row>
    <row r="95" s="37" customFormat="1" ht="11.55" customHeight="1" spans="1:37">
      <c r="A95" s="957"/>
      <c r="B95" s="957"/>
      <c r="C95" s="957"/>
      <c r="D95" s="957"/>
      <c r="E95" s="957"/>
      <c r="F95" s="44"/>
      <c r="G95" s="44"/>
      <c r="N95" s="38"/>
      <c r="P95" s="38"/>
      <c r="Q95" s="44"/>
      <c r="R95" s="44"/>
      <c r="S95" s="38"/>
      <c r="T95" s="38"/>
      <c r="U95" s="38"/>
      <c r="V95" s="38"/>
      <c r="W95" s="44"/>
      <c r="X95" s="38"/>
      <c r="Y95" s="38"/>
      <c r="Z95" s="958"/>
      <c r="AA95" s="38"/>
      <c r="AB95" s="38"/>
      <c r="AC95" s="38"/>
      <c r="AD95" s="38"/>
      <c r="AE95" s="38"/>
      <c r="AF95" s="575"/>
      <c r="AG95" s="976"/>
      <c r="AH95" s="976"/>
      <c r="AI95" s="976"/>
      <c r="AJ95" s="976"/>
      <c r="AK95" s="37">
        <v>11</v>
      </c>
    </row>
    <row r="96" s="37" customFormat="1" ht="11.55" customHeight="1" spans="1:37">
      <c r="A96" s="957"/>
      <c r="B96" s="957"/>
      <c r="C96" s="957"/>
      <c r="D96" s="957"/>
      <c r="E96" s="957"/>
      <c r="F96" s="44"/>
      <c r="G96" s="44"/>
      <c r="N96" s="38"/>
      <c r="P96" s="38"/>
      <c r="Q96" s="44"/>
      <c r="R96" s="44"/>
      <c r="S96" s="38"/>
      <c r="T96" s="38"/>
      <c r="U96" s="38"/>
      <c r="V96" s="38"/>
      <c r="W96" s="44"/>
      <c r="X96" s="38"/>
      <c r="Y96" s="38"/>
      <c r="Z96" s="958"/>
      <c r="AA96" s="38"/>
      <c r="AB96" s="38"/>
      <c r="AC96" s="38"/>
      <c r="AD96" s="38"/>
      <c r="AE96" s="38"/>
      <c r="AF96" s="575"/>
      <c r="AG96" s="976"/>
      <c r="AH96" s="976"/>
      <c r="AI96" s="976"/>
      <c r="AJ96" s="976"/>
      <c r="AK96" s="37">
        <v>11</v>
      </c>
    </row>
    <row r="97" s="37" customFormat="1" ht="11.55" customHeight="1" spans="1:37">
      <c r="A97" s="957"/>
      <c r="B97" s="957"/>
      <c r="C97" s="957"/>
      <c r="D97" s="957"/>
      <c r="E97" s="957"/>
      <c r="F97" s="44"/>
      <c r="G97" s="44"/>
      <c r="N97" s="38"/>
      <c r="P97" s="38"/>
      <c r="Q97" s="44"/>
      <c r="R97" s="44"/>
      <c r="S97" s="38"/>
      <c r="T97" s="38"/>
      <c r="U97" s="38"/>
      <c r="V97" s="38"/>
      <c r="W97" s="44"/>
      <c r="X97" s="38"/>
      <c r="Y97" s="38"/>
      <c r="Z97" s="958"/>
      <c r="AA97" s="38"/>
      <c r="AB97" s="38"/>
      <c r="AC97" s="38"/>
      <c r="AD97" s="38"/>
      <c r="AE97" s="38"/>
      <c r="AF97" s="575"/>
      <c r="AG97" s="976"/>
      <c r="AH97" s="976"/>
      <c r="AI97" s="976"/>
      <c r="AJ97" s="976"/>
      <c r="AK97" s="37">
        <v>11</v>
      </c>
    </row>
    <row r="98" s="37" customFormat="1" ht="11.55" customHeight="1" spans="1:37">
      <c r="A98" s="957"/>
      <c r="B98" s="957"/>
      <c r="C98" s="957"/>
      <c r="D98" s="957"/>
      <c r="E98" s="957"/>
      <c r="F98" s="44"/>
      <c r="G98" s="44"/>
      <c r="N98" s="38"/>
      <c r="P98" s="38"/>
      <c r="Q98" s="44"/>
      <c r="R98" s="44"/>
      <c r="S98" s="38"/>
      <c r="T98" s="38"/>
      <c r="U98" s="38"/>
      <c r="V98" s="38"/>
      <c r="W98" s="44"/>
      <c r="X98" s="38"/>
      <c r="Y98" s="38"/>
      <c r="Z98" s="958"/>
      <c r="AA98" s="38"/>
      <c r="AB98" s="38"/>
      <c r="AC98" s="38"/>
      <c r="AD98" s="38"/>
      <c r="AE98" s="38"/>
      <c r="AF98" s="575"/>
      <c r="AG98" s="976"/>
      <c r="AH98" s="976"/>
      <c r="AI98" s="976"/>
      <c r="AJ98" s="976"/>
      <c r="AK98" s="37">
        <v>11</v>
      </c>
    </row>
    <row r="99" s="37" customFormat="1" ht="11.55" customHeight="1" spans="1:37">
      <c r="A99" s="957"/>
      <c r="B99" s="957"/>
      <c r="C99" s="957"/>
      <c r="D99" s="957"/>
      <c r="E99" s="957"/>
      <c r="F99" s="44"/>
      <c r="G99" s="44"/>
      <c r="N99" s="38"/>
      <c r="P99" s="38"/>
      <c r="Q99" s="44"/>
      <c r="R99" s="44"/>
      <c r="S99" s="38"/>
      <c r="T99" s="38"/>
      <c r="U99" s="38"/>
      <c r="V99" s="38"/>
      <c r="W99" s="44"/>
      <c r="X99" s="38"/>
      <c r="Y99" s="38"/>
      <c r="Z99" s="958"/>
      <c r="AA99" s="38"/>
      <c r="AB99" s="38"/>
      <c r="AC99" s="38"/>
      <c r="AD99" s="38"/>
      <c r="AE99" s="38"/>
      <c r="AF99" s="575"/>
      <c r="AG99" s="976"/>
      <c r="AH99" s="976"/>
      <c r="AI99" s="976"/>
      <c r="AJ99" s="976"/>
      <c r="AK99" s="37">
        <v>11</v>
      </c>
    </row>
    <row r="100" s="37" customFormat="1" ht="11.55" customHeight="1" spans="1:37">
      <c r="A100" s="957"/>
      <c r="B100" s="957"/>
      <c r="C100" s="957"/>
      <c r="D100" s="957"/>
      <c r="E100" s="957"/>
      <c r="F100" s="44"/>
      <c r="G100" s="44"/>
      <c r="N100" s="38"/>
      <c r="P100" s="38"/>
      <c r="Q100" s="44"/>
      <c r="R100" s="44"/>
      <c r="S100" s="38"/>
      <c r="T100" s="38"/>
      <c r="U100" s="38"/>
      <c r="V100" s="38"/>
      <c r="W100" s="44"/>
      <c r="X100" s="38"/>
      <c r="Y100" s="38"/>
      <c r="Z100" s="958"/>
      <c r="AA100" s="38"/>
      <c r="AB100" s="38"/>
      <c r="AC100" s="38"/>
      <c r="AD100" s="38"/>
      <c r="AE100" s="38"/>
      <c r="AF100" s="575"/>
      <c r="AG100" s="976"/>
      <c r="AH100" s="976"/>
      <c r="AI100" s="976"/>
      <c r="AJ100" s="976"/>
      <c r="AK100" s="37">
        <v>11</v>
      </c>
    </row>
    <row r="101" s="37" customFormat="1" ht="11.55" customHeight="1" spans="1:37">
      <c r="A101" s="957"/>
      <c r="B101" s="957"/>
      <c r="C101" s="957"/>
      <c r="D101" s="957"/>
      <c r="E101" s="957"/>
      <c r="F101" s="44"/>
      <c r="G101" s="44"/>
      <c r="N101" s="38"/>
      <c r="P101" s="38"/>
      <c r="Q101" s="44"/>
      <c r="R101" s="44"/>
      <c r="S101" s="38"/>
      <c r="T101" s="38"/>
      <c r="U101" s="38"/>
      <c r="V101" s="38"/>
      <c r="W101" s="44"/>
      <c r="X101" s="38"/>
      <c r="Y101" s="38"/>
      <c r="Z101" s="958"/>
      <c r="AA101" s="38"/>
      <c r="AB101" s="38"/>
      <c r="AC101" s="38"/>
      <c r="AD101" s="38"/>
      <c r="AE101" s="38"/>
      <c r="AF101" s="575"/>
      <c r="AG101" s="976"/>
      <c r="AH101" s="976"/>
      <c r="AI101" s="976"/>
      <c r="AJ101" s="976"/>
      <c r="AK101" s="37">
        <v>11</v>
      </c>
    </row>
    <row r="102" s="37" customFormat="1" ht="11.55" customHeight="1" spans="1:37">
      <c r="A102" s="957"/>
      <c r="B102" s="957"/>
      <c r="C102" s="957"/>
      <c r="D102" s="957"/>
      <c r="E102" s="957"/>
      <c r="F102" s="44"/>
      <c r="G102" s="44"/>
      <c r="N102" s="38"/>
      <c r="P102" s="38"/>
      <c r="Q102" s="44"/>
      <c r="R102" s="44"/>
      <c r="S102" s="38"/>
      <c r="T102" s="38"/>
      <c r="U102" s="38"/>
      <c r="V102" s="38"/>
      <c r="W102" s="44"/>
      <c r="X102" s="38"/>
      <c r="Y102" s="38"/>
      <c r="Z102" s="958"/>
      <c r="AA102" s="38"/>
      <c r="AB102" s="38"/>
      <c r="AC102" s="38"/>
      <c r="AD102" s="38"/>
      <c r="AE102" s="38"/>
      <c r="AF102" s="575"/>
      <c r="AG102" s="976"/>
      <c r="AH102" s="976"/>
      <c r="AI102" s="976"/>
      <c r="AJ102" s="976"/>
      <c r="AK102" s="37">
        <v>11</v>
      </c>
    </row>
    <row r="103" s="37" customFormat="1" ht="11.55" customHeight="1" spans="1:37">
      <c r="A103" s="957"/>
      <c r="B103" s="957"/>
      <c r="C103" s="957"/>
      <c r="D103" s="957"/>
      <c r="E103" s="957"/>
      <c r="F103" s="44"/>
      <c r="G103" s="44"/>
      <c r="N103" s="38"/>
      <c r="P103" s="38"/>
      <c r="Q103" s="44"/>
      <c r="R103" s="44"/>
      <c r="S103" s="38"/>
      <c r="T103" s="38"/>
      <c r="U103" s="38"/>
      <c r="V103" s="38"/>
      <c r="W103" s="44"/>
      <c r="X103" s="38"/>
      <c r="Y103" s="38"/>
      <c r="Z103" s="958"/>
      <c r="AA103" s="38"/>
      <c r="AB103" s="38"/>
      <c r="AC103" s="38"/>
      <c r="AD103" s="38"/>
      <c r="AE103" s="38"/>
      <c r="AF103" s="575"/>
      <c r="AG103" s="976"/>
      <c r="AH103" s="976"/>
      <c r="AI103" s="976"/>
      <c r="AJ103" s="976"/>
      <c r="AK103" s="37">
        <v>11</v>
      </c>
    </row>
    <row r="104" s="37" customFormat="1" ht="11.55" customHeight="1" spans="1:37">
      <c r="A104" s="957"/>
      <c r="B104" s="957"/>
      <c r="C104" s="957"/>
      <c r="D104" s="957"/>
      <c r="E104" s="957"/>
      <c r="F104" s="44"/>
      <c r="G104" s="44"/>
      <c r="N104" s="38"/>
      <c r="P104" s="38"/>
      <c r="Q104" s="44"/>
      <c r="R104" s="44"/>
      <c r="S104" s="38"/>
      <c r="T104" s="38"/>
      <c r="U104" s="38"/>
      <c r="V104" s="38"/>
      <c r="W104" s="44"/>
      <c r="X104" s="38"/>
      <c r="Y104" s="38"/>
      <c r="Z104" s="958"/>
      <c r="AA104" s="38"/>
      <c r="AB104" s="38"/>
      <c r="AC104" s="38"/>
      <c r="AD104" s="38"/>
      <c r="AE104" s="38"/>
      <c r="AF104" s="575"/>
      <c r="AG104" s="976"/>
      <c r="AH104" s="976"/>
      <c r="AI104" s="976"/>
      <c r="AJ104" s="976"/>
      <c r="AK104" s="37">
        <v>11</v>
      </c>
    </row>
    <row r="105" s="37" customFormat="1" ht="11.55" customHeight="1" spans="1:37">
      <c r="A105" s="957"/>
      <c r="B105" s="957"/>
      <c r="C105" s="957"/>
      <c r="D105" s="957"/>
      <c r="E105" s="957"/>
      <c r="F105" s="44"/>
      <c r="G105" s="44"/>
      <c r="N105" s="38"/>
      <c r="P105" s="38"/>
      <c r="Q105" s="44"/>
      <c r="R105" s="44"/>
      <c r="S105" s="38"/>
      <c r="T105" s="38"/>
      <c r="U105" s="38"/>
      <c r="V105" s="38"/>
      <c r="W105" s="44"/>
      <c r="X105" s="38"/>
      <c r="Y105" s="38"/>
      <c r="Z105" s="958"/>
      <c r="AA105" s="38"/>
      <c r="AB105" s="38"/>
      <c r="AC105" s="38"/>
      <c r="AD105" s="38"/>
      <c r="AE105" s="38"/>
      <c r="AF105" s="575"/>
      <c r="AG105" s="976"/>
      <c r="AH105" s="976"/>
      <c r="AI105" s="976"/>
      <c r="AJ105" s="976"/>
      <c r="AK105" s="37">
        <v>11</v>
      </c>
    </row>
    <row r="106" s="37" customFormat="1" ht="11.55" customHeight="1" spans="1:37">
      <c r="A106" s="957"/>
      <c r="B106" s="957"/>
      <c r="C106" s="957"/>
      <c r="D106" s="957"/>
      <c r="E106" s="957"/>
      <c r="F106" s="44"/>
      <c r="G106" s="44"/>
      <c r="N106" s="38"/>
      <c r="P106" s="38"/>
      <c r="Q106" s="44"/>
      <c r="R106" s="44"/>
      <c r="S106" s="38"/>
      <c r="T106" s="38"/>
      <c r="U106" s="38"/>
      <c r="V106" s="38"/>
      <c r="W106" s="44"/>
      <c r="X106" s="38"/>
      <c r="Y106" s="38"/>
      <c r="Z106" s="958"/>
      <c r="AA106" s="38"/>
      <c r="AB106" s="38"/>
      <c r="AC106" s="38"/>
      <c r="AD106" s="38"/>
      <c r="AE106" s="38"/>
      <c r="AF106" s="575"/>
      <c r="AG106" s="976"/>
      <c r="AH106" s="976"/>
      <c r="AI106" s="976"/>
      <c r="AJ106" s="976"/>
      <c r="AK106" s="37">
        <v>11</v>
      </c>
    </row>
    <row r="107" s="37" customFormat="1" ht="11.55" customHeight="1" spans="1:37">
      <c r="A107" s="957"/>
      <c r="B107" s="957"/>
      <c r="C107" s="957"/>
      <c r="D107" s="957"/>
      <c r="E107" s="957"/>
      <c r="F107" s="44"/>
      <c r="G107" s="44"/>
      <c r="N107" s="38"/>
      <c r="P107" s="38"/>
      <c r="Q107" s="44"/>
      <c r="R107" s="44"/>
      <c r="S107" s="38"/>
      <c r="T107" s="38"/>
      <c r="U107" s="38"/>
      <c r="V107" s="38"/>
      <c r="W107" s="44"/>
      <c r="X107" s="38"/>
      <c r="Y107" s="38"/>
      <c r="Z107" s="958"/>
      <c r="AA107" s="38"/>
      <c r="AB107" s="38"/>
      <c r="AC107" s="38"/>
      <c r="AD107" s="38"/>
      <c r="AE107" s="38"/>
      <c r="AF107" s="575"/>
      <c r="AG107" s="976"/>
      <c r="AH107" s="976"/>
      <c r="AI107" s="976"/>
      <c r="AJ107" s="976"/>
      <c r="AK107" s="37">
        <v>11</v>
      </c>
    </row>
    <row r="108" s="37" customFormat="1" ht="11.55" customHeight="1" spans="1:37">
      <c r="A108" s="957"/>
      <c r="B108" s="957"/>
      <c r="C108" s="957"/>
      <c r="D108" s="957"/>
      <c r="E108" s="957"/>
      <c r="F108" s="44"/>
      <c r="G108" s="44"/>
      <c r="N108" s="38"/>
      <c r="P108" s="38"/>
      <c r="Q108" s="44"/>
      <c r="R108" s="44"/>
      <c r="S108" s="38"/>
      <c r="T108" s="38"/>
      <c r="U108" s="38"/>
      <c r="V108" s="38"/>
      <c r="W108" s="44"/>
      <c r="X108" s="38"/>
      <c r="Y108" s="38"/>
      <c r="Z108" s="958"/>
      <c r="AA108" s="38"/>
      <c r="AB108" s="38"/>
      <c r="AC108" s="38"/>
      <c r="AD108" s="38"/>
      <c r="AE108" s="38"/>
      <c r="AF108" s="575"/>
      <c r="AG108" s="976"/>
      <c r="AH108" s="976"/>
      <c r="AI108" s="976"/>
      <c r="AJ108" s="976"/>
      <c r="AK108" s="37">
        <v>11</v>
      </c>
    </row>
    <row r="109" s="37" customFormat="1" ht="11.55" customHeight="1" spans="1:37">
      <c r="A109" s="957"/>
      <c r="B109" s="957"/>
      <c r="C109" s="957"/>
      <c r="D109" s="957"/>
      <c r="E109" s="957"/>
      <c r="F109" s="44"/>
      <c r="G109" s="44"/>
      <c r="N109" s="38"/>
      <c r="P109" s="38"/>
      <c r="Q109" s="44"/>
      <c r="R109" s="44"/>
      <c r="S109" s="38"/>
      <c r="T109" s="38"/>
      <c r="U109" s="38"/>
      <c r="V109" s="38"/>
      <c r="W109" s="44"/>
      <c r="X109" s="38"/>
      <c r="Y109" s="38"/>
      <c r="Z109" s="958"/>
      <c r="AA109" s="38"/>
      <c r="AB109" s="38"/>
      <c r="AC109" s="38"/>
      <c r="AD109" s="38"/>
      <c r="AE109" s="38"/>
      <c r="AF109" s="575"/>
      <c r="AG109" s="976"/>
      <c r="AH109" s="976"/>
      <c r="AI109" s="976"/>
      <c r="AJ109" s="976"/>
      <c r="AK109" s="37">
        <v>11</v>
      </c>
    </row>
    <row r="110" s="37" customFormat="1" ht="11.55" customHeight="1" spans="1:37">
      <c r="A110" s="957"/>
      <c r="B110" s="957"/>
      <c r="C110" s="957"/>
      <c r="D110" s="957"/>
      <c r="E110" s="957"/>
      <c r="F110" s="44"/>
      <c r="G110" s="44"/>
      <c r="N110" s="38"/>
      <c r="P110" s="38"/>
      <c r="Q110" s="44"/>
      <c r="R110" s="44"/>
      <c r="S110" s="38"/>
      <c r="T110" s="38"/>
      <c r="U110" s="38"/>
      <c r="V110" s="38"/>
      <c r="W110" s="44"/>
      <c r="X110" s="38"/>
      <c r="Y110" s="38"/>
      <c r="Z110" s="958"/>
      <c r="AA110" s="38"/>
      <c r="AB110" s="38"/>
      <c r="AC110" s="38"/>
      <c r="AD110" s="38"/>
      <c r="AE110" s="38"/>
      <c r="AF110" s="575"/>
      <c r="AG110" s="976"/>
      <c r="AH110" s="976"/>
      <c r="AI110" s="976"/>
      <c r="AJ110" s="976"/>
      <c r="AK110" s="37">
        <v>11</v>
      </c>
    </row>
    <row r="111" s="37" customFormat="1" ht="11.55" customHeight="1" spans="1:37">
      <c r="A111" s="957"/>
      <c r="B111" s="957"/>
      <c r="C111" s="957"/>
      <c r="D111" s="957"/>
      <c r="E111" s="957"/>
      <c r="F111" s="44"/>
      <c r="G111" s="44"/>
      <c r="N111" s="38"/>
      <c r="P111" s="38"/>
      <c r="Q111" s="44"/>
      <c r="R111" s="44"/>
      <c r="S111" s="38"/>
      <c r="T111" s="38"/>
      <c r="U111" s="38"/>
      <c r="V111" s="38"/>
      <c r="W111" s="44"/>
      <c r="X111" s="38"/>
      <c r="Y111" s="38"/>
      <c r="Z111" s="958"/>
      <c r="AA111" s="38"/>
      <c r="AB111" s="38"/>
      <c r="AC111" s="38"/>
      <c r="AD111" s="38"/>
      <c r="AE111" s="38"/>
      <c r="AF111" s="575"/>
      <c r="AG111" s="976"/>
      <c r="AH111" s="976"/>
      <c r="AI111" s="976"/>
      <c r="AJ111" s="976"/>
      <c r="AK111" s="37">
        <v>11</v>
      </c>
    </row>
    <row r="112" s="37" customFormat="1" ht="11.55" customHeight="1" spans="1:37">
      <c r="A112" s="957"/>
      <c r="B112" s="957"/>
      <c r="C112" s="957"/>
      <c r="D112" s="957"/>
      <c r="E112" s="957"/>
      <c r="F112" s="44"/>
      <c r="G112" s="44"/>
      <c r="N112" s="38"/>
      <c r="P112" s="38"/>
      <c r="Q112" s="44"/>
      <c r="R112" s="44"/>
      <c r="S112" s="38"/>
      <c r="T112" s="38"/>
      <c r="U112" s="38"/>
      <c r="V112" s="38"/>
      <c r="W112" s="44"/>
      <c r="X112" s="38"/>
      <c r="Y112" s="38"/>
      <c r="Z112" s="958"/>
      <c r="AA112" s="38"/>
      <c r="AB112" s="38"/>
      <c r="AC112" s="38"/>
      <c r="AD112" s="38"/>
      <c r="AE112" s="38"/>
      <c r="AF112" s="575"/>
      <c r="AG112" s="976"/>
      <c r="AH112" s="976"/>
      <c r="AI112" s="976"/>
      <c r="AJ112" s="976"/>
      <c r="AK112" s="37">
        <v>11</v>
      </c>
    </row>
    <row r="113" s="37" customFormat="1" ht="11.55" customHeight="1" spans="1:37">
      <c r="A113" s="957"/>
      <c r="B113" s="957"/>
      <c r="C113" s="957"/>
      <c r="D113" s="957"/>
      <c r="E113" s="957"/>
      <c r="F113" s="44"/>
      <c r="G113" s="44"/>
      <c r="N113" s="38"/>
      <c r="P113" s="38"/>
      <c r="Q113" s="44"/>
      <c r="R113" s="44"/>
      <c r="S113" s="38"/>
      <c r="T113" s="38"/>
      <c r="U113" s="38"/>
      <c r="V113" s="38"/>
      <c r="W113" s="44"/>
      <c r="X113" s="38"/>
      <c r="Y113" s="38"/>
      <c r="Z113" s="958"/>
      <c r="AA113" s="38"/>
      <c r="AB113" s="38"/>
      <c r="AC113" s="38"/>
      <c r="AD113" s="38"/>
      <c r="AE113" s="38"/>
      <c r="AF113" s="575"/>
      <c r="AG113" s="976"/>
      <c r="AH113" s="976"/>
      <c r="AI113" s="976"/>
      <c r="AJ113" s="976"/>
      <c r="AK113" s="37">
        <v>11</v>
      </c>
    </row>
    <row r="114" s="37" customFormat="1" ht="11.55" customHeight="1" spans="1:37">
      <c r="A114" s="957"/>
      <c r="B114" s="957"/>
      <c r="C114" s="957"/>
      <c r="D114" s="957"/>
      <c r="E114" s="957"/>
      <c r="F114" s="44"/>
      <c r="G114" s="44"/>
      <c r="N114" s="38"/>
      <c r="P114" s="38"/>
      <c r="Q114" s="44"/>
      <c r="R114" s="44"/>
      <c r="S114" s="38"/>
      <c r="T114" s="38"/>
      <c r="U114" s="38"/>
      <c r="V114" s="38"/>
      <c r="W114" s="44"/>
      <c r="X114" s="38"/>
      <c r="Y114" s="38"/>
      <c r="Z114" s="958"/>
      <c r="AA114" s="38"/>
      <c r="AB114" s="38"/>
      <c r="AC114" s="38"/>
      <c r="AD114" s="38"/>
      <c r="AE114" s="38"/>
      <c r="AF114" s="575"/>
      <c r="AG114" s="976"/>
      <c r="AH114" s="976"/>
      <c r="AI114" s="976"/>
      <c r="AJ114" s="976"/>
      <c r="AK114" s="37">
        <v>11</v>
      </c>
    </row>
    <row r="115" s="37" customFormat="1" ht="11.55" customHeight="1" spans="1:37">
      <c r="A115" s="957"/>
      <c r="B115" s="957"/>
      <c r="C115" s="957"/>
      <c r="D115" s="957"/>
      <c r="E115" s="957"/>
      <c r="F115" s="44"/>
      <c r="G115" s="44"/>
      <c r="N115" s="38"/>
      <c r="P115" s="38"/>
      <c r="Q115" s="44"/>
      <c r="R115" s="44"/>
      <c r="S115" s="38"/>
      <c r="T115" s="38"/>
      <c r="U115" s="38"/>
      <c r="V115" s="38"/>
      <c r="W115" s="44"/>
      <c r="X115" s="38"/>
      <c r="Y115" s="38"/>
      <c r="Z115" s="958"/>
      <c r="AA115" s="38"/>
      <c r="AB115" s="38"/>
      <c r="AC115" s="38"/>
      <c r="AD115" s="38"/>
      <c r="AE115" s="38"/>
      <c r="AF115" s="575"/>
      <c r="AG115" s="976"/>
      <c r="AH115" s="976"/>
      <c r="AI115" s="976"/>
      <c r="AJ115" s="976"/>
      <c r="AK115" s="37">
        <v>11</v>
      </c>
    </row>
    <row r="116" s="37" customFormat="1" ht="11.55" customHeight="1" spans="1:37">
      <c r="A116" s="957"/>
      <c r="B116" s="957"/>
      <c r="C116" s="957"/>
      <c r="D116" s="957"/>
      <c r="E116" s="957"/>
      <c r="F116" s="44"/>
      <c r="G116" s="44"/>
      <c r="N116" s="38"/>
      <c r="P116" s="38"/>
      <c r="Q116" s="44"/>
      <c r="R116" s="44"/>
      <c r="S116" s="38"/>
      <c r="T116" s="38"/>
      <c r="U116" s="38"/>
      <c r="V116" s="38"/>
      <c r="W116" s="44"/>
      <c r="X116" s="38"/>
      <c r="Y116" s="38"/>
      <c r="Z116" s="958"/>
      <c r="AA116" s="38"/>
      <c r="AB116" s="38"/>
      <c r="AC116" s="38"/>
      <c r="AD116" s="38"/>
      <c r="AE116" s="38"/>
      <c r="AF116" s="575"/>
      <c r="AG116" s="976"/>
      <c r="AH116" s="976"/>
      <c r="AI116" s="976"/>
      <c r="AJ116" s="976"/>
      <c r="AK116" s="37">
        <v>11</v>
      </c>
    </row>
    <row r="117" s="37" customFormat="1" ht="11.55" customHeight="1" spans="1:37">
      <c r="A117" s="957"/>
      <c r="B117" s="957"/>
      <c r="C117" s="957"/>
      <c r="D117" s="957"/>
      <c r="E117" s="957"/>
      <c r="F117" s="44"/>
      <c r="G117" s="44"/>
      <c r="N117" s="38"/>
      <c r="P117" s="38"/>
      <c r="Q117" s="44"/>
      <c r="R117" s="44"/>
      <c r="S117" s="38"/>
      <c r="T117" s="38"/>
      <c r="U117" s="38"/>
      <c r="V117" s="38"/>
      <c r="W117" s="44"/>
      <c r="X117" s="38"/>
      <c r="Y117" s="38"/>
      <c r="Z117" s="958"/>
      <c r="AA117" s="38"/>
      <c r="AB117" s="38"/>
      <c r="AC117" s="38"/>
      <c r="AD117" s="38"/>
      <c r="AE117" s="38"/>
      <c r="AF117" s="575"/>
      <c r="AG117" s="976"/>
      <c r="AH117" s="976"/>
      <c r="AI117" s="976"/>
      <c r="AJ117" s="976"/>
      <c r="AK117" s="37">
        <v>11</v>
      </c>
    </row>
    <row r="118" s="37" customFormat="1" ht="11.55" customHeight="1" spans="1:37">
      <c r="A118" s="957"/>
      <c r="B118" s="957"/>
      <c r="C118" s="957"/>
      <c r="D118" s="957"/>
      <c r="E118" s="957"/>
      <c r="F118" s="44"/>
      <c r="G118" s="44"/>
      <c r="N118" s="38"/>
      <c r="P118" s="38"/>
      <c r="Q118" s="44"/>
      <c r="R118" s="44"/>
      <c r="S118" s="38"/>
      <c r="T118" s="38"/>
      <c r="U118" s="38"/>
      <c r="V118" s="38"/>
      <c r="W118" s="44"/>
      <c r="X118" s="38"/>
      <c r="Y118" s="38"/>
      <c r="Z118" s="958"/>
      <c r="AA118" s="38"/>
      <c r="AB118" s="38"/>
      <c r="AC118" s="38"/>
      <c r="AD118" s="38"/>
      <c r="AE118" s="38"/>
      <c r="AF118" s="575"/>
      <c r="AG118" s="976"/>
      <c r="AH118" s="976"/>
      <c r="AI118" s="976"/>
      <c r="AJ118" s="976"/>
      <c r="AK118" s="37">
        <v>11</v>
      </c>
    </row>
    <row r="119" s="37" customFormat="1" ht="11.55" customHeight="1" spans="1:37">
      <c r="A119" s="957"/>
      <c r="B119" s="957"/>
      <c r="C119" s="957"/>
      <c r="D119" s="957"/>
      <c r="E119" s="957"/>
      <c r="F119" s="44"/>
      <c r="G119" s="44"/>
      <c r="N119" s="38"/>
      <c r="P119" s="38"/>
      <c r="Q119" s="44"/>
      <c r="R119" s="44"/>
      <c r="S119" s="38"/>
      <c r="T119" s="38"/>
      <c r="U119" s="38"/>
      <c r="V119" s="38"/>
      <c r="W119" s="44"/>
      <c r="X119" s="38"/>
      <c r="Y119" s="38"/>
      <c r="Z119" s="958"/>
      <c r="AA119" s="38"/>
      <c r="AB119" s="38"/>
      <c r="AC119" s="38"/>
      <c r="AD119" s="38"/>
      <c r="AE119" s="38"/>
      <c r="AF119" s="575"/>
      <c r="AG119" s="976"/>
      <c r="AH119" s="976"/>
      <c r="AI119" s="976"/>
      <c r="AJ119" s="976"/>
      <c r="AK119" s="37">
        <v>11</v>
      </c>
    </row>
    <row r="120" s="37" customFormat="1" ht="11.55" customHeight="1" spans="1:37">
      <c r="A120" s="957"/>
      <c r="B120" s="957"/>
      <c r="C120" s="957"/>
      <c r="D120" s="957"/>
      <c r="E120" s="957"/>
      <c r="F120" s="44"/>
      <c r="G120" s="44"/>
      <c r="N120" s="38"/>
      <c r="P120" s="38"/>
      <c r="Q120" s="44"/>
      <c r="R120" s="44"/>
      <c r="S120" s="38"/>
      <c r="T120" s="38"/>
      <c r="U120" s="38"/>
      <c r="V120" s="38"/>
      <c r="W120" s="44"/>
      <c r="X120" s="38"/>
      <c r="Y120" s="38"/>
      <c r="Z120" s="958"/>
      <c r="AA120" s="38"/>
      <c r="AB120" s="38"/>
      <c r="AC120" s="38"/>
      <c r="AD120" s="38"/>
      <c r="AE120" s="38"/>
      <c r="AF120" s="575"/>
      <c r="AG120" s="976"/>
      <c r="AH120" s="976"/>
      <c r="AI120" s="976"/>
      <c r="AJ120" s="976"/>
      <c r="AK120" s="37">
        <v>11</v>
      </c>
    </row>
    <row r="121" s="37" customFormat="1" ht="11.55" customHeight="1" spans="1:37">
      <c r="A121" s="957"/>
      <c r="B121" s="957"/>
      <c r="C121" s="957"/>
      <c r="D121" s="957"/>
      <c r="E121" s="957"/>
      <c r="F121" s="44"/>
      <c r="G121" s="44"/>
      <c r="N121" s="38"/>
      <c r="P121" s="38"/>
      <c r="Q121" s="44"/>
      <c r="R121" s="44"/>
      <c r="S121" s="38"/>
      <c r="T121" s="38"/>
      <c r="U121" s="38"/>
      <c r="V121" s="38"/>
      <c r="W121" s="44"/>
      <c r="X121" s="38"/>
      <c r="Y121" s="38"/>
      <c r="Z121" s="958"/>
      <c r="AA121" s="38"/>
      <c r="AB121" s="38"/>
      <c r="AC121" s="38"/>
      <c r="AD121" s="38"/>
      <c r="AE121" s="38"/>
      <c r="AF121" s="575"/>
      <c r="AG121" s="976"/>
      <c r="AH121" s="976"/>
      <c r="AI121" s="976"/>
      <c r="AJ121" s="976"/>
      <c r="AK121" s="37">
        <v>11</v>
      </c>
    </row>
    <row r="122" s="37" customFormat="1" ht="11.55" customHeight="1" spans="1:37">
      <c r="A122" s="957"/>
      <c r="B122" s="957"/>
      <c r="C122" s="957"/>
      <c r="D122" s="957"/>
      <c r="E122" s="957"/>
      <c r="F122" s="44"/>
      <c r="G122" s="44"/>
      <c r="N122" s="38"/>
      <c r="P122" s="38"/>
      <c r="Q122" s="44"/>
      <c r="R122" s="44"/>
      <c r="S122" s="38"/>
      <c r="T122" s="38"/>
      <c r="U122" s="38"/>
      <c r="V122" s="38"/>
      <c r="W122" s="44"/>
      <c r="X122" s="38"/>
      <c r="Y122" s="38"/>
      <c r="Z122" s="958"/>
      <c r="AA122" s="38"/>
      <c r="AB122" s="38"/>
      <c r="AC122" s="38"/>
      <c r="AD122" s="38"/>
      <c r="AE122" s="38"/>
      <c r="AF122" s="575"/>
      <c r="AG122" s="976"/>
      <c r="AH122" s="976"/>
      <c r="AI122" s="976"/>
      <c r="AJ122" s="976"/>
      <c r="AK122" s="37">
        <v>11</v>
      </c>
    </row>
    <row r="123" s="37" customFormat="1" ht="11.55" customHeight="1" spans="1:37">
      <c r="A123" s="957"/>
      <c r="B123" s="957"/>
      <c r="C123" s="957"/>
      <c r="D123" s="957"/>
      <c r="E123" s="957"/>
      <c r="F123" s="44"/>
      <c r="G123" s="44"/>
      <c r="N123" s="38"/>
      <c r="P123" s="38"/>
      <c r="Q123" s="44"/>
      <c r="R123" s="44"/>
      <c r="S123" s="38"/>
      <c r="T123" s="38"/>
      <c r="U123" s="38"/>
      <c r="V123" s="38"/>
      <c r="W123" s="44"/>
      <c r="X123" s="38"/>
      <c r="Y123" s="38"/>
      <c r="Z123" s="958"/>
      <c r="AA123" s="38"/>
      <c r="AB123" s="38"/>
      <c r="AC123" s="38"/>
      <c r="AD123" s="38"/>
      <c r="AE123" s="38"/>
      <c r="AF123" s="575"/>
      <c r="AG123" s="976"/>
      <c r="AH123" s="976"/>
      <c r="AI123" s="976"/>
      <c r="AJ123" s="976"/>
      <c r="AK123" s="37">
        <v>11</v>
      </c>
    </row>
    <row r="124" s="37" customFormat="1" ht="11.55" customHeight="1" spans="1:37">
      <c r="A124" s="957"/>
      <c r="B124" s="957"/>
      <c r="C124" s="957"/>
      <c r="D124" s="957"/>
      <c r="E124" s="957"/>
      <c r="F124" s="44"/>
      <c r="G124" s="44"/>
      <c r="N124" s="38"/>
      <c r="P124" s="38"/>
      <c r="Q124" s="44"/>
      <c r="R124" s="44"/>
      <c r="S124" s="38"/>
      <c r="T124" s="38"/>
      <c r="U124" s="38"/>
      <c r="V124" s="38"/>
      <c r="W124" s="44"/>
      <c r="X124" s="38"/>
      <c r="Y124" s="38"/>
      <c r="Z124" s="958"/>
      <c r="AA124" s="38"/>
      <c r="AB124" s="38"/>
      <c r="AC124" s="38"/>
      <c r="AD124" s="38"/>
      <c r="AE124" s="38"/>
      <c r="AF124" s="575"/>
      <c r="AG124" s="976"/>
      <c r="AH124" s="976"/>
      <c r="AI124" s="976"/>
      <c r="AJ124" s="976"/>
      <c r="AK124" s="37">
        <v>11</v>
      </c>
    </row>
    <row r="125" s="37" customFormat="1" ht="11.55" customHeight="1" spans="1:37">
      <c r="A125" s="957"/>
      <c r="B125" s="957"/>
      <c r="C125" s="957"/>
      <c r="D125" s="957"/>
      <c r="E125" s="957"/>
      <c r="F125" s="44"/>
      <c r="G125" s="44"/>
      <c r="N125" s="38"/>
      <c r="P125" s="38"/>
      <c r="Q125" s="44"/>
      <c r="R125" s="44"/>
      <c r="S125" s="38"/>
      <c r="T125" s="38"/>
      <c r="U125" s="38"/>
      <c r="V125" s="38"/>
      <c r="W125" s="44"/>
      <c r="X125" s="38"/>
      <c r="Y125" s="38"/>
      <c r="Z125" s="958"/>
      <c r="AA125" s="38"/>
      <c r="AB125" s="38"/>
      <c r="AC125" s="38"/>
      <c r="AD125" s="38"/>
      <c r="AE125" s="38"/>
      <c r="AF125" s="575"/>
      <c r="AG125" s="976"/>
      <c r="AH125" s="976"/>
      <c r="AI125" s="976"/>
      <c r="AJ125" s="976"/>
      <c r="AK125" s="37">
        <v>11</v>
      </c>
    </row>
    <row r="126" s="37" customFormat="1" ht="11.55" customHeight="1" spans="1:37">
      <c r="A126" s="957"/>
      <c r="B126" s="957"/>
      <c r="C126" s="957"/>
      <c r="D126" s="957"/>
      <c r="E126" s="957"/>
      <c r="F126" s="44"/>
      <c r="G126" s="44"/>
      <c r="N126" s="38"/>
      <c r="P126" s="38"/>
      <c r="Q126" s="44"/>
      <c r="R126" s="44"/>
      <c r="S126" s="38"/>
      <c r="T126" s="38"/>
      <c r="U126" s="38"/>
      <c r="V126" s="38"/>
      <c r="W126" s="44"/>
      <c r="X126" s="38"/>
      <c r="Y126" s="38"/>
      <c r="Z126" s="958"/>
      <c r="AA126" s="38"/>
      <c r="AB126" s="38"/>
      <c r="AC126" s="38"/>
      <c r="AD126" s="38"/>
      <c r="AE126" s="38"/>
      <c r="AF126" s="575"/>
      <c r="AG126" s="976"/>
      <c r="AH126" s="976"/>
      <c r="AI126" s="976"/>
      <c r="AJ126" s="976"/>
      <c r="AK126" s="37">
        <v>11</v>
      </c>
    </row>
    <row r="127" s="37" customFormat="1" ht="11.55" customHeight="1" spans="1:37">
      <c r="A127" s="957"/>
      <c r="B127" s="957"/>
      <c r="C127" s="957"/>
      <c r="D127" s="957"/>
      <c r="E127" s="957"/>
      <c r="F127" s="44"/>
      <c r="G127" s="44"/>
      <c r="N127" s="38"/>
      <c r="P127" s="38"/>
      <c r="Q127" s="44"/>
      <c r="R127" s="44"/>
      <c r="S127" s="38"/>
      <c r="T127" s="38"/>
      <c r="U127" s="38"/>
      <c r="V127" s="38"/>
      <c r="W127" s="44"/>
      <c r="X127" s="38"/>
      <c r="Y127" s="38"/>
      <c r="Z127" s="958"/>
      <c r="AA127" s="38"/>
      <c r="AB127" s="38"/>
      <c r="AC127" s="38"/>
      <c r="AD127" s="38"/>
      <c r="AE127" s="38"/>
      <c r="AF127" s="575"/>
      <c r="AG127" s="976"/>
      <c r="AH127" s="976"/>
      <c r="AI127" s="976"/>
      <c r="AJ127" s="976"/>
      <c r="AK127" s="37">
        <v>11</v>
      </c>
    </row>
    <row r="128" s="37" customFormat="1" ht="11.55" customHeight="1" spans="1:37">
      <c r="A128" s="957"/>
      <c r="B128" s="957"/>
      <c r="C128" s="957"/>
      <c r="D128" s="957"/>
      <c r="E128" s="957"/>
      <c r="F128" s="44"/>
      <c r="G128" s="44"/>
      <c r="N128" s="38"/>
      <c r="P128" s="38"/>
      <c r="Q128" s="44"/>
      <c r="R128" s="44"/>
      <c r="S128" s="38"/>
      <c r="T128" s="38"/>
      <c r="U128" s="38"/>
      <c r="V128" s="38"/>
      <c r="W128" s="44"/>
      <c r="X128" s="38"/>
      <c r="Y128" s="38"/>
      <c r="Z128" s="958"/>
      <c r="AA128" s="38"/>
      <c r="AB128" s="38"/>
      <c r="AC128" s="38"/>
      <c r="AD128" s="38"/>
      <c r="AE128" s="38"/>
      <c r="AF128" s="575"/>
      <c r="AG128" s="976"/>
      <c r="AH128" s="976"/>
      <c r="AI128" s="976"/>
      <c r="AJ128" s="976"/>
      <c r="AK128" s="37">
        <v>11</v>
      </c>
    </row>
    <row r="129" s="37" customFormat="1" ht="11.55" customHeight="1" spans="1:37">
      <c r="A129" s="957"/>
      <c r="B129" s="957"/>
      <c r="C129" s="957"/>
      <c r="D129" s="957"/>
      <c r="E129" s="957"/>
      <c r="F129" s="44"/>
      <c r="G129" s="44"/>
      <c r="N129" s="38"/>
      <c r="P129" s="38"/>
      <c r="Q129" s="44"/>
      <c r="R129" s="44"/>
      <c r="S129" s="38"/>
      <c r="T129" s="38"/>
      <c r="U129" s="38"/>
      <c r="V129" s="38"/>
      <c r="W129" s="44"/>
      <c r="X129" s="38"/>
      <c r="Y129" s="38"/>
      <c r="Z129" s="958"/>
      <c r="AA129" s="38"/>
      <c r="AB129" s="38"/>
      <c r="AC129" s="38"/>
      <c r="AD129" s="38"/>
      <c r="AE129" s="38"/>
      <c r="AF129" s="575"/>
      <c r="AG129" s="976"/>
      <c r="AH129" s="976"/>
      <c r="AI129" s="976"/>
      <c r="AJ129" s="976"/>
      <c r="AK129" s="37">
        <v>11</v>
      </c>
    </row>
    <row r="130" s="37" customFormat="1" ht="11.55" customHeight="1" spans="1:37">
      <c r="A130" s="957"/>
      <c r="B130" s="957"/>
      <c r="C130" s="957"/>
      <c r="D130" s="957"/>
      <c r="E130" s="957"/>
      <c r="F130" s="44"/>
      <c r="G130" s="44"/>
      <c r="N130" s="38"/>
      <c r="P130" s="38"/>
      <c r="Q130" s="44"/>
      <c r="R130" s="44"/>
      <c r="S130" s="38"/>
      <c r="T130" s="38"/>
      <c r="U130" s="38"/>
      <c r="V130" s="38"/>
      <c r="W130" s="44"/>
      <c r="X130" s="38"/>
      <c r="Y130" s="38"/>
      <c r="Z130" s="958"/>
      <c r="AA130" s="38"/>
      <c r="AB130" s="38"/>
      <c r="AC130" s="38"/>
      <c r="AD130" s="38"/>
      <c r="AE130" s="38"/>
      <c r="AF130" s="575"/>
      <c r="AG130" s="976"/>
      <c r="AH130" s="976"/>
      <c r="AI130" s="976"/>
      <c r="AJ130" s="976"/>
      <c r="AK130" s="37">
        <v>11</v>
      </c>
    </row>
    <row r="131" s="37" customFormat="1" ht="11.55" customHeight="1" spans="1:37">
      <c r="A131" s="957"/>
      <c r="B131" s="957"/>
      <c r="C131" s="957"/>
      <c r="D131" s="957"/>
      <c r="E131" s="957"/>
      <c r="F131" s="44"/>
      <c r="G131" s="44"/>
      <c r="N131" s="38"/>
      <c r="P131" s="38"/>
      <c r="Q131" s="44"/>
      <c r="R131" s="44"/>
      <c r="S131" s="38"/>
      <c r="T131" s="38"/>
      <c r="U131" s="38"/>
      <c r="V131" s="38"/>
      <c r="W131" s="44"/>
      <c r="X131" s="38"/>
      <c r="Y131" s="38"/>
      <c r="Z131" s="958"/>
      <c r="AA131" s="38"/>
      <c r="AB131" s="38"/>
      <c r="AC131" s="38"/>
      <c r="AD131" s="38"/>
      <c r="AE131" s="38"/>
      <c r="AF131" s="575"/>
      <c r="AG131" s="976"/>
      <c r="AH131" s="976"/>
      <c r="AI131" s="976"/>
      <c r="AJ131" s="976"/>
      <c r="AK131" s="37">
        <v>11</v>
      </c>
    </row>
    <row r="132" s="37" customFormat="1" ht="11.55" customHeight="1" spans="1:37">
      <c r="A132" s="957"/>
      <c r="B132" s="957"/>
      <c r="C132" s="957"/>
      <c r="D132" s="957"/>
      <c r="E132" s="957"/>
      <c r="F132" s="44"/>
      <c r="G132" s="44"/>
      <c r="N132" s="38"/>
      <c r="P132" s="38"/>
      <c r="Q132" s="44"/>
      <c r="R132" s="44"/>
      <c r="S132" s="38"/>
      <c r="T132" s="38"/>
      <c r="U132" s="38"/>
      <c r="V132" s="38"/>
      <c r="W132" s="44"/>
      <c r="X132" s="38"/>
      <c r="Y132" s="38"/>
      <c r="Z132" s="958"/>
      <c r="AA132" s="38"/>
      <c r="AB132" s="38"/>
      <c r="AC132" s="38"/>
      <c r="AD132" s="38"/>
      <c r="AE132" s="38"/>
      <c r="AF132" s="575"/>
      <c r="AG132" s="976"/>
      <c r="AH132" s="976"/>
      <c r="AI132" s="976"/>
      <c r="AJ132" s="976"/>
      <c r="AK132" s="37">
        <v>11</v>
      </c>
    </row>
    <row r="133" s="37" customFormat="1" ht="11.55" customHeight="1" spans="1:37">
      <c r="A133" s="957"/>
      <c r="B133" s="957"/>
      <c r="C133" s="957"/>
      <c r="D133" s="957"/>
      <c r="E133" s="957"/>
      <c r="F133" s="44"/>
      <c r="G133" s="44"/>
      <c r="N133" s="38"/>
      <c r="P133" s="38"/>
      <c r="Q133" s="44"/>
      <c r="R133" s="44"/>
      <c r="S133" s="38"/>
      <c r="T133" s="38"/>
      <c r="U133" s="38"/>
      <c r="V133" s="38"/>
      <c r="W133" s="44"/>
      <c r="X133" s="38"/>
      <c r="Y133" s="38"/>
      <c r="Z133" s="958"/>
      <c r="AA133" s="38"/>
      <c r="AB133" s="38"/>
      <c r="AC133" s="38"/>
      <c r="AD133" s="38"/>
      <c r="AE133" s="38"/>
      <c r="AF133" s="575"/>
      <c r="AG133" s="976"/>
      <c r="AH133" s="976"/>
      <c r="AI133" s="976"/>
      <c r="AJ133" s="976"/>
      <c r="AK133" s="37">
        <v>11</v>
      </c>
    </row>
    <row r="134" s="37" customFormat="1" ht="11.55" customHeight="1" spans="1:37">
      <c r="A134" s="957"/>
      <c r="B134" s="957"/>
      <c r="C134" s="957"/>
      <c r="D134" s="957"/>
      <c r="E134" s="957"/>
      <c r="F134" s="44"/>
      <c r="G134" s="44"/>
      <c r="N134" s="38"/>
      <c r="P134" s="38"/>
      <c r="Q134" s="44"/>
      <c r="R134" s="44"/>
      <c r="S134" s="38"/>
      <c r="T134" s="38"/>
      <c r="U134" s="38"/>
      <c r="V134" s="38"/>
      <c r="W134" s="44"/>
      <c r="X134" s="38"/>
      <c r="Y134" s="38"/>
      <c r="Z134" s="958"/>
      <c r="AA134" s="38"/>
      <c r="AB134" s="38"/>
      <c r="AC134" s="38"/>
      <c r="AD134" s="38"/>
      <c r="AE134" s="38"/>
      <c r="AF134" s="575"/>
      <c r="AG134" s="976"/>
      <c r="AH134" s="976"/>
      <c r="AI134" s="976"/>
      <c r="AJ134" s="976"/>
      <c r="AK134" s="37">
        <v>11</v>
      </c>
    </row>
    <row r="135" s="37" customFormat="1" ht="11.55" customHeight="1" spans="1:37">
      <c r="A135" s="957"/>
      <c r="B135" s="957"/>
      <c r="C135" s="957"/>
      <c r="D135" s="957"/>
      <c r="E135" s="957"/>
      <c r="F135" s="44"/>
      <c r="G135" s="44"/>
      <c r="N135" s="38"/>
      <c r="P135" s="38"/>
      <c r="Q135" s="44"/>
      <c r="R135" s="44"/>
      <c r="S135" s="38"/>
      <c r="T135" s="38"/>
      <c r="U135" s="38"/>
      <c r="V135" s="38"/>
      <c r="W135" s="44"/>
      <c r="X135" s="38"/>
      <c r="Y135" s="38"/>
      <c r="Z135" s="958"/>
      <c r="AA135" s="38"/>
      <c r="AB135" s="38"/>
      <c r="AC135" s="38"/>
      <c r="AD135" s="38"/>
      <c r="AE135" s="38"/>
      <c r="AF135" s="575"/>
      <c r="AG135" s="976"/>
      <c r="AH135" s="976"/>
      <c r="AI135" s="976"/>
      <c r="AJ135" s="976"/>
      <c r="AK135" s="37">
        <v>11</v>
      </c>
    </row>
    <row r="136" s="37" customFormat="1" ht="11.55" customHeight="1" spans="1:37">
      <c r="A136" s="957"/>
      <c r="B136" s="957"/>
      <c r="C136" s="957"/>
      <c r="D136" s="957"/>
      <c r="E136" s="957"/>
      <c r="F136" s="44"/>
      <c r="G136" s="44"/>
      <c r="N136" s="38"/>
      <c r="P136" s="38"/>
      <c r="Q136" s="44"/>
      <c r="R136" s="44"/>
      <c r="S136" s="38"/>
      <c r="T136" s="38"/>
      <c r="U136" s="38"/>
      <c r="V136" s="38"/>
      <c r="W136" s="44"/>
      <c r="X136" s="38"/>
      <c r="Y136" s="38"/>
      <c r="Z136" s="958"/>
      <c r="AA136" s="38"/>
      <c r="AB136" s="38"/>
      <c r="AC136" s="38"/>
      <c r="AD136" s="38"/>
      <c r="AE136" s="38"/>
      <c r="AF136" s="575"/>
      <c r="AG136" s="976"/>
      <c r="AH136" s="976"/>
      <c r="AI136" s="976"/>
      <c r="AJ136" s="976"/>
      <c r="AK136" s="37">
        <v>11</v>
      </c>
    </row>
    <row r="137" s="37" customFormat="1" ht="11.55" customHeight="1" spans="1:37">
      <c r="A137" s="957"/>
      <c r="B137" s="957"/>
      <c r="C137" s="957"/>
      <c r="D137" s="957"/>
      <c r="E137" s="957"/>
      <c r="F137" s="44"/>
      <c r="G137" s="44"/>
      <c r="N137" s="38"/>
      <c r="P137" s="38"/>
      <c r="Q137" s="44"/>
      <c r="R137" s="44"/>
      <c r="S137" s="38"/>
      <c r="T137" s="38"/>
      <c r="U137" s="38"/>
      <c r="V137" s="38"/>
      <c r="W137" s="44"/>
      <c r="X137" s="38"/>
      <c r="Y137" s="38"/>
      <c r="Z137" s="958"/>
      <c r="AA137" s="38"/>
      <c r="AB137" s="38"/>
      <c r="AC137" s="38"/>
      <c r="AD137" s="38"/>
      <c r="AE137" s="38"/>
      <c r="AF137" s="575"/>
      <c r="AG137" s="976"/>
      <c r="AH137" s="976"/>
      <c r="AI137" s="976"/>
      <c r="AJ137" s="976"/>
      <c r="AK137" s="37">
        <v>11</v>
      </c>
    </row>
    <row r="138" s="37" customFormat="1" ht="11.55" customHeight="1" spans="1:37">
      <c r="A138" s="957"/>
      <c r="B138" s="957"/>
      <c r="C138" s="957"/>
      <c r="D138" s="957"/>
      <c r="E138" s="957"/>
      <c r="F138" s="44"/>
      <c r="G138" s="44"/>
      <c r="N138" s="38"/>
      <c r="P138" s="38"/>
      <c r="Q138" s="44"/>
      <c r="R138" s="44"/>
      <c r="S138" s="38"/>
      <c r="T138" s="38"/>
      <c r="U138" s="38"/>
      <c r="V138" s="38"/>
      <c r="W138" s="44"/>
      <c r="X138" s="38"/>
      <c r="Y138" s="38"/>
      <c r="Z138" s="958"/>
      <c r="AA138" s="38"/>
      <c r="AB138" s="38"/>
      <c r="AC138" s="38"/>
      <c r="AD138" s="38"/>
      <c r="AE138" s="38"/>
      <c r="AF138" s="575"/>
      <c r="AG138" s="976"/>
      <c r="AH138" s="976"/>
      <c r="AI138" s="976"/>
      <c r="AJ138" s="976"/>
      <c r="AK138" s="37">
        <v>11</v>
      </c>
    </row>
    <row r="139" s="37" customFormat="1" ht="11.55" customHeight="1" spans="1:37">
      <c r="A139" s="957"/>
      <c r="B139" s="957"/>
      <c r="C139" s="957"/>
      <c r="D139" s="957"/>
      <c r="E139" s="957"/>
      <c r="F139" s="44"/>
      <c r="G139" s="44"/>
      <c r="N139" s="38"/>
      <c r="P139" s="38"/>
      <c r="Q139" s="44"/>
      <c r="R139" s="44"/>
      <c r="S139" s="38"/>
      <c r="T139" s="38"/>
      <c r="U139" s="38"/>
      <c r="V139" s="38"/>
      <c r="W139" s="44"/>
      <c r="X139" s="38"/>
      <c r="Y139" s="38"/>
      <c r="Z139" s="958"/>
      <c r="AA139" s="38"/>
      <c r="AB139" s="38"/>
      <c r="AC139" s="38"/>
      <c r="AD139" s="38"/>
      <c r="AE139" s="38"/>
      <c r="AF139" s="575"/>
      <c r="AG139" s="976"/>
      <c r="AH139" s="976"/>
      <c r="AI139" s="976"/>
      <c r="AJ139" s="976"/>
      <c r="AK139" s="37">
        <v>11</v>
      </c>
    </row>
    <row r="140" s="37" customFormat="1" ht="11.55" customHeight="1" spans="1:37">
      <c r="A140" s="957"/>
      <c r="B140" s="957"/>
      <c r="C140" s="957"/>
      <c r="D140" s="957"/>
      <c r="E140" s="957"/>
      <c r="F140" s="44"/>
      <c r="G140" s="44"/>
      <c r="N140" s="38"/>
      <c r="P140" s="38"/>
      <c r="Q140" s="44"/>
      <c r="R140" s="44"/>
      <c r="S140" s="38"/>
      <c r="T140" s="38"/>
      <c r="U140" s="38"/>
      <c r="V140" s="38"/>
      <c r="W140" s="44"/>
      <c r="X140" s="38"/>
      <c r="Y140" s="38"/>
      <c r="Z140" s="958"/>
      <c r="AA140" s="38"/>
      <c r="AB140" s="38"/>
      <c r="AC140" s="38"/>
      <c r="AD140" s="38"/>
      <c r="AE140" s="38"/>
      <c r="AF140" s="575"/>
      <c r="AG140" s="976"/>
      <c r="AH140" s="976"/>
      <c r="AI140" s="976"/>
      <c r="AJ140" s="976"/>
      <c r="AK140" s="37">
        <v>11</v>
      </c>
    </row>
    <row r="141" s="37" customFormat="1" ht="11.55" customHeight="1" spans="1:37">
      <c r="A141" s="957"/>
      <c r="B141" s="957"/>
      <c r="C141" s="957"/>
      <c r="D141" s="957"/>
      <c r="E141" s="957"/>
      <c r="F141" s="44"/>
      <c r="G141" s="44"/>
      <c r="N141" s="38"/>
      <c r="P141" s="38"/>
      <c r="Q141" s="44"/>
      <c r="R141" s="44"/>
      <c r="S141" s="38"/>
      <c r="T141" s="38"/>
      <c r="U141" s="38"/>
      <c r="V141" s="38"/>
      <c r="W141" s="44"/>
      <c r="X141" s="38"/>
      <c r="Y141" s="38"/>
      <c r="Z141" s="958"/>
      <c r="AA141" s="38"/>
      <c r="AB141" s="38"/>
      <c r="AC141" s="38"/>
      <c r="AD141" s="38"/>
      <c r="AE141" s="38"/>
      <c r="AF141" s="575"/>
      <c r="AG141" s="976"/>
      <c r="AH141" s="976"/>
      <c r="AI141" s="976"/>
      <c r="AJ141" s="976"/>
      <c r="AK141" s="37">
        <v>11</v>
      </c>
    </row>
    <row r="142" s="37" customFormat="1" ht="11.55" customHeight="1" spans="1:37">
      <c r="A142" s="957"/>
      <c r="B142" s="957"/>
      <c r="C142" s="957"/>
      <c r="D142" s="957"/>
      <c r="E142" s="957"/>
      <c r="F142" s="44"/>
      <c r="G142" s="44"/>
      <c r="N142" s="38"/>
      <c r="P142" s="38"/>
      <c r="Q142" s="44"/>
      <c r="R142" s="44"/>
      <c r="S142" s="38"/>
      <c r="T142" s="38"/>
      <c r="U142" s="38"/>
      <c r="V142" s="38"/>
      <c r="W142" s="44"/>
      <c r="X142" s="38"/>
      <c r="Y142" s="38"/>
      <c r="Z142" s="958"/>
      <c r="AA142" s="38"/>
      <c r="AB142" s="38"/>
      <c r="AC142" s="38"/>
      <c r="AD142" s="38"/>
      <c r="AE142" s="38"/>
      <c r="AF142" s="575"/>
      <c r="AG142" s="976"/>
      <c r="AH142" s="976"/>
      <c r="AI142" s="976"/>
      <c r="AJ142" s="976"/>
      <c r="AK142" s="37">
        <v>11</v>
      </c>
    </row>
    <row r="143" s="37" customFormat="1" ht="11.55" customHeight="1" spans="1:37">
      <c r="A143" s="957"/>
      <c r="B143" s="957"/>
      <c r="C143" s="957"/>
      <c r="D143" s="957"/>
      <c r="E143" s="957"/>
      <c r="F143" s="44"/>
      <c r="G143" s="44"/>
      <c r="N143" s="38"/>
      <c r="P143" s="38"/>
      <c r="Q143" s="44"/>
      <c r="R143" s="44"/>
      <c r="S143" s="38"/>
      <c r="T143" s="38"/>
      <c r="U143" s="38"/>
      <c r="V143" s="38"/>
      <c r="W143" s="44"/>
      <c r="X143" s="38"/>
      <c r="Y143" s="38"/>
      <c r="Z143" s="958"/>
      <c r="AA143" s="38"/>
      <c r="AB143" s="38"/>
      <c r="AC143" s="38"/>
      <c r="AD143" s="38"/>
      <c r="AE143" s="38"/>
      <c r="AF143" s="575"/>
      <c r="AG143" s="976"/>
      <c r="AH143" s="976"/>
      <c r="AI143" s="976"/>
      <c r="AJ143" s="976"/>
      <c r="AK143" s="37">
        <v>11</v>
      </c>
    </row>
    <row r="144" s="37" customFormat="1" ht="11.55" customHeight="1" spans="1:37">
      <c r="A144" s="957"/>
      <c r="B144" s="957"/>
      <c r="C144" s="957"/>
      <c r="D144" s="957"/>
      <c r="E144" s="957"/>
      <c r="F144" s="44"/>
      <c r="G144" s="44"/>
      <c r="N144" s="38"/>
      <c r="P144" s="38"/>
      <c r="Q144" s="44"/>
      <c r="R144" s="44"/>
      <c r="S144" s="38"/>
      <c r="T144" s="38"/>
      <c r="U144" s="38"/>
      <c r="V144" s="38"/>
      <c r="W144" s="44"/>
      <c r="X144" s="38"/>
      <c r="Y144" s="38"/>
      <c r="Z144" s="958"/>
      <c r="AA144" s="38"/>
      <c r="AB144" s="38"/>
      <c r="AC144" s="38"/>
      <c r="AD144" s="38"/>
      <c r="AE144" s="38"/>
      <c r="AF144" s="575"/>
      <c r="AG144" s="976"/>
      <c r="AH144" s="976"/>
      <c r="AI144" s="976"/>
      <c r="AJ144" s="976"/>
      <c r="AK144" s="37">
        <v>11</v>
      </c>
    </row>
    <row r="145" s="37" customFormat="1" ht="11.55" customHeight="1" spans="1:37">
      <c r="A145" s="957"/>
      <c r="B145" s="957"/>
      <c r="C145" s="957"/>
      <c r="D145" s="957"/>
      <c r="E145" s="957"/>
      <c r="F145" s="44"/>
      <c r="G145" s="44"/>
      <c r="N145" s="38"/>
      <c r="P145" s="38"/>
      <c r="Q145" s="44"/>
      <c r="R145" s="44"/>
      <c r="S145" s="38"/>
      <c r="T145" s="38"/>
      <c r="U145" s="38"/>
      <c r="V145" s="38"/>
      <c r="W145" s="44"/>
      <c r="X145" s="38"/>
      <c r="Y145" s="38"/>
      <c r="Z145" s="958"/>
      <c r="AA145" s="38"/>
      <c r="AB145" s="38"/>
      <c r="AC145" s="38"/>
      <c r="AD145" s="38"/>
      <c r="AE145" s="38"/>
      <c r="AF145" s="575"/>
      <c r="AG145" s="976"/>
      <c r="AH145" s="976"/>
      <c r="AI145" s="976"/>
      <c r="AJ145" s="976"/>
      <c r="AK145" s="37">
        <v>11</v>
      </c>
    </row>
    <row r="146" s="37" customFormat="1" ht="11.55" customHeight="1" spans="1:37">
      <c r="A146" s="957"/>
      <c r="B146" s="957"/>
      <c r="C146" s="957"/>
      <c r="D146" s="957"/>
      <c r="E146" s="957"/>
      <c r="F146" s="44"/>
      <c r="G146" s="44"/>
      <c r="N146" s="38"/>
      <c r="P146" s="38"/>
      <c r="Q146" s="44"/>
      <c r="R146" s="44"/>
      <c r="S146" s="38"/>
      <c r="T146" s="38"/>
      <c r="U146" s="38"/>
      <c r="V146" s="38"/>
      <c r="W146" s="44"/>
      <c r="X146" s="38"/>
      <c r="Y146" s="38"/>
      <c r="Z146" s="958"/>
      <c r="AA146" s="38"/>
      <c r="AB146" s="38"/>
      <c r="AC146" s="38"/>
      <c r="AD146" s="38"/>
      <c r="AE146" s="38"/>
      <c r="AF146" s="575"/>
      <c r="AG146" s="976"/>
      <c r="AH146" s="976"/>
      <c r="AI146" s="976"/>
      <c r="AJ146" s="976"/>
      <c r="AK146" s="37">
        <v>11</v>
      </c>
    </row>
    <row r="147" s="37" customFormat="1" ht="11.55" customHeight="1" spans="1:37">
      <c r="A147" s="957"/>
      <c r="B147" s="957"/>
      <c r="C147" s="957"/>
      <c r="D147" s="957"/>
      <c r="E147" s="957"/>
      <c r="F147" s="44"/>
      <c r="G147" s="44"/>
      <c r="N147" s="38"/>
      <c r="P147" s="38"/>
      <c r="Q147" s="44"/>
      <c r="R147" s="44"/>
      <c r="S147" s="38"/>
      <c r="T147" s="38"/>
      <c r="U147" s="38"/>
      <c r="V147" s="38"/>
      <c r="W147" s="44"/>
      <c r="X147" s="38"/>
      <c r="Y147" s="38"/>
      <c r="Z147" s="958"/>
      <c r="AA147" s="38"/>
      <c r="AB147" s="38"/>
      <c r="AC147" s="38"/>
      <c r="AD147" s="38"/>
      <c r="AE147" s="38"/>
      <c r="AF147" s="575"/>
      <c r="AG147" s="976"/>
      <c r="AH147" s="976"/>
      <c r="AI147" s="976"/>
      <c r="AJ147" s="976"/>
      <c r="AK147" s="37">
        <v>11</v>
      </c>
    </row>
    <row r="148" s="37" customFormat="1" ht="11.55" customHeight="1" spans="1:37">
      <c r="A148" s="957"/>
      <c r="B148" s="957"/>
      <c r="C148" s="957"/>
      <c r="D148" s="957"/>
      <c r="E148" s="957"/>
      <c r="F148" s="44"/>
      <c r="G148" s="44"/>
      <c r="N148" s="38"/>
      <c r="P148" s="38"/>
      <c r="Q148" s="44"/>
      <c r="R148" s="44"/>
      <c r="S148" s="38"/>
      <c r="T148" s="38"/>
      <c r="U148" s="38"/>
      <c r="V148" s="38"/>
      <c r="W148" s="44"/>
      <c r="X148" s="38"/>
      <c r="Y148" s="38"/>
      <c r="Z148" s="958"/>
      <c r="AA148" s="38"/>
      <c r="AB148" s="38"/>
      <c r="AC148" s="38"/>
      <c r="AD148" s="38"/>
      <c r="AE148" s="38"/>
      <c r="AF148" s="575"/>
      <c r="AG148" s="976"/>
      <c r="AH148" s="976"/>
      <c r="AI148" s="976"/>
      <c r="AJ148" s="976"/>
      <c r="AK148" s="37">
        <v>11</v>
      </c>
    </row>
    <row r="149" s="37" customFormat="1" ht="11.55" customHeight="1" spans="1:37">
      <c r="A149" s="957"/>
      <c r="B149" s="957"/>
      <c r="C149" s="957"/>
      <c r="D149" s="957"/>
      <c r="E149" s="957"/>
      <c r="F149" s="44"/>
      <c r="G149" s="44"/>
      <c r="N149" s="38"/>
      <c r="P149" s="38"/>
      <c r="Q149" s="44"/>
      <c r="R149" s="44"/>
      <c r="S149" s="38"/>
      <c r="T149" s="38"/>
      <c r="U149" s="38"/>
      <c r="V149" s="38"/>
      <c r="W149" s="44"/>
      <c r="X149" s="38"/>
      <c r="Y149" s="38"/>
      <c r="Z149" s="958"/>
      <c r="AA149" s="38"/>
      <c r="AB149" s="38"/>
      <c r="AC149" s="38"/>
      <c r="AD149" s="38"/>
      <c r="AE149" s="38"/>
      <c r="AF149" s="575"/>
      <c r="AG149" s="976"/>
      <c r="AH149" s="976"/>
      <c r="AI149" s="976"/>
      <c r="AJ149" s="976"/>
      <c r="AK149" s="37">
        <v>11</v>
      </c>
    </row>
    <row r="150" s="37" customFormat="1" ht="11.55" customHeight="1" spans="1:37">
      <c r="A150" s="957"/>
      <c r="B150" s="957"/>
      <c r="C150" s="957"/>
      <c r="D150" s="957"/>
      <c r="E150" s="957"/>
      <c r="F150" s="44"/>
      <c r="G150" s="44"/>
      <c r="N150" s="38"/>
      <c r="P150" s="38"/>
      <c r="Q150" s="44"/>
      <c r="R150" s="44"/>
      <c r="S150" s="38"/>
      <c r="T150" s="38"/>
      <c r="U150" s="38"/>
      <c r="V150" s="38"/>
      <c r="W150" s="44"/>
      <c r="X150" s="38"/>
      <c r="Y150" s="38"/>
      <c r="Z150" s="958"/>
      <c r="AA150" s="38"/>
      <c r="AB150" s="38"/>
      <c r="AC150" s="38"/>
      <c r="AD150" s="38"/>
      <c r="AE150" s="38"/>
      <c r="AF150" s="575"/>
      <c r="AG150" s="976"/>
      <c r="AH150" s="976"/>
      <c r="AI150" s="976"/>
      <c r="AJ150" s="976"/>
      <c r="AK150" s="37">
        <v>11</v>
      </c>
    </row>
    <row r="151" s="37" customFormat="1" ht="11.55" customHeight="1" spans="1:37">
      <c r="A151" s="957"/>
      <c r="B151" s="957"/>
      <c r="C151" s="957"/>
      <c r="D151" s="957"/>
      <c r="E151" s="957"/>
      <c r="F151" s="44"/>
      <c r="G151" s="44"/>
      <c r="N151" s="38"/>
      <c r="P151" s="38"/>
      <c r="Q151" s="44"/>
      <c r="R151" s="44"/>
      <c r="S151" s="38"/>
      <c r="T151" s="38"/>
      <c r="U151" s="38"/>
      <c r="V151" s="38"/>
      <c r="W151" s="44"/>
      <c r="X151" s="38"/>
      <c r="Y151" s="38"/>
      <c r="Z151" s="958"/>
      <c r="AA151" s="38"/>
      <c r="AB151" s="38"/>
      <c r="AC151" s="38"/>
      <c r="AD151" s="38"/>
      <c r="AE151" s="38"/>
      <c r="AF151" s="575"/>
      <c r="AG151" s="976"/>
      <c r="AH151" s="976"/>
      <c r="AI151" s="976"/>
      <c r="AJ151" s="976"/>
      <c r="AK151" s="37">
        <v>11</v>
      </c>
    </row>
    <row r="152" s="37" customFormat="1" ht="11.55" customHeight="1" spans="1:37">
      <c r="A152" s="957"/>
      <c r="B152" s="957"/>
      <c r="C152" s="957"/>
      <c r="D152" s="957"/>
      <c r="E152" s="957"/>
      <c r="F152" s="44"/>
      <c r="G152" s="44"/>
      <c r="N152" s="38"/>
      <c r="P152" s="38"/>
      <c r="Q152" s="44"/>
      <c r="R152" s="44"/>
      <c r="S152" s="38"/>
      <c r="T152" s="38"/>
      <c r="U152" s="38"/>
      <c r="V152" s="38"/>
      <c r="W152" s="44"/>
      <c r="X152" s="38"/>
      <c r="Y152" s="38"/>
      <c r="Z152" s="958"/>
      <c r="AA152" s="38"/>
      <c r="AB152" s="38"/>
      <c r="AC152" s="38"/>
      <c r="AD152" s="38"/>
      <c r="AE152" s="38"/>
      <c r="AF152" s="575"/>
      <c r="AG152" s="976"/>
      <c r="AH152" s="976"/>
      <c r="AI152" s="976"/>
      <c r="AJ152" s="976"/>
      <c r="AK152" s="37">
        <v>11</v>
      </c>
    </row>
    <row r="153" s="37" customFormat="1" ht="11.55" customHeight="1" spans="1:37">
      <c r="A153" s="957"/>
      <c r="B153" s="957"/>
      <c r="C153" s="957"/>
      <c r="D153" s="957"/>
      <c r="E153" s="957"/>
      <c r="F153" s="44"/>
      <c r="G153" s="44"/>
      <c r="N153" s="38"/>
      <c r="P153" s="38"/>
      <c r="Q153" s="44"/>
      <c r="R153" s="44"/>
      <c r="S153" s="38"/>
      <c r="T153" s="38"/>
      <c r="U153" s="38"/>
      <c r="V153" s="38"/>
      <c r="W153" s="44"/>
      <c r="X153" s="38"/>
      <c r="Y153" s="38"/>
      <c r="Z153" s="958"/>
      <c r="AA153" s="38"/>
      <c r="AB153" s="38"/>
      <c r="AC153" s="38"/>
      <c r="AD153" s="38"/>
      <c r="AE153" s="38"/>
      <c r="AF153" s="575"/>
      <c r="AG153" s="976"/>
      <c r="AH153" s="976"/>
      <c r="AI153" s="976"/>
      <c r="AJ153" s="976"/>
      <c r="AK153" s="37">
        <v>11</v>
      </c>
    </row>
    <row r="154" s="37" customFormat="1" ht="11.55" customHeight="1" spans="1:37">
      <c r="A154" s="957"/>
      <c r="B154" s="957"/>
      <c r="C154" s="957"/>
      <c r="D154" s="957"/>
      <c r="E154" s="957"/>
      <c r="F154" s="44"/>
      <c r="G154" s="44"/>
      <c r="N154" s="38"/>
      <c r="P154" s="38"/>
      <c r="Q154" s="44"/>
      <c r="R154" s="44"/>
      <c r="S154" s="38"/>
      <c r="T154" s="38"/>
      <c r="U154" s="38"/>
      <c r="V154" s="38"/>
      <c r="W154" s="44"/>
      <c r="X154" s="38"/>
      <c r="Y154" s="38"/>
      <c r="Z154" s="958"/>
      <c r="AA154" s="38"/>
      <c r="AB154" s="38"/>
      <c r="AC154" s="38"/>
      <c r="AD154" s="38"/>
      <c r="AE154" s="38"/>
      <c r="AF154" s="575"/>
      <c r="AG154" s="976"/>
      <c r="AH154" s="976"/>
      <c r="AI154" s="976"/>
      <c r="AJ154" s="976"/>
      <c r="AK154" s="37">
        <v>11</v>
      </c>
    </row>
    <row r="155" s="37" customFormat="1" ht="11.55" customHeight="1" spans="1:37">
      <c r="A155" s="957"/>
      <c r="B155" s="957"/>
      <c r="C155" s="957"/>
      <c r="D155" s="957"/>
      <c r="E155" s="957"/>
      <c r="F155" s="44"/>
      <c r="G155" s="44"/>
      <c r="N155" s="38"/>
      <c r="P155" s="38"/>
      <c r="Q155" s="44"/>
      <c r="R155" s="44"/>
      <c r="S155" s="38"/>
      <c r="T155" s="38"/>
      <c r="U155" s="38"/>
      <c r="V155" s="38"/>
      <c r="W155" s="44"/>
      <c r="X155" s="38"/>
      <c r="Y155" s="38"/>
      <c r="Z155" s="958"/>
      <c r="AA155" s="38"/>
      <c r="AB155" s="38"/>
      <c r="AC155" s="38"/>
      <c r="AD155" s="38"/>
      <c r="AE155" s="38"/>
      <c r="AF155" s="575"/>
      <c r="AG155" s="976"/>
      <c r="AH155" s="976"/>
      <c r="AI155" s="976"/>
      <c r="AJ155" s="976"/>
      <c r="AK155" s="37">
        <v>11</v>
      </c>
    </row>
    <row r="156" s="37" customFormat="1" ht="11.55" customHeight="1" spans="1:37">
      <c r="A156" s="957"/>
      <c r="B156" s="957"/>
      <c r="C156" s="957"/>
      <c r="D156" s="957"/>
      <c r="E156" s="957"/>
      <c r="F156" s="44"/>
      <c r="G156" s="44"/>
      <c r="N156" s="38"/>
      <c r="P156" s="38"/>
      <c r="Q156" s="44"/>
      <c r="R156" s="44"/>
      <c r="S156" s="38"/>
      <c r="T156" s="38"/>
      <c r="U156" s="38"/>
      <c r="V156" s="38"/>
      <c r="W156" s="44"/>
      <c r="X156" s="38"/>
      <c r="Y156" s="38"/>
      <c r="Z156" s="958"/>
      <c r="AA156" s="38"/>
      <c r="AB156" s="38"/>
      <c r="AC156" s="38"/>
      <c r="AD156" s="38"/>
      <c r="AE156" s="38"/>
      <c r="AF156" s="575"/>
      <c r="AG156" s="976"/>
      <c r="AH156" s="976"/>
      <c r="AI156" s="976"/>
      <c r="AJ156" s="976"/>
      <c r="AK156" s="37">
        <v>11</v>
      </c>
    </row>
    <row r="157" s="37" customFormat="1" ht="11.55" customHeight="1" spans="1:37">
      <c r="A157" s="957"/>
      <c r="B157" s="957"/>
      <c r="C157" s="957"/>
      <c r="D157" s="957"/>
      <c r="E157" s="957"/>
      <c r="F157" s="44"/>
      <c r="G157" s="44"/>
      <c r="N157" s="38"/>
      <c r="P157" s="38"/>
      <c r="Q157" s="44"/>
      <c r="R157" s="44"/>
      <c r="S157" s="38"/>
      <c r="T157" s="38"/>
      <c r="U157" s="38"/>
      <c r="V157" s="38"/>
      <c r="W157" s="44"/>
      <c r="X157" s="38"/>
      <c r="Y157" s="38"/>
      <c r="Z157" s="958"/>
      <c r="AA157" s="38"/>
      <c r="AB157" s="38"/>
      <c r="AC157" s="38"/>
      <c r="AD157" s="38"/>
      <c r="AE157" s="38"/>
      <c r="AF157" s="575"/>
      <c r="AG157" s="976"/>
      <c r="AH157" s="976"/>
      <c r="AI157" s="976"/>
      <c r="AJ157" s="976"/>
      <c r="AK157" s="37">
        <v>11</v>
      </c>
    </row>
    <row r="158" s="37" customFormat="1" ht="11.55" customHeight="1" spans="1:37">
      <c r="A158" s="957"/>
      <c r="B158" s="957"/>
      <c r="C158" s="957"/>
      <c r="D158" s="957"/>
      <c r="E158" s="957"/>
      <c r="F158" s="44"/>
      <c r="G158" s="44"/>
      <c r="N158" s="38"/>
      <c r="P158" s="38"/>
      <c r="Q158" s="44"/>
      <c r="R158" s="44"/>
      <c r="S158" s="38"/>
      <c r="T158" s="38"/>
      <c r="U158" s="38"/>
      <c r="V158" s="38"/>
      <c r="W158" s="44"/>
      <c r="X158" s="38"/>
      <c r="Y158" s="38"/>
      <c r="Z158" s="958"/>
      <c r="AA158" s="38"/>
      <c r="AB158" s="38"/>
      <c r="AC158" s="38"/>
      <c r="AD158" s="38"/>
      <c r="AE158" s="38"/>
      <c r="AF158" s="575"/>
      <c r="AG158" s="976"/>
      <c r="AH158" s="976"/>
      <c r="AI158" s="976"/>
      <c r="AJ158" s="976"/>
      <c r="AK158" s="37">
        <v>11</v>
      </c>
    </row>
    <row r="159" s="37" customFormat="1" ht="11.55" customHeight="1" spans="1:37">
      <c r="A159" s="957"/>
      <c r="B159" s="957"/>
      <c r="C159" s="957"/>
      <c r="D159" s="957"/>
      <c r="E159" s="957"/>
      <c r="F159" s="44"/>
      <c r="G159" s="44"/>
      <c r="N159" s="38"/>
      <c r="P159" s="38"/>
      <c r="Q159" s="44"/>
      <c r="R159" s="44"/>
      <c r="S159" s="38"/>
      <c r="T159" s="38"/>
      <c r="U159" s="38"/>
      <c r="V159" s="38"/>
      <c r="W159" s="44"/>
      <c r="X159" s="38"/>
      <c r="Y159" s="38"/>
      <c r="Z159" s="958"/>
      <c r="AA159" s="38"/>
      <c r="AB159" s="38"/>
      <c r="AC159" s="38"/>
      <c r="AD159" s="38"/>
      <c r="AE159" s="38"/>
      <c r="AF159" s="575"/>
      <c r="AG159" s="976"/>
      <c r="AH159" s="976"/>
      <c r="AI159" s="976"/>
      <c r="AJ159" s="976"/>
      <c r="AK159" s="37">
        <v>11</v>
      </c>
    </row>
    <row r="160" s="37" customFormat="1" ht="11.55" customHeight="1" spans="1:37">
      <c r="A160" s="957"/>
      <c r="B160" s="957"/>
      <c r="C160" s="957"/>
      <c r="D160" s="957"/>
      <c r="E160" s="957"/>
      <c r="F160" s="44"/>
      <c r="G160" s="44"/>
      <c r="N160" s="38"/>
      <c r="P160" s="38"/>
      <c r="Q160" s="44"/>
      <c r="R160" s="44"/>
      <c r="S160" s="38"/>
      <c r="T160" s="38"/>
      <c r="U160" s="38"/>
      <c r="V160" s="38"/>
      <c r="W160" s="44"/>
      <c r="X160" s="38"/>
      <c r="Y160" s="38"/>
      <c r="Z160" s="958"/>
      <c r="AA160" s="38"/>
      <c r="AB160" s="38"/>
      <c r="AC160" s="38"/>
      <c r="AD160" s="38"/>
      <c r="AE160" s="38"/>
      <c r="AF160" s="575"/>
      <c r="AG160" s="976"/>
      <c r="AH160" s="976"/>
      <c r="AI160" s="976"/>
      <c r="AJ160" s="976"/>
      <c r="AK160" s="37">
        <v>11</v>
      </c>
    </row>
    <row r="161" s="37" customFormat="1" ht="11.55" customHeight="1" spans="1:37">
      <c r="A161" s="957"/>
      <c r="B161" s="957"/>
      <c r="C161" s="957"/>
      <c r="D161" s="957"/>
      <c r="E161" s="957"/>
      <c r="F161" s="44"/>
      <c r="G161" s="44"/>
      <c r="N161" s="38"/>
      <c r="P161" s="38"/>
      <c r="Q161" s="44"/>
      <c r="R161" s="44"/>
      <c r="S161" s="38"/>
      <c r="T161" s="38"/>
      <c r="U161" s="38"/>
      <c r="V161" s="38"/>
      <c r="W161" s="44"/>
      <c r="X161" s="38"/>
      <c r="Y161" s="38"/>
      <c r="Z161" s="958"/>
      <c r="AA161" s="38"/>
      <c r="AB161" s="38"/>
      <c r="AC161" s="38"/>
      <c r="AD161" s="38"/>
      <c r="AE161" s="38"/>
      <c r="AF161" s="575"/>
      <c r="AG161" s="976"/>
      <c r="AH161" s="976"/>
      <c r="AI161" s="976"/>
      <c r="AJ161" s="976"/>
      <c r="AK161" s="37">
        <v>11</v>
      </c>
    </row>
    <row r="162" s="37" customFormat="1" ht="11.55" customHeight="1" spans="1:37">
      <c r="A162" s="957"/>
      <c r="B162" s="957"/>
      <c r="C162" s="957"/>
      <c r="D162" s="957"/>
      <c r="E162" s="957"/>
      <c r="F162" s="44"/>
      <c r="G162" s="44"/>
      <c r="N162" s="38"/>
      <c r="P162" s="38"/>
      <c r="Q162" s="44"/>
      <c r="R162" s="44"/>
      <c r="S162" s="38"/>
      <c r="T162" s="38"/>
      <c r="U162" s="38"/>
      <c r="V162" s="38"/>
      <c r="W162" s="44"/>
      <c r="X162" s="38"/>
      <c r="Y162" s="38"/>
      <c r="Z162" s="958"/>
      <c r="AA162" s="38"/>
      <c r="AB162" s="38"/>
      <c r="AC162" s="38"/>
      <c r="AD162" s="38"/>
      <c r="AE162" s="38"/>
      <c r="AF162" s="575"/>
      <c r="AG162" s="976"/>
      <c r="AH162" s="976"/>
      <c r="AI162" s="976"/>
      <c r="AJ162" s="976"/>
      <c r="AK162" s="37">
        <v>11</v>
      </c>
    </row>
    <row r="163" s="37" customFormat="1" ht="11.55" customHeight="1" spans="1:37">
      <c r="A163" s="957"/>
      <c r="B163" s="957"/>
      <c r="C163" s="957"/>
      <c r="D163" s="957"/>
      <c r="E163" s="957"/>
      <c r="F163" s="44"/>
      <c r="G163" s="44"/>
      <c r="N163" s="38"/>
      <c r="P163" s="38"/>
      <c r="Q163" s="44"/>
      <c r="R163" s="44"/>
      <c r="S163" s="38"/>
      <c r="T163" s="38"/>
      <c r="U163" s="38"/>
      <c r="V163" s="38"/>
      <c r="W163" s="44"/>
      <c r="X163" s="38"/>
      <c r="Y163" s="38"/>
      <c r="Z163" s="958"/>
      <c r="AA163" s="38"/>
      <c r="AB163" s="38"/>
      <c r="AC163" s="38"/>
      <c r="AD163" s="38"/>
      <c r="AE163" s="38"/>
      <c r="AF163" s="575"/>
      <c r="AG163" s="976"/>
      <c r="AH163" s="976"/>
      <c r="AI163" s="976"/>
      <c r="AJ163" s="976"/>
      <c r="AK163" s="37">
        <v>11</v>
      </c>
    </row>
    <row r="164" s="37" customFormat="1" ht="11.55" customHeight="1" spans="1:37">
      <c r="A164" s="957"/>
      <c r="B164" s="957"/>
      <c r="C164" s="957"/>
      <c r="D164" s="957"/>
      <c r="E164" s="957"/>
      <c r="F164" s="44"/>
      <c r="G164" s="44"/>
      <c r="N164" s="38"/>
      <c r="P164" s="38"/>
      <c r="Q164" s="44"/>
      <c r="R164" s="44"/>
      <c r="S164" s="38"/>
      <c r="T164" s="38"/>
      <c r="U164" s="38"/>
      <c r="V164" s="38"/>
      <c r="W164" s="44"/>
      <c r="X164" s="38"/>
      <c r="Y164" s="38"/>
      <c r="Z164" s="958"/>
      <c r="AA164" s="38"/>
      <c r="AB164" s="38"/>
      <c r="AC164" s="38"/>
      <c r="AD164" s="38"/>
      <c r="AE164" s="38"/>
      <c r="AF164" s="575"/>
      <c r="AG164" s="976"/>
      <c r="AH164" s="976"/>
      <c r="AI164" s="976"/>
      <c r="AJ164" s="976"/>
      <c r="AK164" s="37">
        <v>11</v>
      </c>
    </row>
    <row r="165" s="37" customFormat="1" ht="11.55" customHeight="1" spans="1:37">
      <c r="A165" s="957"/>
      <c r="B165" s="957"/>
      <c r="C165" s="957"/>
      <c r="D165" s="957"/>
      <c r="E165" s="957"/>
      <c r="F165" s="44"/>
      <c r="G165" s="44"/>
      <c r="N165" s="38"/>
      <c r="P165" s="38"/>
      <c r="Q165" s="44"/>
      <c r="R165" s="44"/>
      <c r="S165" s="38"/>
      <c r="T165" s="38"/>
      <c r="U165" s="38"/>
      <c r="V165" s="38"/>
      <c r="W165" s="44"/>
      <c r="X165" s="38"/>
      <c r="Y165" s="38"/>
      <c r="Z165" s="958"/>
      <c r="AA165" s="38"/>
      <c r="AB165" s="38"/>
      <c r="AC165" s="38"/>
      <c r="AD165" s="38"/>
      <c r="AE165" s="38"/>
      <c r="AF165" s="575"/>
      <c r="AG165" s="976"/>
      <c r="AH165" s="976"/>
      <c r="AI165" s="976"/>
      <c r="AJ165" s="976"/>
      <c r="AK165" s="37">
        <v>11</v>
      </c>
    </row>
    <row r="166" s="37" customFormat="1" ht="11.55" customHeight="1" spans="1:37">
      <c r="A166" s="957"/>
      <c r="B166" s="957"/>
      <c r="C166" s="957"/>
      <c r="D166" s="957"/>
      <c r="E166" s="957"/>
      <c r="F166" s="44"/>
      <c r="G166" s="44"/>
      <c r="N166" s="38"/>
      <c r="P166" s="38"/>
      <c r="Q166" s="44"/>
      <c r="R166" s="44"/>
      <c r="S166" s="38"/>
      <c r="T166" s="38"/>
      <c r="U166" s="38"/>
      <c r="V166" s="38"/>
      <c r="W166" s="44"/>
      <c r="X166" s="38"/>
      <c r="Y166" s="38"/>
      <c r="Z166" s="958"/>
      <c r="AA166" s="38"/>
      <c r="AB166" s="38"/>
      <c r="AC166" s="38"/>
      <c r="AD166" s="38"/>
      <c r="AE166" s="38"/>
      <c r="AF166" s="575"/>
      <c r="AG166" s="976"/>
      <c r="AH166" s="976"/>
      <c r="AI166" s="976"/>
      <c r="AJ166" s="976"/>
      <c r="AK166" s="37">
        <v>11</v>
      </c>
    </row>
    <row r="167" s="37" customFormat="1" ht="11.55" customHeight="1" spans="1:37">
      <c r="A167" s="957"/>
      <c r="B167" s="957"/>
      <c r="C167" s="957"/>
      <c r="D167" s="957"/>
      <c r="E167" s="957"/>
      <c r="F167" s="44"/>
      <c r="G167" s="44"/>
      <c r="N167" s="38"/>
      <c r="P167" s="38"/>
      <c r="Q167" s="44"/>
      <c r="R167" s="44"/>
      <c r="S167" s="38"/>
      <c r="T167" s="38"/>
      <c r="U167" s="38"/>
      <c r="V167" s="38"/>
      <c r="W167" s="44"/>
      <c r="X167" s="38"/>
      <c r="Y167" s="38"/>
      <c r="Z167" s="958"/>
      <c r="AA167" s="38"/>
      <c r="AB167" s="38"/>
      <c r="AC167" s="38"/>
      <c r="AD167" s="38"/>
      <c r="AE167" s="38"/>
      <c r="AF167" s="575"/>
      <c r="AG167" s="976"/>
      <c r="AH167" s="976"/>
      <c r="AI167" s="976"/>
      <c r="AJ167" s="976"/>
      <c r="AK167" s="37">
        <v>11</v>
      </c>
    </row>
    <row r="168" s="37" customFormat="1" ht="11.55" customHeight="1" spans="1:37">
      <c r="A168" s="957"/>
      <c r="B168" s="957"/>
      <c r="C168" s="957"/>
      <c r="D168" s="957"/>
      <c r="E168" s="957"/>
      <c r="F168" s="44"/>
      <c r="G168" s="44"/>
      <c r="N168" s="38"/>
      <c r="P168" s="38"/>
      <c r="Q168" s="44"/>
      <c r="R168" s="44"/>
      <c r="S168" s="38"/>
      <c r="T168" s="38"/>
      <c r="U168" s="38"/>
      <c r="V168" s="38"/>
      <c r="W168" s="44"/>
      <c r="X168" s="38"/>
      <c r="Y168" s="38"/>
      <c r="Z168" s="958"/>
      <c r="AA168" s="38"/>
      <c r="AB168" s="38"/>
      <c r="AC168" s="38"/>
      <c r="AD168" s="38"/>
      <c r="AE168" s="38"/>
      <c r="AF168" s="575"/>
      <c r="AG168" s="976"/>
      <c r="AH168" s="976"/>
      <c r="AI168" s="976"/>
      <c r="AJ168" s="976"/>
      <c r="AK168" s="37">
        <v>11</v>
      </c>
    </row>
    <row r="169" s="37" customFormat="1" ht="11.55" customHeight="1" spans="1:37">
      <c r="A169" s="957"/>
      <c r="B169" s="957"/>
      <c r="C169" s="957"/>
      <c r="D169" s="957"/>
      <c r="E169" s="957"/>
      <c r="F169" s="44"/>
      <c r="G169" s="44"/>
      <c r="N169" s="38"/>
      <c r="P169" s="38"/>
      <c r="Q169" s="44"/>
      <c r="R169" s="44"/>
      <c r="S169" s="38"/>
      <c r="T169" s="38"/>
      <c r="U169" s="38"/>
      <c r="V169" s="38"/>
      <c r="W169" s="44"/>
      <c r="X169" s="38"/>
      <c r="Y169" s="38"/>
      <c r="Z169" s="958"/>
      <c r="AA169" s="38"/>
      <c r="AB169" s="38"/>
      <c r="AC169" s="38"/>
      <c r="AD169" s="38"/>
      <c r="AE169" s="38"/>
      <c r="AF169" s="575"/>
      <c r="AG169" s="976"/>
      <c r="AH169" s="976"/>
      <c r="AI169" s="976"/>
      <c r="AJ169" s="976"/>
      <c r="AK169" s="37">
        <v>11</v>
      </c>
    </row>
    <row r="170" s="37" customFormat="1" ht="11.55" customHeight="1" spans="1:37">
      <c r="A170" s="957"/>
      <c r="B170" s="957"/>
      <c r="C170" s="957"/>
      <c r="D170" s="957"/>
      <c r="E170" s="957"/>
      <c r="F170" s="44"/>
      <c r="G170" s="44"/>
      <c r="N170" s="38"/>
      <c r="P170" s="38"/>
      <c r="Q170" s="44"/>
      <c r="R170" s="44"/>
      <c r="S170" s="38"/>
      <c r="T170" s="38"/>
      <c r="U170" s="38"/>
      <c r="V170" s="38"/>
      <c r="W170" s="44"/>
      <c r="X170" s="38"/>
      <c r="Y170" s="38"/>
      <c r="Z170" s="958"/>
      <c r="AA170" s="38"/>
      <c r="AB170" s="38"/>
      <c r="AC170" s="38"/>
      <c r="AD170" s="38"/>
      <c r="AE170" s="38"/>
      <c r="AF170" s="575"/>
      <c r="AG170" s="976"/>
      <c r="AH170" s="976"/>
      <c r="AI170" s="976"/>
      <c r="AJ170" s="976"/>
      <c r="AK170" s="37">
        <v>11</v>
      </c>
    </row>
    <row r="171" s="37" customFormat="1" ht="11.55" customHeight="1" spans="1:37">
      <c r="A171" s="957"/>
      <c r="B171" s="957"/>
      <c r="C171" s="957"/>
      <c r="D171" s="957"/>
      <c r="E171" s="957"/>
      <c r="F171" s="44"/>
      <c r="G171" s="44"/>
      <c r="N171" s="38"/>
      <c r="P171" s="38"/>
      <c r="Q171" s="44"/>
      <c r="R171" s="44"/>
      <c r="S171" s="38"/>
      <c r="T171" s="38"/>
      <c r="U171" s="38"/>
      <c r="V171" s="38"/>
      <c r="W171" s="44"/>
      <c r="X171" s="38"/>
      <c r="Y171" s="38"/>
      <c r="Z171" s="958"/>
      <c r="AA171" s="38"/>
      <c r="AB171" s="38"/>
      <c r="AC171" s="38"/>
      <c r="AD171" s="38"/>
      <c r="AE171" s="38"/>
      <c r="AF171" s="575"/>
      <c r="AG171" s="976"/>
      <c r="AH171" s="976"/>
      <c r="AI171" s="976"/>
      <c r="AJ171" s="976"/>
      <c r="AK171" s="37">
        <v>11</v>
      </c>
    </row>
    <row r="172" s="37" customFormat="1" ht="11.55" customHeight="1" spans="1:37">
      <c r="A172" s="957"/>
      <c r="B172" s="957"/>
      <c r="C172" s="957"/>
      <c r="D172" s="957"/>
      <c r="E172" s="957"/>
      <c r="F172" s="44"/>
      <c r="G172" s="44"/>
      <c r="N172" s="38"/>
      <c r="P172" s="38"/>
      <c r="Q172" s="44"/>
      <c r="R172" s="44"/>
      <c r="S172" s="38"/>
      <c r="T172" s="38"/>
      <c r="U172" s="38"/>
      <c r="V172" s="38"/>
      <c r="W172" s="44"/>
      <c r="X172" s="38"/>
      <c r="Y172" s="38"/>
      <c r="Z172" s="958"/>
      <c r="AA172" s="38"/>
      <c r="AB172" s="38"/>
      <c r="AC172" s="38"/>
      <c r="AD172" s="38"/>
      <c r="AE172" s="38"/>
      <c r="AF172" s="575"/>
      <c r="AG172" s="976"/>
      <c r="AH172" s="976"/>
      <c r="AI172" s="976"/>
      <c r="AJ172" s="976"/>
      <c r="AK172" s="37">
        <v>11</v>
      </c>
    </row>
    <row r="173" s="37" customFormat="1" ht="11.55" customHeight="1" spans="1:37">
      <c r="A173" s="957"/>
      <c r="B173" s="957"/>
      <c r="C173" s="957"/>
      <c r="D173" s="957"/>
      <c r="E173" s="957"/>
      <c r="F173" s="44"/>
      <c r="G173" s="44"/>
      <c r="N173" s="38"/>
      <c r="P173" s="38"/>
      <c r="Q173" s="44"/>
      <c r="R173" s="44"/>
      <c r="S173" s="38"/>
      <c r="T173" s="38"/>
      <c r="U173" s="38"/>
      <c r="V173" s="38"/>
      <c r="W173" s="44"/>
      <c r="X173" s="38"/>
      <c r="Y173" s="38"/>
      <c r="Z173" s="958"/>
      <c r="AA173" s="38"/>
      <c r="AB173" s="38"/>
      <c r="AC173" s="38"/>
      <c r="AD173" s="38"/>
      <c r="AE173" s="38"/>
      <c r="AF173" s="575"/>
      <c r="AG173" s="976"/>
      <c r="AH173" s="976"/>
      <c r="AI173" s="976"/>
      <c r="AJ173" s="976"/>
      <c r="AK173" s="37">
        <v>11</v>
      </c>
    </row>
    <row r="174" s="37" customFormat="1" ht="11.55" customHeight="1" spans="1:37">
      <c r="A174" s="957"/>
      <c r="B174" s="957"/>
      <c r="C174" s="957"/>
      <c r="D174" s="957"/>
      <c r="E174" s="957"/>
      <c r="F174" s="44"/>
      <c r="G174" s="44"/>
      <c r="N174" s="38"/>
      <c r="P174" s="38"/>
      <c r="Q174" s="44"/>
      <c r="R174" s="44"/>
      <c r="S174" s="38"/>
      <c r="T174" s="38"/>
      <c r="U174" s="38"/>
      <c r="V174" s="38"/>
      <c r="W174" s="44"/>
      <c r="X174" s="38"/>
      <c r="Y174" s="38"/>
      <c r="Z174" s="958"/>
      <c r="AA174" s="38"/>
      <c r="AB174" s="38"/>
      <c r="AC174" s="38"/>
      <c r="AD174" s="38"/>
      <c r="AE174" s="38"/>
      <c r="AF174" s="575"/>
      <c r="AG174" s="976"/>
      <c r="AH174" s="976"/>
      <c r="AI174" s="976"/>
      <c r="AJ174" s="976"/>
      <c r="AK174" s="37">
        <v>11</v>
      </c>
    </row>
    <row r="175" s="37" customFormat="1" ht="11.55" customHeight="1" spans="1:37">
      <c r="A175" s="957"/>
      <c r="B175" s="957"/>
      <c r="C175" s="957"/>
      <c r="D175" s="957"/>
      <c r="E175" s="957"/>
      <c r="F175" s="44"/>
      <c r="G175" s="44"/>
      <c r="N175" s="38"/>
      <c r="P175" s="38"/>
      <c r="Q175" s="44"/>
      <c r="R175" s="44"/>
      <c r="S175" s="38"/>
      <c r="T175" s="38"/>
      <c r="U175" s="38"/>
      <c r="V175" s="38"/>
      <c r="W175" s="44"/>
      <c r="X175" s="38"/>
      <c r="Y175" s="38"/>
      <c r="Z175" s="958"/>
      <c r="AA175" s="38"/>
      <c r="AB175" s="38"/>
      <c r="AC175" s="38"/>
      <c r="AD175" s="38"/>
      <c r="AE175" s="38"/>
      <c r="AF175" s="575"/>
      <c r="AG175" s="976"/>
      <c r="AH175" s="976"/>
      <c r="AI175" s="976"/>
      <c r="AJ175" s="976"/>
      <c r="AK175" s="37">
        <v>11</v>
      </c>
    </row>
    <row r="176" s="37" customFormat="1" ht="11.55" customHeight="1" spans="1:37">
      <c r="A176" s="957"/>
      <c r="B176" s="957"/>
      <c r="C176" s="957"/>
      <c r="D176" s="957"/>
      <c r="E176" s="957"/>
      <c r="F176" s="44"/>
      <c r="G176" s="44"/>
      <c r="N176" s="38"/>
      <c r="P176" s="38"/>
      <c r="Q176" s="44"/>
      <c r="R176" s="44"/>
      <c r="S176" s="38"/>
      <c r="T176" s="38"/>
      <c r="U176" s="38"/>
      <c r="V176" s="38"/>
      <c r="W176" s="44"/>
      <c r="X176" s="38"/>
      <c r="Y176" s="38"/>
      <c r="Z176" s="958"/>
      <c r="AA176" s="38"/>
      <c r="AB176" s="38"/>
      <c r="AC176" s="38"/>
      <c r="AD176" s="38"/>
      <c r="AE176" s="38"/>
      <c r="AF176" s="575"/>
      <c r="AG176" s="976"/>
      <c r="AH176" s="976"/>
      <c r="AI176" s="976"/>
      <c r="AJ176" s="976"/>
      <c r="AK176" s="37">
        <v>11</v>
      </c>
    </row>
    <row r="177" s="37" customFormat="1" ht="11.55" customHeight="1" spans="1:37">
      <c r="A177" s="957"/>
      <c r="B177" s="957"/>
      <c r="C177" s="957"/>
      <c r="D177" s="957"/>
      <c r="E177" s="957"/>
      <c r="F177" s="44"/>
      <c r="G177" s="44"/>
      <c r="N177" s="38"/>
      <c r="P177" s="38"/>
      <c r="Q177" s="44"/>
      <c r="R177" s="44"/>
      <c r="S177" s="38"/>
      <c r="T177" s="38"/>
      <c r="U177" s="38"/>
      <c r="V177" s="38"/>
      <c r="W177" s="44"/>
      <c r="X177" s="38"/>
      <c r="Y177" s="38"/>
      <c r="Z177" s="958"/>
      <c r="AA177" s="38"/>
      <c r="AB177" s="38"/>
      <c r="AC177" s="38"/>
      <c r="AD177" s="38"/>
      <c r="AE177" s="38"/>
      <c r="AF177" s="575"/>
      <c r="AG177" s="976"/>
      <c r="AH177" s="976"/>
      <c r="AI177" s="976"/>
      <c r="AJ177" s="976"/>
      <c r="AK177" s="37">
        <v>11</v>
      </c>
    </row>
    <row r="178" s="37" customFormat="1" ht="11.55" customHeight="1" spans="1:37">
      <c r="A178" s="957"/>
      <c r="B178" s="957"/>
      <c r="C178" s="957"/>
      <c r="D178" s="957"/>
      <c r="E178" s="957"/>
      <c r="F178" s="44"/>
      <c r="G178" s="44"/>
      <c r="N178" s="38"/>
      <c r="P178" s="38"/>
      <c r="Q178" s="44"/>
      <c r="R178" s="44"/>
      <c r="S178" s="38"/>
      <c r="T178" s="38"/>
      <c r="U178" s="38"/>
      <c r="V178" s="38"/>
      <c r="W178" s="44"/>
      <c r="X178" s="38"/>
      <c r="Y178" s="38"/>
      <c r="Z178" s="958"/>
      <c r="AA178" s="38"/>
      <c r="AB178" s="38"/>
      <c r="AC178" s="38"/>
      <c r="AD178" s="38"/>
      <c r="AE178" s="38"/>
      <c r="AF178" s="575"/>
      <c r="AG178" s="976"/>
      <c r="AH178" s="976"/>
      <c r="AI178" s="976"/>
      <c r="AJ178" s="976"/>
      <c r="AK178" s="37">
        <v>11</v>
      </c>
    </row>
    <row r="179" s="37" customFormat="1" ht="11.55" customHeight="1" spans="1:37">
      <c r="A179" s="957"/>
      <c r="B179" s="957"/>
      <c r="C179" s="957"/>
      <c r="D179" s="957"/>
      <c r="E179" s="957"/>
      <c r="F179" s="44"/>
      <c r="G179" s="44"/>
      <c r="N179" s="38"/>
      <c r="P179" s="38"/>
      <c r="Q179" s="44"/>
      <c r="R179" s="44"/>
      <c r="S179" s="38"/>
      <c r="T179" s="38"/>
      <c r="U179" s="38"/>
      <c r="V179" s="38"/>
      <c r="W179" s="44"/>
      <c r="X179" s="38"/>
      <c r="Y179" s="38"/>
      <c r="Z179" s="958"/>
      <c r="AA179" s="38"/>
      <c r="AB179" s="38"/>
      <c r="AC179" s="38"/>
      <c r="AD179" s="38"/>
      <c r="AE179" s="38"/>
      <c r="AF179" s="575"/>
      <c r="AG179" s="976"/>
      <c r="AH179" s="976"/>
      <c r="AI179" s="976"/>
      <c r="AJ179" s="976"/>
      <c r="AK179" s="37">
        <v>11</v>
      </c>
    </row>
    <row r="180" s="37" customFormat="1" ht="11.55" customHeight="1" spans="1:37">
      <c r="A180" s="957"/>
      <c r="B180" s="957"/>
      <c r="C180" s="957"/>
      <c r="D180" s="957"/>
      <c r="E180" s="957"/>
      <c r="F180" s="44"/>
      <c r="G180" s="44"/>
      <c r="N180" s="38"/>
      <c r="P180" s="38"/>
      <c r="Q180" s="44"/>
      <c r="R180" s="44"/>
      <c r="S180" s="38"/>
      <c r="T180" s="38"/>
      <c r="U180" s="38"/>
      <c r="V180" s="38"/>
      <c r="W180" s="44"/>
      <c r="X180" s="38"/>
      <c r="Y180" s="38"/>
      <c r="Z180" s="958"/>
      <c r="AA180" s="38"/>
      <c r="AB180" s="38"/>
      <c r="AC180" s="38"/>
      <c r="AD180" s="38"/>
      <c r="AE180" s="38"/>
      <c r="AF180" s="575"/>
      <c r="AG180" s="976"/>
      <c r="AH180" s="976"/>
      <c r="AI180" s="976"/>
      <c r="AJ180" s="976"/>
      <c r="AK180" s="37">
        <v>11</v>
      </c>
    </row>
    <row r="181" s="37" customFormat="1" ht="11.55" customHeight="1" spans="1:37">
      <c r="A181" s="957"/>
      <c r="B181" s="957"/>
      <c r="C181" s="957"/>
      <c r="D181" s="957"/>
      <c r="E181" s="957"/>
      <c r="F181" s="44"/>
      <c r="G181" s="44"/>
      <c r="N181" s="38"/>
      <c r="P181" s="38"/>
      <c r="Q181" s="44"/>
      <c r="R181" s="44"/>
      <c r="S181" s="38"/>
      <c r="T181" s="38"/>
      <c r="U181" s="38"/>
      <c r="V181" s="38"/>
      <c r="W181" s="44"/>
      <c r="X181" s="38"/>
      <c r="Y181" s="38"/>
      <c r="Z181" s="958"/>
      <c r="AA181" s="38"/>
      <c r="AB181" s="38"/>
      <c r="AC181" s="38"/>
      <c r="AD181" s="38"/>
      <c r="AE181" s="38"/>
      <c r="AF181" s="575"/>
      <c r="AG181" s="976"/>
      <c r="AH181" s="976"/>
      <c r="AI181" s="976"/>
      <c r="AJ181" s="976"/>
      <c r="AK181" s="37">
        <v>11</v>
      </c>
    </row>
    <row r="182" s="37" customFormat="1" ht="11.55" customHeight="1" spans="1:37">
      <c r="A182" s="957"/>
      <c r="B182" s="957"/>
      <c r="C182" s="957"/>
      <c r="D182" s="957"/>
      <c r="E182" s="957"/>
      <c r="F182" s="44"/>
      <c r="G182" s="44"/>
      <c r="N182" s="38"/>
      <c r="P182" s="38"/>
      <c r="Q182" s="44"/>
      <c r="R182" s="44"/>
      <c r="S182" s="38"/>
      <c r="T182" s="38"/>
      <c r="U182" s="38"/>
      <c r="V182" s="38"/>
      <c r="W182" s="44"/>
      <c r="X182" s="38"/>
      <c r="Y182" s="38"/>
      <c r="Z182" s="958"/>
      <c r="AA182" s="38"/>
      <c r="AB182" s="38"/>
      <c r="AC182" s="38"/>
      <c r="AD182" s="38"/>
      <c r="AE182" s="38"/>
      <c r="AF182" s="575"/>
      <c r="AG182" s="976"/>
      <c r="AH182" s="976"/>
      <c r="AI182" s="976"/>
      <c r="AJ182" s="976"/>
      <c r="AK182" s="37">
        <v>11</v>
      </c>
    </row>
    <row r="183" s="37" customFormat="1" ht="11.55" customHeight="1" spans="1:37">
      <c r="A183" s="957"/>
      <c r="B183" s="957"/>
      <c r="C183" s="957"/>
      <c r="D183" s="957"/>
      <c r="E183" s="957"/>
      <c r="F183" s="44"/>
      <c r="G183" s="44"/>
      <c r="N183" s="38"/>
      <c r="P183" s="38"/>
      <c r="Q183" s="44"/>
      <c r="R183" s="44"/>
      <c r="S183" s="38"/>
      <c r="T183" s="38"/>
      <c r="U183" s="38"/>
      <c r="V183" s="38"/>
      <c r="W183" s="44"/>
      <c r="X183" s="38"/>
      <c r="Y183" s="38"/>
      <c r="Z183" s="958"/>
      <c r="AA183" s="38"/>
      <c r="AB183" s="38"/>
      <c r="AC183" s="38"/>
      <c r="AD183" s="38"/>
      <c r="AE183" s="38"/>
      <c r="AF183" s="575"/>
      <c r="AG183" s="976"/>
      <c r="AH183" s="976"/>
      <c r="AI183" s="976"/>
      <c r="AJ183" s="976"/>
      <c r="AK183" s="37">
        <v>11</v>
      </c>
    </row>
    <row r="184" s="37" customFormat="1" ht="11.55" customHeight="1" spans="1:37">
      <c r="A184" s="957"/>
      <c r="B184" s="957"/>
      <c r="C184" s="957"/>
      <c r="D184" s="957"/>
      <c r="E184" s="957"/>
      <c r="F184" s="44"/>
      <c r="G184" s="44"/>
      <c r="N184" s="38"/>
      <c r="P184" s="38"/>
      <c r="Q184" s="44"/>
      <c r="R184" s="44"/>
      <c r="S184" s="38"/>
      <c r="T184" s="38"/>
      <c r="U184" s="38"/>
      <c r="V184" s="38"/>
      <c r="W184" s="44"/>
      <c r="X184" s="38"/>
      <c r="Y184" s="38"/>
      <c r="Z184" s="958"/>
      <c r="AA184" s="38"/>
      <c r="AB184" s="38"/>
      <c r="AC184" s="38"/>
      <c r="AD184" s="38"/>
      <c r="AE184" s="38"/>
      <c r="AF184" s="575"/>
      <c r="AG184" s="976"/>
      <c r="AH184" s="976"/>
      <c r="AI184" s="976"/>
      <c r="AJ184" s="976"/>
      <c r="AK184" s="37">
        <v>11</v>
      </c>
    </row>
    <row r="185" s="37" customFormat="1" ht="11.55" customHeight="1" spans="1:37">
      <c r="A185" s="957"/>
      <c r="B185" s="957"/>
      <c r="C185" s="957"/>
      <c r="D185" s="957"/>
      <c r="E185" s="957"/>
      <c r="F185" s="44"/>
      <c r="G185" s="44"/>
      <c r="N185" s="38"/>
      <c r="P185" s="38"/>
      <c r="Q185" s="44"/>
      <c r="R185" s="44"/>
      <c r="S185" s="38"/>
      <c r="T185" s="38"/>
      <c r="U185" s="38"/>
      <c r="V185" s="38"/>
      <c r="W185" s="44"/>
      <c r="X185" s="38"/>
      <c r="Y185" s="38"/>
      <c r="Z185" s="958"/>
      <c r="AA185" s="38"/>
      <c r="AB185" s="38"/>
      <c r="AC185" s="38"/>
      <c r="AD185" s="38"/>
      <c r="AE185" s="38"/>
      <c r="AF185" s="575"/>
      <c r="AG185" s="976"/>
      <c r="AH185" s="976"/>
      <c r="AI185" s="976"/>
      <c r="AJ185" s="976"/>
      <c r="AK185" s="37">
        <v>11</v>
      </c>
    </row>
    <row r="186" s="37" customFormat="1" ht="11.55" customHeight="1" spans="1:37">
      <c r="A186" s="957"/>
      <c r="B186" s="957"/>
      <c r="C186" s="957"/>
      <c r="D186" s="957"/>
      <c r="E186" s="957"/>
      <c r="F186" s="44"/>
      <c r="G186" s="44"/>
      <c r="N186" s="38"/>
      <c r="P186" s="38"/>
      <c r="Q186" s="44"/>
      <c r="R186" s="44"/>
      <c r="S186" s="38"/>
      <c r="T186" s="38"/>
      <c r="U186" s="38"/>
      <c r="V186" s="38"/>
      <c r="W186" s="44"/>
      <c r="X186" s="38"/>
      <c r="Y186" s="38"/>
      <c r="Z186" s="958"/>
      <c r="AA186" s="38"/>
      <c r="AB186" s="38"/>
      <c r="AC186" s="38"/>
      <c r="AD186" s="38"/>
      <c r="AE186" s="38"/>
      <c r="AF186" s="575"/>
      <c r="AG186" s="976"/>
      <c r="AH186" s="976"/>
      <c r="AI186" s="976"/>
      <c r="AJ186" s="976"/>
      <c r="AK186" s="37">
        <v>11</v>
      </c>
    </row>
    <row r="187" s="37" customFormat="1" ht="11.55" customHeight="1" spans="1:37">
      <c r="A187" s="957"/>
      <c r="B187" s="957"/>
      <c r="C187" s="957"/>
      <c r="D187" s="957"/>
      <c r="E187" s="957"/>
      <c r="F187" s="44"/>
      <c r="G187" s="44"/>
      <c r="N187" s="38"/>
      <c r="P187" s="38"/>
      <c r="Q187" s="44"/>
      <c r="R187" s="44"/>
      <c r="S187" s="38"/>
      <c r="T187" s="38"/>
      <c r="U187" s="38"/>
      <c r="V187" s="38"/>
      <c r="W187" s="44"/>
      <c r="X187" s="38"/>
      <c r="Y187" s="38"/>
      <c r="Z187" s="958"/>
      <c r="AA187" s="38"/>
      <c r="AB187" s="38"/>
      <c r="AC187" s="38"/>
      <c r="AD187" s="38"/>
      <c r="AE187" s="38"/>
      <c r="AF187" s="575"/>
      <c r="AG187" s="976"/>
      <c r="AH187" s="976"/>
      <c r="AI187" s="976"/>
      <c r="AJ187" s="976"/>
      <c r="AK187" s="37">
        <v>11</v>
      </c>
    </row>
    <row r="188" s="37" customFormat="1" ht="11.55" customHeight="1" spans="1:37">
      <c r="A188" s="957"/>
      <c r="B188" s="957"/>
      <c r="C188" s="957"/>
      <c r="D188" s="957"/>
      <c r="E188" s="957"/>
      <c r="F188" s="44"/>
      <c r="G188" s="44"/>
      <c r="N188" s="38"/>
      <c r="P188" s="38"/>
      <c r="Q188" s="44"/>
      <c r="R188" s="44"/>
      <c r="S188" s="38"/>
      <c r="T188" s="38"/>
      <c r="U188" s="38"/>
      <c r="V188" s="38"/>
      <c r="W188" s="44"/>
      <c r="X188" s="38"/>
      <c r="Y188" s="38"/>
      <c r="Z188" s="958"/>
      <c r="AA188" s="38"/>
      <c r="AB188" s="38"/>
      <c r="AC188" s="38"/>
      <c r="AD188" s="38"/>
      <c r="AE188" s="38"/>
      <c r="AF188" s="575"/>
      <c r="AG188" s="976"/>
      <c r="AH188" s="976"/>
      <c r="AI188" s="976"/>
      <c r="AJ188" s="976"/>
      <c r="AK188" s="37">
        <v>11</v>
      </c>
    </row>
    <row r="189" s="37" customFormat="1" ht="11.55" customHeight="1" spans="1:37">
      <c r="A189" s="957"/>
      <c r="B189" s="957"/>
      <c r="C189" s="957"/>
      <c r="D189" s="957"/>
      <c r="E189" s="957"/>
      <c r="F189" s="44"/>
      <c r="G189" s="44"/>
      <c r="N189" s="38"/>
      <c r="P189" s="38"/>
      <c r="Q189" s="44"/>
      <c r="R189" s="44"/>
      <c r="S189" s="38"/>
      <c r="T189" s="38"/>
      <c r="U189" s="38"/>
      <c r="V189" s="38"/>
      <c r="W189" s="44"/>
      <c r="X189" s="38"/>
      <c r="Y189" s="38"/>
      <c r="Z189" s="958"/>
      <c r="AA189" s="38"/>
      <c r="AB189" s="38"/>
      <c r="AC189" s="38"/>
      <c r="AD189" s="38"/>
      <c r="AE189" s="38"/>
      <c r="AF189" s="575"/>
      <c r="AG189" s="976"/>
      <c r="AH189" s="976"/>
      <c r="AI189" s="976"/>
      <c r="AJ189" s="976"/>
      <c r="AK189" s="37">
        <v>11</v>
      </c>
    </row>
    <row r="190" ht="11.55" customHeight="1" spans="37:37">
      <c r="AK190" s="43">
        <v>11</v>
      </c>
    </row>
    <row r="191" ht="11.55" customHeight="1" spans="37:37">
      <c r="AK191" s="43">
        <v>11</v>
      </c>
    </row>
    <row r="192" ht="11.55" customHeight="1" spans="37:37">
      <c r="AK192" s="43">
        <v>11</v>
      </c>
    </row>
    <row r="193" ht="11.55" customHeight="1" spans="1:37">
      <c r="A193" s="980"/>
      <c r="B193" s="980"/>
      <c r="C193" s="980"/>
      <c r="D193" s="980"/>
      <c r="E193" s="980"/>
      <c r="F193" s="43"/>
      <c r="N193" s="43"/>
      <c r="P193" s="43"/>
      <c r="S193" s="43"/>
      <c r="T193" s="43"/>
      <c r="U193" s="43"/>
      <c r="V193" s="43"/>
      <c r="X193" s="43"/>
      <c r="Y193" s="43"/>
      <c r="Z193" s="43"/>
      <c r="AA193" s="43"/>
      <c r="AB193" s="43"/>
      <c r="AC193" s="43"/>
      <c r="AD193" s="43"/>
      <c r="AE193" s="43"/>
      <c r="AF193" s="43"/>
      <c r="AG193" s="43"/>
      <c r="AH193" s="43"/>
      <c r="AI193" s="43"/>
      <c r="AJ193" s="43"/>
      <c r="AK193" s="43">
        <v>11</v>
      </c>
    </row>
    <row r="194" ht="11.55" customHeight="1" spans="1:37">
      <c r="A194" s="980"/>
      <c r="B194" s="980"/>
      <c r="C194" s="980"/>
      <c r="D194" s="980"/>
      <c r="E194" s="980"/>
      <c r="F194" s="43"/>
      <c r="N194" s="43"/>
      <c r="P194" s="43"/>
      <c r="S194" s="43"/>
      <c r="T194" s="43"/>
      <c r="U194" s="43"/>
      <c r="V194" s="43"/>
      <c r="X194" s="43"/>
      <c r="Y194" s="43"/>
      <c r="Z194" s="43"/>
      <c r="AA194" s="43"/>
      <c r="AB194" s="43"/>
      <c r="AC194" s="43"/>
      <c r="AD194" s="43"/>
      <c r="AE194" s="43"/>
      <c r="AF194" s="43"/>
      <c r="AG194" s="43"/>
      <c r="AH194" s="43"/>
      <c r="AI194" s="43"/>
      <c r="AJ194" s="43"/>
      <c r="AK194" s="43">
        <v>11</v>
      </c>
    </row>
    <row r="195" ht="11.55" customHeight="1" spans="1:37">
      <c r="A195" s="980"/>
      <c r="B195" s="980"/>
      <c r="C195" s="980"/>
      <c r="D195" s="980"/>
      <c r="E195" s="980"/>
      <c r="F195" s="43"/>
      <c r="N195" s="43"/>
      <c r="P195" s="43"/>
      <c r="S195" s="43"/>
      <c r="T195" s="43"/>
      <c r="U195" s="43"/>
      <c r="V195" s="43"/>
      <c r="X195" s="43"/>
      <c r="Y195" s="43"/>
      <c r="Z195" s="43"/>
      <c r="AA195" s="43"/>
      <c r="AB195" s="43"/>
      <c r="AC195" s="43"/>
      <c r="AD195" s="43"/>
      <c r="AE195" s="43"/>
      <c r="AF195" s="43"/>
      <c r="AG195" s="43"/>
      <c r="AH195" s="43"/>
      <c r="AI195" s="43"/>
      <c r="AJ195" s="43"/>
      <c r="AK195" s="43">
        <v>11</v>
      </c>
    </row>
    <row r="196" ht="11.55" customHeight="1" spans="1:37">
      <c r="A196" s="980"/>
      <c r="B196" s="980"/>
      <c r="C196" s="980"/>
      <c r="D196" s="980"/>
      <c r="E196" s="980"/>
      <c r="F196" s="43"/>
      <c r="N196" s="43"/>
      <c r="P196" s="43"/>
      <c r="S196" s="43"/>
      <c r="T196" s="43"/>
      <c r="U196" s="43"/>
      <c r="V196" s="43"/>
      <c r="X196" s="43"/>
      <c r="Y196" s="43"/>
      <c r="Z196" s="43"/>
      <c r="AA196" s="43"/>
      <c r="AB196" s="43"/>
      <c r="AC196" s="43"/>
      <c r="AD196" s="43"/>
      <c r="AE196" s="43"/>
      <c r="AF196" s="43"/>
      <c r="AG196" s="43"/>
      <c r="AH196" s="43"/>
      <c r="AI196" s="43"/>
      <c r="AJ196" s="43"/>
      <c r="AK196" s="43">
        <v>11</v>
      </c>
    </row>
    <row r="197" ht="11.55" customHeight="1" spans="1:37">
      <c r="A197" s="980"/>
      <c r="B197" s="980"/>
      <c r="C197" s="980"/>
      <c r="D197" s="980"/>
      <c r="E197" s="980"/>
      <c r="F197" s="43"/>
      <c r="N197" s="43"/>
      <c r="P197" s="43"/>
      <c r="S197" s="43"/>
      <c r="T197" s="43"/>
      <c r="U197" s="43"/>
      <c r="V197" s="43"/>
      <c r="X197" s="43"/>
      <c r="Y197" s="43"/>
      <c r="Z197" s="43"/>
      <c r="AA197" s="43"/>
      <c r="AB197" s="43"/>
      <c r="AC197" s="43"/>
      <c r="AD197" s="43"/>
      <c r="AE197" s="43"/>
      <c r="AF197" s="43"/>
      <c r="AG197" s="43"/>
      <c r="AH197" s="43"/>
      <c r="AI197" s="43"/>
      <c r="AJ197" s="43"/>
      <c r="AK197" s="43">
        <v>11</v>
      </c>
    </row>
    <row r="198" ht="11.55" customHeight="1" spans="1:37">
      <c r="A198" s="980"/>
      <c r="B198" s="980"/>
      <c r="C198" s="980"/>
      <c r="D198" s="980"/>
      <c r="E198" s="980"/>
      <c r="F198" s="43"/>
      <c r="N198" s="43"/>
      <c r="P198" s="43"/>
      <c r="S198" s="43"/>
      <c r="T198" s="43"/>
      <c r="U198" s="43"/>
      <c r="V198" s="43"/>
      <c r="X198" s="43"/>
      <c r="Y198" s="43"/>
      <c r="Z198" s="43"/>
      <c r="AA198" s="43"/>
      <c r="AB198" s="43"/>
      <c r="AC198" s="43"/>
      <c r="AD198" s="43"/>
      <c r="AE198" s="43"/>
      <c r="AF198" s="43"/>
      <c r="AG198" s="43"/>
      <c r="AH198" s="43"/>
      <c r="AI198" s="43"/>
      <c r="AJ198" s="43"/>
      <c r="AK198" s="43">
        <v>11</v>
      </c>
    </row>
    <row r="199" ht="11.55" customHeight="1" spans="1:37">
      <c r="A199" s="980"/>
      <c r="B199" s="980"/>
      <c r="C199" s="980"/>
      <c r="D199" s="980"/>
      <c r="E199" s="980"/>
      <c r="F199" s="43"/>
      <c r="N199" s="43"/>
      <c r="P199" s="43"/>
      <c r="S199" s="43"/>
      <c r="T199" s="43"/>
      <c r="U199" s="43"/>
      <c r="V199" s="43"/>
      <c r="X199" s="43"/>
      <c r="Y199" s="43"/>
      <c r="Z199" s="43"/>
      <c r="AA199" s="43"/>
      <c r="AB199" s="43"/>
      <c r="AC199" s="43"/>
      <c r="AD199" s="43"/>
      <c r="AE199" s="43"/>
      <c r="AF199" s="43"/>
      <c r="AG199" s="43"/>
      <c r="AH199" s="43"/>
      <c r="AI199" s="43"/>
      <c r="AJ199" s="43"/>
      <c r="AK199" s="43">
        <v>11</v>
      </c>
    </row>
    <row r="200" ht="11.55" customHeight="1" spans="1:37">
      <c r="A200" s="980"/>
      <c r="B200" s="980"/>
      <c r="C200" s="980"/>
      <c r="D200" s="980"/>
      <c r="E200" s="980"/>
      <c r="F200" s="43"/>
      <c r="N200" s="43"/>
      <c r="P200" s="43"/>
      <c r="S200" s="43"/>
      <c r="T200" s="43"/>
      <c r="U200" s="43"/>
      <c r="V200" s="43"/>
      <c r="X200" s="43"/>
      <c r="Y200" s="43"/>
      <c r="Z200" s="43"/>
      <c r="AA200" s="43"/>
      <c r="AB200" s="43"/>
      <c r="AC200" s="43"/>
      <c r="AD200" s="43"/>
      <c r="AE200" s="43"/>
      <c r="AF200" s="43"/>
      <c r="AG200" s="43"/>
      <c r="AH200" s="43"/>
      <c r="AI200" s="43"/>
      <c r="AJ200" s="43"/>
      <c r="AK200" s="43">
        <v>11</v>
      </c>
    </row>
    <row r="201" ht="11.55" customHeight="1" spans="1:37">
      <c r="A201" s="980"/>
      <c r="B201" s="980"/>
      <c r="C201" s="980"/>
      <c r="D201" s="980"/>
      <c r="E201" s="980"/>
      <c r="F201" s="43"/>
      <c r="N201" s="43"/>
      <c r="P201" s="43"/>
      <c r="S201" s="43"/>
      <c r="T201" s="43"/>
      <c r="U201" s="43"/>
      <c r="V201" s="43"/>
      <c r="X201" s="43"/>
      <c r="Y201" s="43"/>
      <c r="Z201" s="43"/>
      <c r="AA201" s="43"/>
      <c r="AB201" s="43"/>
      <c r="AC201" s="43"/>
      <c r="AD201" s="43"/>
      <c r="AE201" s="43"/>
      <c r="AF201" s="43"/>
      <c r="AG201" s="43"/>
      <c r="AH201" s="43"/>
      <c r="AI201" s="43"/>
      <c r="AJ201" s="43"/>
      <c r="AK201" s="43">
        <v>11</v>
      </c>
    </row>
    <row r="202" ht="11.55" customHeight="1" spans="1:37">
      <c r="A202" s="980"/>
      <c r="B202" s="980"/>
      <c r="C202" s="980"/>
      <c r="D202" s="980"/>
      <c r="E202" s="980"/>
      <c r="F202" s="43"/>
      <c r="N202" s="43"/>
      <c r="P202" s="43"/>
      <c r="S202" s="43"/>
      <c r="T202" s="43"/>
      <c r="U202" s="43"/>
      <c r="V202" s="43"/>
      <c r="X202" s="43"/>
      <c r="Y202" s="43"/>
      <c r="Z202" s="43"/>
      <c r="AA202" s="43"/>
      <c r="AB202" s="43"/>
      <c r="AC202" s="43"/>
      <c r="AD202" s="43"/>
      <c r="AE202" s="43"/>
      <c r="AF202" s="43"/>
      <c r="AG202" s="43"/>
      <c r="AH202" s="43"/>
      <c r="AI202" s="43"/>
      <c r="AJ202" s="43"/>
      <c r="AK202" s="43">
        <v>11</v>
      </c>
    </row>
    <row r="203" ht="11.55" customHeight="1" spans="1:37">
      <c r="A203" s="980"/>
      <c r="B203" s="980"/>
      <c r="C203" s="980"/>
      <c r="D203" s="980"/>
      <c r="E203" s="980"/>
      <c r="F203" s="43"/>
      <c r="N203" s="43"/>
      <c r="P203" s="43"/>
      <c r="S203" s="43"/>
      <c r="T203" s="43"/>
      <c r="U203" s="43"/>
      <c r="V203" s="43"/>
      <c r="X203" s="43"/>
      <c r="Y203" s="43"/>
      <c r="Z203" s="43"/>
      <c r="AA203" s="43"/>
      <c r="AB203" s="43"/>
      <c r="AC203" s="43"/>
      <c r="AD203" s="43"/>
      <c r="AE203" s="43"/>
      <c r="AF203" s="43"/>
      <c r="AG203" s="43"/>
      <c r="AH203" s="43"/>
      <c r="AI203" s="43"/>
      <c r="AJ203" s="43"/>
      <c r="AK203" s="43">
        <v>11</v>
      </c>
    </row>
    <row r="204" ht="12.75" hidden="1" customHeight="1" spans="1:37">
      <c r="A204" s="957" t="s">
        <v>83</v>
      </c>
      <c r="B204" s="957" t="s">
        <v>147</v>
      </c>
      <c r="C204" s="957" t="s">
        <v>147</v>
      </c>
      <c r="D204" s="957" t="s">
        <v>147</v>
      </c>
      <c r="E204" s="957" t="s">
        <v>147</v>
      </c>
      <c r="F204" s="43">
        <v>16</v>
      </c>
      <c r="G204" s="44">
        <v>0</v>
      </c>
      <c r="H204" s="43">
        <v>3</v>
      </c>
      <c r="I204" s="43">
        <v>7</v>
      </c>
      <c r="J204" s="43">
        <v>56</v>
      </c>
      <c r="K204" s="43">
        <v>10</v>
      </c>
      <c r="L204" s="43">
        <v>40</v>
      </c>
      <c r="M204" s="43">
        <v>40</v>
      </c>
      <c r="N204" s="38">
        <v>9</v>
      </c>
      <c r="O204" s="43">
        <v>102</v>
      </c>
      <c r="P204" s="38">
        <v>9</v>
      </c>
      <c r="Q204" s="44">
        <v>5</v>
      </c>
      <c r="R204" s="44">
        <v>3</v>
      </c>
      <c r="S204" s="38">
        <v>3</v>
      </c>
      <c r="T204" s="38">
        <v>3</v>
      </c>
      <c r="U204" s="38">
        <v>3</v>
      </c>
      <c r="V204" s="38">
        <v>3</v>
      </c>
      <c r="W204" s="44">
        <v>10</v>
      </c>
      <c r="X204" s="38">
        <v>34</v>
      </c>
      <c r="Y204" s="38">
        <v>9</v>
      </c>
      <c r="Z204" s="958">
        <v>8</v>
      </c>
      <c r="AA204" s="38">
        <v>8</v>
      </c>
      <c r="AB204" s="38">
        <v>8</v>
      </c>
      <c r="AC204" s="38">
        <v>8</v>
      </c>
      <c r="AD204" s="38">
        <v>8</v>
      </c>
      <c r="AE204" s="38">
        <v>8</v>
      </c>
      <c r="AF204" s="575">
        <v>8</v>
      </c>
      <c r="AG204" s="575">
        <v>8</v>
      </c>
      <c r="AH204" s="575">
        <v>8</v>
      </c>
      <c r="AI204" s="575">
        <v>8</v>
      </c>
      <c r="AJ204" s="575">
        <v>8</v>
      </c>
      <c r="AK204" s="43">
        <v>11</v>
      </c>
    </row>
  </sheetData>
  <sheetProtection insertRows="0" deleteColumns="0" deleteRows="0" sort="0" autoFilter="0"/>
  <mergeCells count="7">
    <mergeCell ref="I6:M6"/>
    <mergeCell ref="I7:M7"/>
    <mergeCell ref="J10:K10"/>
    <mergeCell ref="J11:K11"/>
    <mergeCell ref="J12:K12"/>
    <mergeCell ref="I13:K13"/>
    <mergeCell ref="O10:O14"/>
  </mergeCells>
  <dataValidations count="4">
    <dataValidation type="decimal" operator="between" allowBlank="1" showErrorMessage="1" errorTitle="Ошибка" error="Допускается ввод только неотрицательных чисел!" sqref="L2:M2 L16:M16 L19:M29 L32:M33">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operator="between" allowBlank="1" showErrorMessage="1" errorTitle="Ошибка" error="Допускается ввод только неотрицательных целых чисел!" sqref="L30:M31">
      <formula1>0</formula1>
      <formula2>9.99999999999999E+23</formula2>
    </dataValidation>
  </dataValidations>
  <pageMargins left="0.7" right="0.7" top="0.75" bottom="0.75" header="0.3" footer="0.3"/>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W16"/>
  <sheetViews>
    <sheetView showGridLines="0" zoomScale="90" zoomScaleNormal="90" workbookViewId="0">
      <pane xSplit="11" ySplit="9" topLeftCell="L10" activePane="bottomRight" state="frozen"/>
      <selection/>
      <selection pane="topRight"/>
      <selection pane="bottomLeft"/>
      <selection pane="bottomRight" activeCell="A1" sqref="A1"/>
    </sheetView>
  </sheetViews>
  <sheetFormatPr defaultColWidth="10.5714285714286" defaultRowHeight="14.25" customHeight="1"/>
  <cols>
    <col min="1" max="4" width="10.5714285714286" style="43" hidden="1"/>
    <col min="5" max="5" width="9.14285714285714" style="40" hidden="1" customWidth="1"/>
    <col min="6" max="7" width="9.14285714285714" style="38" hidden="1" customWidth="1"/>
    <col min="8" max="8" width="3" style="41" customWidth="1"/>
    <col min="9" max="9" width="6" style="43" customWidth="1"/>
    <col min="10" max="10" width="63" style="43" customWidth="1"/>
    <col min="11" max="11" width="9" style="43" customWidth="1"/>
    <col min="12" max="12" width="39" style="43" customWidth="1"/>
    <col min="13" max="13" width="89" style="43" customWidth="1"/>
    <col min="14" max="14" width="10" style="43" customWidth="1"/>
    <col min="15" max="16" width="10" style="151" customWidth="1"/>
    <col min="17" max="22" width="10" style="43" customWidth="1"/>
    <col min="23" max="23" width="10.5714285714286" style="43" hidden="1"/>
  </cols>
  <sheetData>
    <row r="1" ht="22.5" hidden="1" customHeight="1" spans="19:23">
      <c r="S1" s="787"/>
      <c r="T1" s="787"/>
      <c r="V1" s="787"/>
      <c r="W1" s="43" t="s">
        <v>14</v>
      </c>
    </row>
    <row r="2" ht="22.5" hidden="1" customHeight="1" spans="2:23">
      <c r="B2" s="987" t="s">
        <v>681</v>
      </c>
      <c r="C2" s="987" t="s">
        <v>682</v>
      </c>
      <c r="D2" s="988" t="s">
        <v>621</v>
      </c>
      <c r="E2" s="989">
        <f>I2-3</f>
        <v>-3</v>
      </c>
      <c r="F2" s="989">
        <f>J2</f>
        <v>0</v>
      </c>
      <c r="H2" s="653" t="s">
        <v>683</v>
      </c>
      <c r="I2" s="295"/>
      <c r="J2" s="243"/>
      <c r="K2" s="128" t="s">
        <v>302</v>
      </c>
      <c r="L2" s="578"/>
      <c r="M2" s="813"/>
      <c r="N2" s="151"/>
      <c r="P2" s="43"/>
      <c r="W2" s="43">
        <v>0</v>
      </c>
    </row>
    <row r="3" hidden="1" customHeight="1" spans="23:23">
      <c r="W3" s="43">
        <v>0</v>
      </c>
    </row>
    <row r="4" ht="6.3" customHeight="1" spans="8:23">
      <c r="H4" s="51"/>
      <c r="I4" s="53"/>
      <c r="J4" s="53"/>
      <c r="K4" s="53"/>
      <c r="L4" s="771"/>
      <c r="M4" s="771"/>
      <c r="W4" s="43">
        <v>6</v>
      </c>
    </row>
    <row r="5" ht="50.25" customHeight="1" spans="8:23">
      <c r="H5" s="51"/>
      <c r="I5" s="755" t="s">
        <v>684</v>
      </c>
      <c r="J5" s="755"/>
      <c r="K5" s="755"/>
      <c r="L5" s="755"/>
      <c r="M5" s="581"/>
      <c r="W5" s="43">
        <v>48</v>
      </c>
    </row>
    <row r="6" ht="18" customHeight="1" spans="8:23">
      <c r="H6" s="51"/>
      <c r="I6" s="660" t="str">
        <f>IF(org=0,"Не определено",org)</f>
        <v>АО "Теплокоммунэнерго"</v>
      </c>
      <c r="J6" s="660"/>
      <c r="K6" s="660"/>
      <c r="L6" s="660"/>
      <c r="M6" s="581"/>
      <c r="W6" s="43">
        <v>17</v>
      </c>
    </row>
    <row r="7" ht="14.7" customHeight="1" spans="8:23">
      <c r="H7" s="51"/>
      <c r="I7" s="53"/>
      <c r="J7" s="662"/>
      <c r="K7" s="662"/>
      <c r="L7" s="577"/>
      <c r="M7" s="777"/>
      <c r="W7" s="43">
        <v>14</v>
      </c>
    </row>
    <row r="8" ht="14.7" customHeight="1" spans="8:23">
      <c r="H8" s="51"/>
      <c r="I8" s="257" t="s">
        <v>296</v>
      </c>
      <c r="J8" s="807"/>
      <c r="K8" s="807"/>
      <c r="L8" s="854"/>
      <c r="M8" s="212" t="s">
        <v>297</v>
      </c>
      <c r="W8" s="43">
        <v>14</v>
      </c>
    </row>
    <row r="9" ht="35.7" customHeight="1" spans="5:23">
      <c r="E9" s="990" t="s">
        <v>612</v>
      </c>
      <c r="F9" s="990" t="s">
        <v>618</v>
      </c>
      <c r="H9" s="51"/>
      <c r="I9" s="66" t="s">
        <v>89</v>
      </c>
      <c r="J9" s="131" t="s">
        <v>298</v>
      </c>
      <c r="K9" s="132" t="s">
        <v>560</v>
      </c>
      <c r="L9" s="131" t="s">
        <v>299</v>
      </c>
      <c r="M9" s="212"/>
      <c r="W9" s="43">
        <v>34</v>
      </c>
    </row>
    <row r="10" ht="35.7" customHeight="1" spans="2:23">
      <c r="B10" s="987" t="s">
        <v>685</v>
      </c>
      <c r="C10" s="987" t="s">
        <v>686</v>
      </c>
      <c r="D10" s="988" t="s">
        <v>621</v>
      </c>
      <c r="E10" s="989" t="s">
        <v>622</v>
      </c>
      <c r="F10" s="989" t="s">
        <v>622</v>
      </c>
      <c r="H10" s="51"/>
      <c r="I10" s="295" t="s">
        <v>107</v>
      </c>
      <c r="J10" s="778" t="s">
        <v>687</v>
      </c>
      <c r="K10" s="128" t="s">
        <v>302</v>
      </c>
      <c r="L10" s="628"/>
      <c r="M10" s="813" t="s">
        <v>688</v>
      </c>
      <c r="W10" s="43">
        <v>34</v>
      </c>
    </row>
    <row r="11" ht="50.25" customHeight="1" spans="2:23">
      <c r="B11" s="987" t="s">
        <v>689</v>
      </c>
      <c r="C11" s="987" t="s">
        <v>690</v>
      </c>
      <c r="D11" s="988" t="s">
        <v>621</v>
      </c>
      <c r="E11" s="989" t="s">
        <v>622</v>
      </c>
      <c r="F11" s="989" t="s">
        <v>622</v>
      </c>
      <c r="H11" s="51"/>
      <c r="I11" s="295" t="s">
        <v>108</v>
      </c>
      <c r="J11" s="778" t="s">
        <v>691</v>
      </c>
      <c r="K11" s="128" t="s">
        <v>302</v>
      </c>
      <c r="L11" s="628"/>
      <c r="M11" s="813" t="s">
        <v>688</v>
      </c>
      <c r="W11" s="43">
        <v>48</v>
      </c>
    </row>
    <row r="12" ht="48.3" customHeight="1" spans="2:23">
      <c r="B12" s="987" t="s">
        <v>692</v>
      </c>
      <c r="C12" s="987" t="s">
        <v>693</v>
      </c>
      <c r="D12" s="988" t="s">
        <v>621</v>
      </c>
      <c r="E12" s="989" t="s">
        <v>622</v>
      </c>
      <c r="F12" s="989" t="s">
        <v>622</v>
      </c>
      <c r="H12" s="211"/>
      <c r="I12" s="295" t="s">
        <v>91</v>
      </c>
      <c r="J12" s="467" t="s">
        <v>694</v>
      </c>
      <c r="K12" s="128" t="s">
        <v>302</v>
      </c>
      <c r="L12" s="628"/>
      <c r="M12" s="813" t="s">
        <v>695</v>
      </c>
      <c r="N12" s="151"/>
      <c r="P12" s="43"/>
      <c r="W12" s="43">
        <v>46</v>
      </c>
    </row>
    <row r="13" ht="14.7" customHeight="1" spans="5:23">
      <c r="E13" s="81"/>
      <c r="H13" s="51"/>
      <c r="I13" s="401"/>
      <c r="J13" s="332" t="s">
        <v>696</v>
      </c>
      <c r="K13" s="780"/>
      <c r="L13" s="580"/>
      <c r="M13" s="813"/>
      <c r="W13" s="43">
        <v>14</v>
      </c>
    </row>
    <row r="14" ht="14.7" customHeight="1" spans="5:23">
      <c r="E14" s="81"/>
      <c r="H14" s="51"/>
      <c r="I14" s="781"/>
      <c r="J14" s="782"/>
      <c r="K14" s="783"/>
      <c r="L14" s="784"/>
      <c r="M14" s="120"/>
      <c r="W14" s="43">
        <v>14</v>
      </c>
    </row>
    <row r="15" ht="14.7" customHeight="1" spans="9:23">
      <c r="I15" s="786"/>
      <c r="J15" s="120"/>
      <c r="K15" s="120"/>
      <c r="L15" s="120"/>
      <c r="M15" s="120"/>
      <c r="W15" s="43">
        <v>14</v>
      </c>
    </row>
    <row r="16" ht="21" hidden="1" customHeight="1" spans="1:23">
      <c r="A16" s="40" t="s">
        <v>83</v>
      </c>
      <c r="B16" s="43">
        <v>9</v>
      </c>
      <c r="C16" s="43">
        <v>9</v>
      </c>
      <c r="D16" s="43">
        <v>9</v>
      </c>
      <c r="E16" s="40" t="s">
        <v>146</v>
      </c>
      <c r="F16" s="40" t="s">
        <v>146</v>
      </c>
      <c r="G16" s="40"/>
      <c r="H16" s="41">
        <v>3</v>
      </c>
      <c r="I16" s="43">
        <v>6</v>
      </c>
      <c r="J16" s="43">
        <v>63</v>
      </c>
      <c r="K16" s="43">
        <v>9</v>
      </c>
      <c r="L16" s="43">
        <v>39</v>
      </c>
      <c r="M16" s="43">
        <v>89</v>
      </c>
      <c r="N16" s="43">
        <v>10</v>
      </c>
      <c r="O16" s="151">
        <v>10</v>
      </c>
      <c r="P16" s="151">
        <v>10</v>
      </c>
      <c r="Q16" s="43">
        <v>10</v>
      </c>
      <c r="R16" s="43">
        <v>10</v>
      </c>
      <c r="S16" s="43">
        <v>10</v>
      </c>
      <c r="T16" s="43">
        <v>10</v>
      </c>
      <c r="U16" s="43">
        <v>10</v>
      </c>
      <c r="V16" s="43">
        <v>10</v>
      </c>
      <c r="W16" s="43">
        <v>23</v>
      </c>
    </row>
  </sheetData>
  <sheetProtection formatColumns="0" formatRows="0" insertRows="0" deleteColumns="0" deleteRows="0" sort="0" autoFilter="0"/>
  <mergeCells count="5">
    <mergeCell ref="I5:L5"/>
    <mergeCell ref="I6:L6"/>
    <mergeCell ref="I8:L8"/>
    <mergeCell ref="J15:M15"/>
    <mergeCell ref="M8:M9"/>
  </mergeCells>
  <dataValidations count="2">
    <dataValidation type="textLength" operator="lessThanOrEqual" allowBlank="1" showInputMessage="1" showErrorMessage="1" errorTitle="Ошибка" error="Допускается ввод не более 900 символов!" sqref="J2 M1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paperSize="1"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F219"/>
  <sheetViews>
    <sheetView showGridLines="0" zoomScale="90" zoomScaleNormal="90" workbookViewId="0">
      <pane xSplit="8" ySplit="14" topLeftCell="I15" activePane="bottomRight" state="frozen"/>
      <selection/>
      <selection pane="topRight"/>
      <selection pane="bottomLeft"/>
      <selection pane="bottomRight" activeCell="A1" sqref="A1"/>
    </sheetView>
  </sheetViews>
  <sheetFormatPr defaultColWidth="9.14285714285714" defaultRowHeight="11.25" customHeight="1"/>
  <cols>
    <col min="1" max="1" width="10.7142857142857" style="957" hidden="1" customWidth="1"/>
    <col min="2" max="2" width="16.847619047619" style="38" hidden="1" customWidth="1"/>
    <col min="3" max="3" width="5.57142857142857" style="44" hidden="1" customWidth="1"/>
    <col min="4" max="4" width="3" style="43" customWidth="1"/>
    <col min="5" max="5" width="7" style="43" customWidth="1"/>
    <col min="6" max="6" width="56" style="43" customWidth="1"/>
    <col min="7" max="7" width="10" style="43" customWidth="1"/>
    <col min="8" max="8" width="40.7142857142857" style="43" hidden="1" customWidth="1"/>
    <col min="9" max="9" width="40" style="43" customWidth="1"/>
    <col min="10" max="10" width="102" style="43" customWidth="1"/>
    <col min="11" max="11" width="9" style="38" customWidth="1"/>
    <col min="12" max="12" width="5" style="44" customWidth="1"/>
    <col min="13" max="13" width="3" style="44" customWidth="1"/>
    <col min="14" max="17" width="3" style="38" customWidth="1"/>
    <col min="18" max="18" width="10" style="44" customWidth="1"/>
    <col min="19" max="19" width="34" style="38" customWidth="1"/>
    <col min="20" max="20" width="9" style="38" customWidth="1"/>
    <col min="21" max="21" width="8" style="958" customWidth="1"/>
    <col min="22" max="26" width="8" style="38" customWidth="1"/>
    <col min="27" max="31" width="8" style="575" customWidth="1"/>
    <col min="32" max="32" width="10.4190476190476" style="43" hidden="1" customWidth="1"/>
  </cols>
  <sheetData>
    <row r="1" s="38" customFormat="1" ht="22.5" hidden="1" customHeight="1" spans="1:32">
      <c r="A1" s="957"/>
      <c r="C1" s="44"/>
      <c r="H1" s="38">
        <v>4</v>
      </c>
      <c r="I1" s="38">
        <v>4</v>
      </c>
      <c r="L1" s="44"/>
      <c r="M1" s="44"/>
      <c r="R1" s="44"/>
      <c r="AF1" s="38" t="s">
        <v>14</v>
      </c>
    </row>
    <row r="2" s="38" customFormat="1" ht="22.5" hidden="1" customHeight="1" spans="1:32">
      <c r="A2" s="957"/>
      <c r="C2" s="44"/>
      <c r="D2" s="834"/>
      <c r="E2" s="64"/>
      <c r="F2" s="219"/>
      <c r="G2" s="64" t="s">
        <v>546</v>
      </c>
      <c r="H2" s="102"/>
      <c r="I2" s="102"/>
      <c r="J2" s="977" t="s">
        <v>697</v>
      </c>
      <c r="K2" s="978"/>
      <c r="L2" s="44"/>
      <c r="M2" s="44"/>
      <c r="R2" s="44"/>
      <c r="U2" s="958"/>
      <c r="AA2" s="575"/>
      <c r="AB2" s="575"/>
      <c r="AC2" s="575"/>
      <c r="AD2" s="575"/>
      <c r="AE2" s="575"/>
      <c r="AF2" s="38">
        <v>0</v>
      </c>
    </row>
    <row r="3" hidden="1" customHeight="1" spans="32:32">
      <c r="AF3" s="43">
        <v>0</v>
      </c>
    </row>
    <row r="4" s="575" customFormat="1" hidden="1" customHeight="1" spans="1:32">
      <c r="A4" s="957"/>
      <c r="B4" s="38"/>
      <c r="C4" s="44"/>
      <c r="J4" s="575">
        <v>4</v>
      </c>
      <c r="K4" s="38"/>
      <c r="L4" s="44"/>
      <c r="M4" s="44"/>
      <c r="N4" s="38"/>
      <c r="O4" s="38"/>
      <c r="P4" s="38"/>
      <c r="Q4" s="38"/>
      <c r="R4" s="44"/>
      <c r="S4" s="38"/>
      <c r="T4" s="38"/>
      <c r="U4" s="958"/>
      <c r="V4" s="38"/>
      <c r="W4" s="38"/>
      <c r="X4" s="38"/>
      <c r="Y4" s="38"/>
      <c r="Z4" s="38"/>
      <c r="AF4" s="575">
        <v>0</v>
      </c>
    </row>
    <row r="5" ht="11.55" customHeight="1" spans="32:32">
      <c r="AF5" s="43">
        <v>11</v>
      </c>
    </row>
    <row r="6" ht="31.5" customHeight="1" spans="5:32">
      <c r="E6" s="981" t="s">
        <v>698</v>
      </c>
      <c r="F6" s="981"/>
      <c r="G6" s="981"/>
      <c r="H6" s="981"/>
      <c r="I6" s="981"/>
      <c r="J6" s="121"/>
      <c r="AF6" s="43">
        <v>30</v>
      </c>
    </row>
    <row r="7" ht="11.55" customHeight="1" spans="5:32">
      <c r="E7" s="660" t="str">
        <f>IF(org=0,"Не определено",org)</f>
        <v>АО "Теплокоммунэнерго"</v>
      </c>
      <c r="F7" s="660"/>
      <c r="G7" s="660"/>
      <c r="H7" s="660"/>
      <c r="I7" s="660"/>
      <c r="AF7" s="43">
        <v>11</v>
      </c>
    </row>
    <row r="8" ht="11.55" customHeight="1" spans="5:32">
      <c r="E8" s="899"/>
      <c r="F8" s="899"/>
      <c r="G8" s="899"/>
      <c r="H8" s="899"/>
      <c r="I8" s="899"/>
      <c r="AF8" s="43">
        <v>11</v>
      </c>
    </row>
    <row r="9" s="44" customFormat="1" ht="4.2" customHeight="1" spans="1:32">
      <c r="A9" s="307"/>
      <c r="H9" s="959"/>
      <c r="I9" s="959" t="s">
        <v>115</v>
      </c>
      <c r="AF9" s="44">
        <v>4</v>
      </c>
    </row>
    <row r="10" ht="11.55" customHeight="1" spans="5:32">
      <c r="E10" s="756"/>
      <c r="F10" s="757" t="s">
        <v>103</v>
      </c>
      <c r="G10" s="758"/>
      <c r="H10" s="924" t="str">
        <f>IF(H9="","",INDEX(DIFFERENTIATION_UNMERGE_VD,MATCH(H9,DIFFERENTIATION_ID_DIFF,0)))</f>
        <v/>
      </c>
      <c r="I10" s="924">
        <f>IF(I9="","",INDEX(DIFFERENTIATION_UNMERGE_VD,MATCH(I9,DIFFERENTIATION_ID_DIFF,0)))</f>
        <v>0</v>
      </c>
      <c r="J10" s="64" t="s">
        <v>297</v>
      </c>
      <c r="AF10" s="43">
        <v>11</v>
      </c>
    </row>
    <row r="11" ht="11.55" customHeight="1" spans="5:32">
      <c r="E11" s="756"/>
      <c r="F11" s="757" t="s">
        <v>558</v>
      </c>
      <c r="G11" s="758"/>
      <c r="H11" s="924" t="str">
        <f>IF(H9="","",INDEX(DIFFERENTIATION_UNMERGE_AREA,MATCH(H9,DIFFERENTIATION_ID_DIFF,0)))</f>
        <v/>
      </c>
      <c r="I11" s="924" t="str">
        <f>IF(I9="","",INDEX(DIFFERENTIATION_UNMERGE_AREA,MATCH(I9,DIFFERENTIATION_ID_DIFF,0)))</f>
        <v/>
      </c>
      <c r="J11" s="64"/>
      <c r="AF11" s="43">
        <v>11</v>
      </c>
    </row>
    <row r="12" ht="1.05" customHeight="1" spans="5:32">
      <c r="E12" s="960"/>
      <c r="F12" s="961" t="s">
        <v>559</v>
      </c>
      <c r="G12" s="962"/>
      <c r="H12" s="963" t="str">
        <f>IF(H9="","",INDEX(DIFFERENTIATION_UNMERGE_SYSTEM,MATCH(H9,DIFFERENTIATION_ID_DIFF,0)))</f>
        <v/>
      </c>
      <c r="I12" s="963" t="str">
        <f>IF(I9="","",INDEX(DIFFERENTIATION_UNMERGE_SYSTEM,MATCH(I9,DIFFERENTIATION_ID_DIFF,0)))</f>
        <v>без дифференциации</v>
      </c>
      <c r="J12" s="64"/>
      <c r="AF12" s="43">
        <v>1</v>
      </c>
    </row>
    <row r="13" ht="11.55" customHeight="1" spans="5:32">
      <c r="E13" s="761" t="s">
        <v>296</v>
      </c>
      <c r="F13" s="762"/>
      <c r="G13" s="762"/>
      <c r="H13" s="757"/>
      <c r="I13" s="757"/>
      <c r="J13" s="64"/>
      <c r="AF13" s="43">
        <v>11</v>
      </c>
    </row>
    <row r="14" ht="24" customHeight="1" spans="5:32">
      <c r="E14" s="64" t="s">
        <v>89</v>
      </c>
      <c r="F14" s="64" t="s">
        <v>298</v>
      </c>
      <c r="G14" s="64" t="s">
        <v>560</v>
      </c>
      <c r="H14" s="64" t="s">
        <v>299</v>
      </c>
      <c r="I14" s="64" t="s">
        <v>299</v>
      </c>
      <c r="J14" s="64"/>
      <c r="AF14" s="43">
        <v>23</v>
      </c>
    </row>
    <row r="15" ht="19.95" customHeight="1" spans="4:32">
      <c r="D15" s="522"/>
      <c r="E15" s="964" t="s">
        <v>107</v>
      </c>
      <c r="F15" s="393" t="s">
        <v>699</v>
      </c>
      <c r="G15" s="64" t="s">
        <v>546</v>
      </c>
      <c r="H15" s="928"/>
      <c r="I15" s="928"/>
      <c r="J15" s="83" t="s">
        <v>700</v>
      </c>
      <c r="K15" s="978" t="s">
        <v>624</v>
      </c>
      <c r="AF15" s="43">
        <v>19</v>
      </c>
    </row>
    <row r="16" ht="35.7" customHeight="1" spans="4:32">
      <c r="D16" s="522"/>
      <c r="E16" s="964" t="s">
        <v>108</v>
      </c>
      <c r="F16" s="393" t="s">
        <v>701</v>
      </c>
      <c r="G16" s="64" t="s">
        <v>546</v>
      </c>
      <c r="H16" s="391">
        <f>SUM(H17,H20,H23,H26,H29:H32,H35)</f>
        <v>0</v>
      </c>
      <c r="I16" s="391">
        <f>SUM(I17,I20,I23,I26,I29:I32,I35)</f>
        <v>0</v>
      </c>
      <c r="J16" s="83" t="s">
        <v>702</v>
      </c>
      <c r="K16" s="978" t="s">
        <v>624</v>
      </c>
      <c r="AF16" s="43">
        <v>34</v>
      </c>
    </row>
    <row r="17" ht="19.95" customHeight="1" spans="4:32">
      <c r="D17" s="522"/>
      <c r="E17" s="966" t="s">
        <v>703</v>
      </c>
      <c r="F17" s="669" t="s">
        <v>704</v>
      </c>
      <c r="G17" s="127" t="s">
        <v>546</v>
      </c>
      <c r="H17" s="928"/>
      <c r="I17" s="928"/>
      <c r="J17" s="83" t="s">
        <v>705</v>
      </c>
      <c r="K17" s="978"/>
      <c r="AF17" s="43">
        <v>19</v>
      </c>
    </row>
    <row r="18" ht="24" customHeight="1" spans="4:32">
      <c r="D18" s="522"/>
      <c r="E18" s="966" t="s">
        <v>706</v>
      </c>
      <c r="F18" s="929" t="s">
        <v>707</v>
      </c>
      <c r="G18" s="127" t="s">
        <v>546</v>
      </c>
      <c r="H18" s="928"/>
      <c r="I18" s="928"/>
      <c r="J18" s="83" t="s">
        <v>708</v>
      </c>
      <c r="K18" s="978"/>
      <c r="AF18" s="43">
        <v>23</v>
      </c>
    </row>
    <row r="19" ht="35.7" customHeight="1" spans="4:32">
      <c r="D19" s="522"/>
      <c r="E19" s="966" t="s">
        <v>709</v>
      </c>
      <c r="F19" s="929" t="s">
        <v>710</v>
      </c>
      <c r="G19" s="127" t="s">
        <v>546</v>
      </c>
      <c r="H19" s="928"/>
      <c r="I19" s="928"/>
      <c r="J19" s="83"/>
      <c r="K19" s="978"/>
      <c r="AF19" s="43">
        <v>34</v>
      </c>
    </row>
    <row r="20" ht="19.95" customHeight="1" spans="4:32">
      <c r="D20" s="522"/>
      <c r="E20" s="966" t="s">
        <v>303</v>
      </c>
      <c r="F20" s="669" t="s">
        <v>711</v>
      </c>
      <c r="G20" s="127" t="s">
        <v>546</v>
      </c>
      <c r="H20" s="928"/>
      <c r="I20" s="928"/>
      <c r="J20" s="83" t="s">
        <v>712</v>
      </c>
      <c r="K20" s="978"/>
      <c r="AF20" s="43">
        <v>19</v>
      </c>
    </row>
    <row r="21" ht="19.95" customHeight="1" spans="4:32">
      <c r="D21" s="522"/>
      <c r="E21" s="966" t="s">
        <v>713</v>
      </c>
      <c r="F21" s="929" t="s">
        <v>714</v>
      </c>
      <c r="G21" s="127" t="s">
        <v>546</v>
      </c>
      <c r="H21" s="928"/>
      <c r="I21" s="928"/>
      <c r="J21" s="83"/>
      <c r="K21" s="978"/>
      <c r="AF21" s="43">
        <v>19</v>
      </c>
    </row>
    <row r="22" ht="19.95" customHeight="1" spans="4:32">
      <c r="D22" s="522"/>
      <c r="E22" s="966" t="s">
        <v>715</v>
      </c>
      <c r="F22" s="929" t="s">
        <v>716</v>
      </c>
      <c r="G22" s="127" t="s">
        <v>546</v>
      </c>
      <c r="H22" s="928"/>
      <c r="I22" s="928"/>
      <c r="J22" s="83"/>
      <c r="K22" s="978"/>
      <c r="AF22" s="43">
        <v>19</v>
      </c>
    </row>
    <row r="23" ht="24" customHeight="1" spans="4:32">
      <c r="D23" s="522"/>
      <c r="E23" s="966" t="s">
        <v>306</v>
      </c>
      <c r="F23" s="669" t="s">
        <v>717</v>
      </c>
      <c r="G23" s="127" t="s">
        <v>546</v>
      </c>
      <c r="H23" s="928"/>
      <c r="I23" s="928"/>
      <c r="J23" s="83" t="s">
        <v>718</v>
      </c>
      <c r="K23" s="978"/>
      <c r="AF23" s="43">
        <v>23</v>
      </c>
    </row>
    <row r="24" ht="19.95" customHeight="1" spans="4:32">
      <c r="D24" s="522"/>
      <c r="E24" s="966" t="s">
        <v>719</v>
      </c>
      <c r="F24" s="929" t="s">
        <v>720</v>
      </c>
      <c r="G24" s="127" t="s">
        <v>546</v>
      </c>
      <c r="H24" s="928"/>
      <c r="I24" s="928"/>
      <c r="J24" s="83"/>
      <c r="K24" s="978"/>
      <c r="AF24" s="43">
        <v>19</v>
      </c>
    </row>
    <row r="25" ht="35.7" customHeight="1" spans="4:32">
      <c r="D25" s="522"/>
      <c r="E25" s="966" t="s">
        <v>721</v>
      </c>
      <c r="F25" s="929" t="s">
        <v>722</v>
      </c>
      <c r="G25" s="127" t="s">
        <v>546</v>
      </c>
      <c r="H25" s="928"/>
      <c r="I25" s="928"/>
      <c r="J25" s="83"/>
      <c r="K25" s="978"/>
      <c r="AF25" s="43">
        <v>34</v>
      </c>
    </row>
    <row r="26" ht="24" customHeight="1" spans="4:32">
      <c r="D26" s="522"/>
      <c r="E26" s="966" t="s">
        <v>723</v>
      </c>
      <c r="F26" s="669" t="s">
        <v>724</v>
      </c>
      <c r="G26" s="127" t="s">
        <v>546</v>
      </c>
      <c r="H26" s="928"/>
      <c r="I26" s="928"/>
      <c r="J26" s="83" t="s">
        <v>725</v>
      </c>
      <c r="K26" s="978"/>
      <c r="AF26" s="43">
        <v>23</v>
      </c>
    </row>
    <row r="27" ht="19.95" customHeight="1" spans="4:32">
      <c r="D27" s="522"/>
      <c r="E27" s="982" t="s">
        <v>726</v>
      </c>
      <c r="F27" s="929" t="s">
        <v>727</v>
      </c>
      <c r="G27" s="127" t="s">
        <v>546</v>
      </c>
      <c r="H27" s="983"/>
      <c r="I27" s="983"/>
      <c r="J27" s="83"/>
      <c r="K27" s="978"/>
      <c r="AF27" s="43">
        <v>19</v>
      </c>
    </row>
    <row r="28" ht="19.95" customHeight="1" spans="4:32">
      <c r="D28" s="522"/>
      <c r="E28" s="982" t="s">
        <v>728</v>
      </c>
      <c r="F28" s="929" t="s">
        <v>729</v>
      </c>
      <c r="G28" s="127" t="s">
        <v>546</v>
      </c>
      <c r="H28" s="983"/>
      <c r="I28" s="983"/>
      <c r="J28" s="83"/>
      <c r="K28" s="978"/>
      <c r="AF28" s="43">
        <v>19</v>
      </c>
    </row>
    <row r="29" ht="19.95" customHeight="1" spans="4:32">
      <c r="D29" s="522"/>
      <c r="E29" s="982" t="s">
        <v>730</v>
      </c>
      <c r="F29" s="669" t="s">
        <v>731</v>
      </c>
      <c r="G29" s="127" t="s">
        <v>546</v>
      </c>
      <c r="H29" s="983"/>
      <c r="I29" s="983"/>
      <c r="J29" s="83"/>
      <c r="K29" s="978"/>
      <c r="AF29" s="43">
        <v>19</v>
      </c>
    </row>
    <row r="30" ht="19.95" customHeight="1" spans="4:32">
      <c r="D30" s="522"/>
      <c r="E30" s="982" t="s">
        <v>732</v>
      </c>
      <c r="F30" s="669" t="s">
        <v>733</v>
      </c>
      <c r="G30" s="127" t="s">
        <v>546</v>
      </c>
      <c r="H30" s="983"/>
      <c r="I30" s="983"/>
      <c r="J30" s="83"/>
      <c r="K30" s="978"/>
      <c r="AF30" s="43">
        <v>19</v>
      </c>
    </row>
    <row r="31" ht="19.95" customHeight="1" spans="4:32">
      <c r="D31" s="522"/>
      <c r="E31" s="982" t="s">
        <v>734</v>
      </c>
      <c r="F31" s="669" t="s">
        <v>735</v>
      </c>
      <c r="G31" s="127" t="s">
        <v>546</v>
      </c>
      <c r="H31" s="983"/>
      <c r="I31" s="983"/>
      <c r="J31" s="83"/>
      <c r="K31" s="978"/>
      <c r="AF31" s="43">
        <v>19</v>
      </c>
    </row>
    <row r="32" s="38" customFormat="1" ht="35.7" customHeight="1" spans="1:32">
      <c r="A32" s="957"/>
      <c r="C32" s="44"/>
      <c r="D32" s="522"/>
      <c r="E32" s="982" t="s">
        <v>736</v>
      </c>
      <c r="F32" s="669" t="s">
        <v>737</v>
      </c>
      <c r="G32" s="71" t="s">
        <v>546</v>
      </c>
      <c r="H32" s="968">
        <f>SUM(H33:H34)</f>
        <v>0</v>
      </c>
      <c r="I32" s="968">
        <f>SUM(I33:I34)</f>
        <v>0</v>
      </c>
      <c r="J32" s="83" t="s">
        <v>738</v>
      </c>
      <c r="K32" s="978"/>
      <c r="L32" s="44"/>
      <c r="M32" s="44"/>
      <c r="R32" s="44"/>
      <c r="U32" s="958"/>
      <c r="AA32" s="575"/>
      <c r="AB32" s="575"/>
      <c r="AC32" s="575"/>
      <c r="AD32" s="575"/>
      <c r="AE32" s="575"/>
      <c r="AF32" s="38">
        <v>34</v>
      </c>
    </row>
    <row r="33" s="44" customFormat="1" ht="1.05" customHeight="1" spans="1:32">
      <c r="A33" s="307"/>
      <c r="D33" s="307"/>
      <c r="E33" s="675" t="str">
        <f>E32&amp;".0"</f>
        <v>2.8.0</v>
      </c>
      <c r="F33" s="969"/>
      <c r="G33" s="675"/>
      <c r="H33" s="970"/>
      <c r="I33" s="970"/>
      <c r="J33" s="979"/>
      <c r="AF33" s="44">
        <v>1</v>
      </c>
    </row>
    <row r="34" s="38" customFormat="1" ht="19.95" customHeight="1" spans="1:32">
      <c r="A34" s="957"/>
      <c r="C34" s="44"/>
      <c r="D34" s="217"/>
      <c r="E34" s="971"/>
      <c r="F34" s="972" t="s">
        <v>571</v>
      </c>
      <c r="G34" s="402"/>
      <c r="H34" s="921"/>
      <c r="I34" s="921"/>
      <c r="J34" s="67" t="s">
        <v>739</v>
      </c>
      <c r="K34" s="978"/>
      <c r="L34" s="44"/>
      <c r="M34" s="44"/>
      <c r="R34" s="44"/>
      <c r="U34" s="958"/>
      <c r="AA34" s="575"/>
      <c r="AB34" s="575"/>
      <c r="AC34" s="575"/>
      <c r="AD34" s="575"/>
      <c r="AE34" s="575"/>
      <c r="AF34" s="38">
        <v>19</v>
      </c>
    </row>
    <row r="35" ht="60" customHeight="1" spans="4:32">
      <c r="D35" s="522"/>
      <c r="E35" s="982" t="s">
        <v>740</v>
      </c>
      <c r="F35" s="669" t="s">
        <v>741</v>
      </c>
      <c r="G35" s="127" t="s">
        <v>546</v>
      </c>
      <c r="H35" s="983"/>
      <c r="I35" s="983"/>
      <c r="J35" s="83" t="s">
        <v>742</v>
      </c>
      <c r="K35" s="978"/>
      <c r="AF35" s="43">
        <v>57</v>
      </c>
    </row>
    <row r="36" ht="19.95" customHeight="1" spans="4:32">
      <c r="D36" s="522"/>
      <c r="E36" s="982" t="s">
        <v>743</v>
      </c>
      <c r="F36" s="889" t="s">
        <v>744</v>
      </c>
      <c r="G36" s="127" t="s">
        <v>546</v>
      </c>
      <c r="H36" s="984"/>
      <c r="I36" s="984"/>
      <c r="J36" s="886" t="s">
        <v>745</v>
      </c>
      <c r="K36" s="978"/>
      <c r="AF36" s="43">
        <v>19</v>
      </c>
    </row>
    <row r="37" ht="19.95" customHeight="1" spans="4:32">
      <c r="D37" s="522"/>
      <c r="E37" s="982" t="s">
        <v>746</v>
      </c>
      <c r="F37" s="889" t="s">
        <v>747</v>
      </c>
      <c r="G37" s="127" t="s">
        <v>546</v>
      </c>
      <c r="H37" s="984"/>
      <c r="I37" s="984"/>
      <c r="J37" s="886" t="s">
        <v>748</v>
      </c>
      <c r="K37" s="978"/>
      <c r="AF37" s="43">
        <v>19</v>
      </c>
    </row>
    <row r="38" s="38" customFormat="1" ht="24" customHeight="1" spans="1:32">
      <c r="A38" s="985" t="s">
        <v>572</v>
      </c>
      <c r="C38" s="44"/>
      <c r="D38" s="522"/>
      <c r="E38" s="966" t="s">
        <v>91</v>
      </c>
      <c r="F38" s="393" t="s">
        <v>749</v>
      </c>
      <c r="G38" s="127" t="s">
        <v>546</v>
      </c>
      <c r="H38" s="928"/>
      <c r="I38" s="928"/>
      <c r="J38" s="83" t="s">
        <v>750</v>
      </c>
      <c r="K38" s="978"/>
      <c r="L38" s="44"/>
      <c r="M38" s="44"/>
      <c r="R38" s="44"/>
      <c r="U38" s="958"/>
      <c r="AA38" s="575"/>
      <c r="AB38" s="575"/>
      <c r="AC38" s="575"/>
      <c r="AD38" s="575"/>
      <c r="AE38" s="575"/>
      <c r="AF38" s="38">
        <v>23</v>
      </c>
    </row>
    <row r="39" s="38" customFormat="1" ht="35.7" customHeight="1" spans="1:32">
      <c r="A39" s="985"/>
      <c r="C39" s="44"/>
      <c r="D39" s="522"/>
      <c r="E39" s="966" t="s">
        <v>320</v>
      </c>
      <c r="F39" s="669" t="s">
        <v>751</v>
      </c>
      <c r="G39" s="127"/>
      <c r="H39" s="928"/>
      <c r="I39" s="928"/>
      <c r="J39" s="83"/>
      <c r="K39" s="978"/>
      <c r="L39" s="44"/>
      <c r="M39" s="44"/>
      <c r="R39" s="44"/>
      <c r="U39" s="958"/>
      <c r="AA39" s="575"/>
      <c r="AB39" s="575"/>
      <c r="AC39" s="575"/>
      <c r="AD39" s="575"/>
      <c r="AE39" s="575"/>
      <c r="AF39" s="38">
        <v>34</v>
      </c>
    </row>
    <row r="40" s="38" customFormat="1" ht="19.95" customHeight="1" spans="1:32">
      <c r="A40" s="957"/>
      <c r="C40" s="44"/>
      <c r="D40" s="973"/>
      <c r="E40" s="966" t="s">
        <v>92</v>
      </c>
      <c r="F40" s="393" t="s">
        <v>752</v>
      </c>
      <c r="G40" s="127" t="s">
        <v>546</v>
      </c>
      <c r="H40" s="928"/>
      <c r="I40" s="928"/>
      <c r="J40" s="83" t="s">
        <v>753</v>
      </c>
      <c r="K40" s="978"/>
      <c r="L40" s="44"/>
      <c r="M40" s="44"/>
      <c r="R40" s="44"/>
      <c r="U40" s="958"/>
      <c r="AA40" s="575"/>
      <c r="AB40" s="575"/>
      <c r="AC40" s="575"/>
      <c r="AD40" s="575"/>
      <c r="AE40" s="575"/>
      <c r="AF40" s="38">
        <v>19</v>
      </c>
    </row>
    <row r="41" s="38" customFormat="1" ht="24" customHeight="1" spans="1:32">
      <c r="A41" s="957"/>
      <c r="C41" s="44"/>
      <c r="D41" s="973"/>
      <c r="E41" s="966" t="s">
        <v>754</v>
      </c>
      <c r="F41" s="669" t="s">
        <v>755</v>
      </c>
      <c r="G41" s="127" t="s">
        <v>546</v>
      </c>
      <c r="H41" s="928"/>
      <c r="I41" s="928"/>
      <c r="J41" s="83" t="s">
        <v>756</v>
      </c>
      <c r="K41" s="978"/>
      <c r="L41" s="44"/>
      <c r="M41" s="44"/>
      <c r="R41" s="44"/>
      <c r="U41" s="958"/>
      <c r="AA41" s="575"/>
      <c r="AB41" s="575"/>
      <c r="AC41" s="575"/>
      <c r="AD41" s="575"/>
      <c r="AE41" s="575"/>
      <c r="AF41" s="38">
        <v>23</v>
      </c>
    </row>
    <row r="42" s="38" customFormat="1" ht="24" customHeight="1" spans="1:32">
      <c r="A42" s="957"/>
      <c r="C42" s="44"/>
      <c r="D42" s="522"/>
      <c r="E42" s="966" t="s">
        <v>757</v>
      </c>
      <c r="F42" s="929" t="s">
        <v>758</v>
      </c>
      <c r="G42" s="127" t="s">
        <v>546</v>
      </c>
      <c r="H42" s="928"/>
      <c r="I42" s="928"/>
      <c r="J42" s="83" t="s">
        <v>759</v>
      </c>
      <c r="K42" s="978"/>
      <c r="L42" s="44"/>
      <c r="M42" s="44"/>
      <c r="R42" s="44"/>
      <c r="U42" s="958"/>
      <c r="AA42" s="575"/>
      <c r="AB42" s="575"/>
      <c r="AC42" s="575"/>
      <c r="AD42" s="575"/>
      <c r="AE42" s="575"/>
      <c r="AF42" s="38">
        <v>23</v>
      </c>
    </row>
    <row r="43" s="38" customFormat="1" ht="24" customHeight="1" spans="1:32">
      <c r="A43" s="957"/>
      <c r="C43" s="44"/>
      <c r="D43" s="522"/>
      <c r="E43" s="966" t="s">
        <v>760</v>
      </c>
      <c r="F43" s="929" t="s">
        <v>761</v>
      </c>
      <c r="G43" s="127" t="s">
        <v>546</v>
      </c>
      <c r="H43" s="928"/>
      <c r="I43" s="928"/>
      <c r="J43" s="83" t="s">
        <v>762</v>
      </c>
      <c r="K43" s="978"/>
      <c r="L43" s="44"/>
      <c r="M43" s="44"/>
      <c r="R43" s="44"/>
      <c r="U43" s="958"/>
      <c r="AA43" s="575"/>
      <c r="AB43" s="575"/>
      <c r="AC43" s="575"/>
      <c r="AD43" s="575"/>
      <c r="AE43" s="575"/>
      <c r="AF43" s="38">
        <v>23</v>
      </c>
    </row>
    <row r="44" s="38" customFormat="1" ht="24" customHeight="1" spans="1:32">
      <c r="A44" s="957"/>
      <c r="C44" s="44"/>
      <c r="D44" s="522"/>
      <c r="E44" s="966" t="s">
        <v>763</v>
      </c>
      <c r="F44" s="929" t="s">
        <v>764</v>
      </c>
      <c r="G44" s="127" t="s">
        <v>546</v>
      </c>
      <c r="H44" s="928"/>
      <c r="I44" s="928"/>
      <c r="J44" s="83" t="s">
        <v>765</v>
      </c>
      <c r="K44" s="978"/>
      <c r="L44" s="44"/>
      <c r="M44" s="44"/>
      <c r="R44" s="44"/>
      <c r="U44" s="958"/>
      <c r="AA44" s="575"/>
      <c r="AB44" s="575"/>
      <c r="AC44" s="575"/>
      <c r="AD44" s="575"/>
      <c r="AE44" s="575"/>
      <c r="AF44" s="38">
        <v>23</v>
      </c>
    </row>
    <row r="45" s="38" customFormat="1" ht="35.7" customHeight="1" spans="1:32">
      <c r="A45" s="957"/>
      <c r="C45" s="44" t="s">
        <v>574</v>
      </c>
      <c r="D45" s="522"/>
      <c r="E45" s="966" t="s">
        <v>109</v>
      </c>
      <c r="F45" s="393" t="s">
        <v>623</v>
      </c>
      <c r="G45" s="64" t="s">
        <v>766</v>
      </c>
      <c r="H45" s="628"/>
      <c r="I45" s="628"/>
      <c r="J45" s="83" t="s">
        <v>767</v>
      </c>
      <c r="K45" s="978"/>
      <c r="L45" s="44"/>
      <c r="M45" s="44"/>
      <c r="R45" s="44"/>
      <c r="U45" s="958"/>
      <c r="AA45" s="575"/>
      <c r="AB45" s="575"/>
      <c r="AC45" s="575"/>
      <c r="AD45" s="575"/>
      <c r="AE45" s="575"/>
      <c r="AF45" s="38">
        <v>34</v>
      </c>
    </row>
    <row r="46" s="38" customFormat="1" ht="35.7" customHeight="1" spans="1:32">
      <c r="A46" s="957"/>
      <c r="C46" s="44"/>
      <c r="D46" s="522"/>
      <c r="E46" s="966" t="s">
        <v>93</v>
      </c>
      <c r="F46" s="393" t="s">
        <v>768</v>
      </c>
      <c r="G46" s="127" t="s">
        <v>769</v>
      </c>
      <c r="H46" s="975"/>
      <c r="I46" s="975"/>
      <c r="J46" s="83" t="s">
        <v>770</v>
      </c>
      <c r="K46" s="978"/>
      <c r="L46" s="44"/>
      <c r="M46" s="44"/>
      <c r="R46" s="44"/>
      <c r="U46" s="958"/>
      <c r="AA46" s="575"/>
      <c r="AB46" s="575"/>
      <c r="AC46" s="575"/>
      <c r="AD46" s="575"/>
      <c r="AE46" s="575"/>
      <c r="AF46" s="38">
        <v>34</v>
      </c>
    </row>
    <row r="47" s="38" customFormat="1" ht="24" customHeight="1" spans="1:32">
      <c r="A47" s="957"/>
      <c r="C47" s="44"/>
      <c r="D47" s="522"/>
      <c r="E47" s="966" t="s">
        <v>94</v>
      </c>
      <c r="F47" s="393" t="s">
        <v>771</v>
      </c>
      <c r="G47" s="127" t="s">
        <v>772</v>
      </c>
      <c r="H47" s="975"/>
      <c r="I47" s="975"/>
      <c r="J47" s="83" t="s">
        <v>773</v>
      </c>
      <c r="K47" s="978"/>
      <c r="L47" s="44"/>
      <c r="M47" s="44"/>
      <c r="R47" s="44"/>
      <c r="U47" s="958"/>
      <c r="AA47" s="575"/>
      <c r="AB47" s="575"/>
      <c r="AC47" s="575"/>
      <c r="AD47" s="575"/>
      <c r="AE47" s="575"/>
      <c r="AF47" s="38">
        <v>23</v>
      </c>
    </row>
    <row r="48" s="38" customFormat="1" ht="19.95" customHeight="1" spans="1:32">
      <c r="A48" s="957"/>
      <c r="C48" s="44"/>
      <c r="D48" s="522"/>
      <c r="E48" s="966" t="s">
        <v>110</v>
      </c>
      <c r="F48" s="393" t="s">
        <v>774</v>
      </c>
      <c r="G48" s="127" t="s">
        <v>584</v>
      </c>
      <c r="H48" s="986"/>
      <c r="I48" s="986"/>
      <c r="J48" s="83"/>
      <c r="K48" s="978"/>
      <c r="L48" s="44"/>
      <c r="M48" s="44"/>
      <c r="R48" s="44"/>
      <c r="U48" s="958"/>
      <c r="AA48" s="575"/>
      <c r="AB48" s="575"/>
      <c r="AC48" s="575"/>
      <c r="AD48" s="575"/>
      <c r="AE48" s="575"/>
      <c r="AF48" s="38">
        <v>19</v>
      </c>
    </row>
    <row r="49" ht="11.55" customHeight="1" spans="4:32">
      <c r="D49" s="522"/>
      <c r="AF49" s="43">
        <v>11</v>
      </c>
    </row>
    <row r="50" s="37" customFormat="1" ht="11.55" customHeight="1" spans="1:32">
      <c r="A50" s="957"/>
      <c r="B50" s="44"/>
      <c r="C50" s="44"/>
      <c r="K50" s="38"/>
      <c r="L50" s="44"/>
      <c r="M50" s="44"/>
      <c r="N50" s="38"/>
      <c r="O50" s="38"/>
      <c r="P50" s="38"/>
      <c r="Q50" s="38"/>
      <c r="R50" s="44"/>
      <c r="S50" s="38"/>
      <c r="T50" s="38"/>
      <c r="U50" s="958"/>
      <c r="V50" s="38"/>
      <c r="W50" s="38"/>
      <c r="X50" s="38"/>
      <c r="Y50" s="38"/>
      <c r="Z50" s="38"/>
      <c r="AA50" s="575"/>
      <c r="AB50" s="976"/>
      <c r="AC50" s="976"/>
      <c r="AD50" s="976"/>
      <c r="AE50" s="976"/>
      <c r="AF50" s="37">
        <v>11</v>
      </c>
    </row>
    <row r="51" s="37" customFormat="1" ht="11.55" customHeight="1" spans="1:32">
      <c r="A51" s="957"/>
      <c r="B51" s="44"/>
      <c r="C51" s="44"/>
      <c r="K51" s="38"/>
      <c r="L51" s="44"/>
      <c r="M51" s="44"/>
      <c r="N51" s="38"/>
      <c r="O51" s="38"/>
      <c r="P51" s="38"/>
      <c r="Q51" s="38"/>
      <c r="R51" s="44"/>
      <c r="S51" s="38"/>
      <c r="T51" s="38"/>
      <c r="U51" s="958"/>
      <c r="V51" s="38"/>
      <c r="W51" s="38"/>
      <c r="X51" s="38"/>
      <c r="Y51" s="38"/>
      <c r="Z51" s="38"/>
      <c r="AA51" s="575"/>
      <c r="AB51" s="976"/>
      <c r="AC51" s="976"/>
      <c r="AD51" s="976"/>
      <c r="AE51" s="976"/>
      <c r="AF51" s="37">
        <v>11</v>
      </c>
    </row>
    <row r="52" s="37" customFormat="1" ht="11.55" customHeight="1" spans="1:32">
      <c r="A52" s="957"/>
      <c r="B52" s="44"/>
      <c r="C52" s="44"/>
      <c r="H52" s="976"/>
      <c r="I52" s="976"/>
      <c r="K52" s="38"/>
      <c r="L52" s="44"/>
      <c r="M52" s="44"/>
      <c r="N52" s="38"/>
      <c r="O52" s="38"/>
      <c r="P52" s="38"/>
      <c r="Q52" s="38"/>
      <c r="R52" s="44"/>
      <c r="S52" s="38"/>
      <c r="T52" s="38"/>
      <c r="U52" s="958"/>
      <c r="V52" s="38"/>
      <c r="W52" s="38"/>
      <c r="X52" s="38"/>
      <c r="Y52" s="38"/>
      <c r="Z52" s="38"/>
      <c r="AA52" s="575"/>
      <c r="AB52" s="976"/>
      <c r="AC52" s="976"/>
      <c r="AD52" s="976"/>
      <c r="AE52" s="976"/>
      <c r="AF52" s="37">
        <v>11</v>
      </c>
    </row>
    <row r="53" s="37" customFormat="1" ht="11.55" customHeight="1" spans="1:32">
      <c r="A53" s="957"/>
      <c r="B53" s="44"/>
      <c r="C53" s="44"/>
      <c r="K53" s="38"/>
      <c r="L53" s="44"/>
      <c r="M53" s="44"/>
      <c r="N53" s="38"/>
      <c r="O53" s="38"/>
      <c r="P53" s="38"/>
      <c r="Q53" s="38"/>
      <c r="R53" s="44"/>
      <c r="S53" s="38"/>
      <c r="T53" s="38"/>
      <c r="U53" s="958"/>
      <c r="V53" s="38"/>
      <c r="W53" s="38"/>
      <c r="X53" s="38"/>
      <c r="Y53" s="38"/>
      <c r="Z53" s="38"/>
      <c r="AA53" s="575"/>
      <c r="AB53" s="976"/>
      <c r="AC53" s="976"/>
      <c r="AD53" s="976"/>
      <c r="AE53" s="976"/>
      <c r="AF53" s="37">
        <v>11</v>
      </c>
    </row>
    <row r="54" s="37" customFormat="1" ht="11.55" customHeight="1" spans="1:32">
      <c r="A54" s="957"/>
      <c r="B54" s="44"/>
      <c r="C54" s="44"/>
      <c r="K54" s="38"/>
      <c r="L54" s="44"/>
      <c r="M54" s="44"/>
      <c r="N54" s="38"/>
      <c r="O54" s="38"/>
      <c r="P54" s="38"/>
      <c r="Q54" s="38"/>
      <c r="R54" s="44"/>
      <c r="S54" s="38"/>
      <c r="T54" s="38"/>
      <c r="U54" s="958"/>
      <c r="V54" s="38"/>
      <c r="W54" s="38"/>
      <c r="X54" s="38"/>
      <c r="Y54" s="38"/>
      <c r="Z54" s="38"/>
      <c r="AA54" s="575"/>
      <c r="AB54" s="976"/>
      <c r="AC54" s="976"/>
      <c r="AD54" s="976"/>
      <c r="AE54" s="976"/>
      <c r="AF54" s="37">
        <v>11</v>
      </c>
    </row>
    <row r="55" s="37" customFormat="1" ht="11.55" customHeight="1" spans="1:32">
      <c r="A55" s="957"/>
      <c r="B55" s="44"/>
      <c r="C55" s="44"/>
      <c r="K55" s="38"/>
      <c r="L55" s="44"/>
      <c r="M55" s="44"/>
      <c r="N55" s="38"/>
      <c r="O55" s="38"/>
      <c r="P55" s="38"/>
      <c r="Q55" s="38"/>
      <c r="R55" s="44"/>
      <c r="S55" s="38"/>
      <c r="T55" s="38"/>
      <c r="U55" s="958"/>
      <c r="V55" s="38"/>
      <c r="W55" s="38"/>
      <c r="X55" s="38"/>
      <c r="Y55" s="38"/>
      <c r="Z55" s="38"/>
      <c r="AA55" s="575"/>
      <c r="AB55" s="976"/>
      <c r="AC55" s="976"/>
      <c r="AD55" s="976"/>
      <c r="AE55" s="976"/>
      <c r="AF55" s="37">
        <v>11</v>
      </c>
    </row>
    <row r="56" s="37" customFormat="1" ht="11.55" customHeight="1" spans="1:32">
      <c r="A56" s="957"/>
      <c r="B56" s="44"/>
      <c r="C56" s="44"/>
      <c r="K56" s="38"/>
      <c r="L56" s="44"/>
      <c r="M56" s="44"/>
      <c r="N56" s="38"/>
      <c r="O56" s="38"/>
      <c r="P56" s="38"/>
      <c r="Q56" s="38"/>
      <c r="R56" s="44"/>
      <c r="S56" s="38"/>
      <c r="T56" s="38"/>
      <c r="U56" s="958"/>
      <c r="V56" s="38"/>
      <c r="W56" s="38"/>
      <c r="X56" s="38"/>
      <c r="Y56" s="38"/>
      <c r="Z56" s="38"/>
      <c r="AA56" s="575"/>
      <c r="AB56" s="976"/>
      <c r="AC56" s="976"/>
      <c r="AD56" s="976"/>
      <c r="AE56" s="976"/>
      <c r="AF56" s="37">
        <v>11</v>
      </c>
    </row>
    <row r="57" s="37" customFormat="1" ht="11.55" customHeight="1" spans="1:32">
      <c r="A57" s="957"/>
      <c r="B57" s="44"/>
      <c r="C57" s="44"/>
      <c r="K57" s="38"/>
      <c r="L57" s="44"/>
      <c r="M57" s="44"/>
      <c r="N57" s="38"/>
      <c r="O57" s="38"/>
      <c r="P57" s="38"/>
      <c r="Q57" s="38"/>
      <c r="R57" s="44"/>
      <c r="S57" s="38"/>
      <c r="T57" s="38"/>
      <c r="U57" s="958"/>
      <c r="V57" s="38"/>
      <c r="W57" s="38"/>
      <c r="X57" s="38"/>
      <c r="Y57" s="38"/>
      <c r="Z57" s="38"/>
      <c r="AA57" s="575"/>
      <c r="AB57" s="976"/>
      <c r="AC57" s="976"/>
      <c r="AD57" s="976"/>
      <c r="AE57" s="976"/>
      <c r="AF57" s="37">
        <v>11</v>
      </c>
    </row>
    <row r="58" s="37" customFormat="1" ht="11.55" customHeight="1" spans="1:32">
      <c r="A58" s="957"/>
      <c r="B58" s="44"/>
      <c r="C58" s="44"/>
      <c r="K58" s="38"/>
      <c r="L58" s="44"/>
      <c r="M58" s="44"/>
      <c r="N58" s="38"/>
      <c r="O58" s="38"/>
      <c r="P58" s="38"/>
      <c r="Q58" s="38"/>
      <c r="R58" s="44"/>
      <c r="S58" s="38"/>
      <c r="T58" s="38"/>
      <c r="U58" s="958"/>
      <c r="V58" s="38"/>
      <c r="W58" s="38"/>
      <c r="X58" s="38"/>
      <c r="Y58" s="38"/>
      <c r="Z58" s="38"/>
      <c r="AA58" s="575"/>
      <c r="AB58" s="976"/>
      <c r="AC58" s="976"/>
      <c r="AD58" s="976"/>
      <c r="AE58" s="976"/>
      <c r="AF58" s="37">
        <v>11</v>
      </c>
    </row>
    <row r="59" s="37" customFormat="1" ht="11.55" customHeight="1" spans="1:32">
      <c r="A59" s="957"/>
      <c r="B59" s="44"/>
      <c r="C59" s="44"/>
      <c r="K59" s="38"/>
      <c r="L59" s="44"/>
      <c r="M59" s="44"/>
      <c r="N59" s="38"/>
      <c r="O59" s="38"/>
      <c r="P59" s="38"/>
      <c r="Q59" s="38"/>
      <c r="R59" s="44"/>
      <c r="S59" s="38"/>
      <c r="T59" s="38"/>
      <c r="U59" s="958"/>
      <c r="V59" s="38"/>
      <c r="W59" s="38"/>
      <c r="X59" s="38"/>
      <c r="Y59" s="38"/>
      <c r="Z59" s="38"/>
      <c r="AA59" s="575"/>
      <c r="AB59" s="976"/>
      <c r="AC59" s="976"/>
      <c r="AD59" s="976"/>
      <c r="AE59" s="976"/>
      <c r="AF59" s="37">
        <v>11</v>
      </c>
    </row>
    <row r="60" s="37" customFormat="1" ht="11.55" customHeight="1" spans="1:32">
      <c r="A60" s="957"/>
      <c r="B60" s="44"/>
      <c r="C60" s="44"/>
      <c r="K60" s="38"/>
      <c r="L60" s="44"/>
      <c r="M60" s="44"/>
      <c r="N60" s="38"/>
      <c r="O60" s="38"/>
      <c r="P60" s="38"/>
      <c r="Q60" s="38"/>
      <c r="R60" s="44"/>
      <c r="S60" s="38"/>
      <c r="T60" s="38"/>
      <c r="U60" s="958"/>
      <c r="V60" s="38"/>
      <c r="W60" s="38"/>
      <c r="X60" s="38"/>
      <c r="Y60" s="38"/>
      <c r="Z60" s="38"/>
      <c r="AA60" s="575"/>
      <c r="AB60" s="976"/>
      <c r="AC60" s="976"/>
      <c r="AD60" s="976"/>
      <c r="AE60" s="976"/>
      <c r="AF60" s="37">
        <v>11</v>
      </c>
    </row>
    <row r="61" s="37" customFormat="1" ht="11.55" customHeight="1" spans="1:32">
      <c r="A61" s="957"/>
      <c r="B61" s="44"/>
      <c r="C61" s="44"/>
      <c r="K61" s="38"/>
      <c r="L61" s="44"/>
      <c r="M61" s="44"/>
      <c r="N61" s="38"/>
      <c r="O61" s="38"/>
      <c r="P61" s="38"/>
      <c r="Q61" s="38"/>
      <c r="R61" s="44"/>
      <c r="S61" s="38"/>
      <c r="T61" s="38"/>
      <c r="U61" s="958"/>
      <c r="V61" s="38"/>
      <c r="W61" s="38"/>
      <c r="X61" s="38"/>
      <c r="Y61" s="38"/>
      <c r="Z61" s="38"/>
      <c r="AA61" s="575"/>
      <c r="AB61" s="976"/>
      <c r="AC61" s="976"/>
      <c r="AD61" s="976"/>
      <c r="AE61" s="976"/>
      <c r="AF61" s="37">
        <v>11</v>
      </c>
    </row>
    <row r="62" s="37" customFormat="1" ht="11.55" customHeight="1" spans="1:32">
      <c r="A62" s="957"/>
      <c r="B62" s="44"/>
      <c r="C62" s="44"/>
      <c r="K62" s="38"/>
      <c r="L62" s="44"/>
      <c r="M62" s="44"/>
      <c r="N62" s="38"/>
      <c r="O62" s="38"/>
      <c r="P62" s="38"/>
      <c r="Q62" s="38"/>
      <c r="R62" s="44"/>
      <c r="S62" s="38"/>
      <c r="T62" s="38"/>
      <c r="U62" s="958"/>
      <c r="V62" s="38"/>
      <c r="W62" s="38"/>
      <c r="X62" s="38"/>
      <c r="Y62" s="38"/>
      <c r="Z62" s="38"/>
      <c r="AA62" s="575"/>
      <c r="AB62" s="976"/>
      <c r="AC62" s="976"/>
      <c r="AD62" s="976"/>
      <c r="AE62" s="976"/>
      <c r="AF62" s="37">
        <v>11</v>
      </c>
    </row>
    <row r="63" s="37" customFormat="1" ht="11.55" customHeight="1" spans="1:32">
      <c r="A63" s="957"/>
      <c r="B63" s="44"/>
      <c r="C63" s="44"/>
      <c r="K63" s="38"/>
      <c r="L63" s="44"/>
      <c r="M63" s="44"/>
      <c r="N63" s="38"/>
      <c r="O63" s="38"/>
      <c r="P63" s="38"/>
      <c r="Q63" s="38"/>
      <c r="R63" s="44"/>
      <c r="S63" s="38"/>
      <c r="T63" s="38"/>
      <c r="U63" s="958"/>
      <c r="V63" s="38"/>
      <c r="W63" s="38"/>
      <c r="X63" s="38"/>
      <c r="Y63" s="38"/>
      <c r="Z63" s="38"/>
      <c r="AA63" s="575"/>
      <c r="AB63" s="976"/>
      <c r="AC63" s="976"/>
      <c r="AD63" s="976"/>
      <c r="AE63" s="976"/>
      <c r="AF63" s="37">
        <v>11</v>
      </c>
    </row>
    <row r="64" s="37" customFormat="1" ht="11.55" customHeight="1" spans="1:32">
      <c r="A64" s="957"/>
      <c r="B64" s="44"/>
      <c r="C64" s="44"/>
      <c r="K64" s="38"/>
      <c r="L64" s="44"/>
      <c r="M64" s="44"/>
      <c r="N64" s="38"/>
      <c r="O64" s="38"/>
      <c r="P64" s="38"/>
      <c r="Q64" s="38"/>
      <c r="R64" s="44"/>
      <c r="S64" s="38"/>
      <c r="T64" s="38"/>
      <c r="U64" s="958"/>
      <c r="V64" s="38"/>
      <c r="W64" s="38"/>
      <c r="X64" s="38"/>
      <c r="Y64" s="38"/>
      <c r="Z64" s="38"/>
      <c r="AA64" s="575"/>
      <c r="AB64" s="976"/>
      <c r="AC64" s="976"/>
      <c r="AD64" s="976"/>
      <c r="AE64" s="976"/>
      <c r="AF64" s="37">
        <v>11</v>
      </c>
    </row>
    <row r="65" s="37" customFormat="1" ht="11.55" customHeight="1" spans="1:32">
      <c r="A65" s="957"/>
      <c r="B65" s="44"/>
      <c r="C65" s="44"/>
      <c r="K65" s="38"/>
      <c r="L65" s="44"/>
      <c r="M65" s="44"/>
      <c r="N65" s="38"/>
      <c r="O65" s="38"/>
      <c r="P65" s="38"/>
      <c r="Q65" s="38"/>
      <c r="R65" s="44"/>
      <c r="S65" s="38"/>
      <c r="T65" s="38"/>
      <c r="U65" s="958"/>
      <c r="V65" s="38"/>
      <c r="W65" s="38"/>
      <c r="X65" s="38"/>
      <c r="Y65" s="38"/>
      <c r="Z65" s="38"/>
      <c r="AA65" s="575"/>
      <c r="AB65" s="976"/>
      <c r="AC65" s="976"/>
      <c r="AD65" s="976"/>
      <c r="AE65" s="976"/>
      <c r="AF65" s="37">
        <v>11</v>
      </c>
    </row>
    <row r="66" s="37" customFormat="1" ht="11.55" customHeight="1" spans="1:32">
      <c r="A66" s="957"/>
      <c r="B66" s="44"/>
      <c r="C66" s="44"/>
      <c r="K66" s="38"/>
      <c r="L66" s="44"/>
      <c r="M66" s="44"/>
      <c r="N66" s="38"/>
      <c r="O66" s="38"/>
      <c r="P66" s="38"/>
      <c r="Q66" s="38"/>
      <c r="R66" s="44"/>
      <c r="S66" s="38"/>
      <c r="T66" s="38"/>
      <c r="U66" s="958"/>
      <c r="V66" s="38"/>
      <c r="W66" s="38"/>
      <c r="X66" s="38"/>
      <c r="Y66" s="38"/>
      <c r="Z66" s="38"/>
      <c r="AA66" s="575"/>
      <c r="AB66" s="976"/>
      <c r="AC66" s="976"/>
      <c r="AD66" s="976"/>
      <c r="AE66" s="976"/>
      <c r="AF66" s="37">
        <v>11</v>
      </c>
    </row>
    <row r="67" s="37" customFormat="1" ht="11.55" customHeight="1" spans="1:32">
      <c r="A67" s="957"/>
      <c r="B67" s="44"/>
      <c r="C67" s="44"/>
      <c r="K67" s="38"/>
      <c r="L67" s="44"/>
      <c r="M67" s="44"/>
      <c r="N67" s="38"/>
      <c r="O67" s="38"/>
      <c r="P67" s="38"/>
      <c r="Q67" s="38"/>
      <c r="R67" s="44"/>
      <c r="S67" s="38"/>
      <c r="T67" s="38"/>
      <c r="U67" s="958"/>
      <c r="V67" s="38"/>
      <c r="W67" s="38"/>
      <c r="X67" s="38"/>
      <c r="Y67" s="38"/>
      <c r="Z67" s="38"/>
      <c r="AA67" s="575"/>
      <c r="AB67" s="976"/>
      <c r="AC67" s="976"/>
      <c r="AD67" s="976"/>
      <c r="AE67" s="976"/>
      <c r="AF67" s="37">
        <v>11</v>
      </c>
    </row>
    <row r="68" s="37" customFormat="1" ht="11.55" customHeight="1" spans="1:32">
      <c r="A68" s="957"/>
      <c r="B68" s="44"/>
      <c r="C68" s="44"/>
      <c r="K68" s="38"/>
      <c r="L68" s="44"/>
      <c r="M68" s="44"/>
      <c r="N68" s="38"/>
      <c r="O68" s="38"/>
      <c r="P68" s="38"/>
      <c r="Q68" s="38"/>
      <c r="R68" s="44"/>
      <c r="S68" s="38"/>
      <c r="T68" s="38"/>
      <c r="U68" s="958"/>
      <c r="V68" s="38"/>
      <c r="W68" s="38"/>
      <c r="X68" s="38"/>
      <c r="Y68" s="38"/>
      <c r="Z68" s="38"/>
      <c r="AA68" s="575"/>
      <c r="AB68" s="976"/>
      <c r="AC68" s="976"/>
      <c r="AD68" s="976"/>
      <c r="AE68" s="976"/>
      <c r="AF68" s="37">
        <v>11</v>
      </c>
    </row>
    <row r="69" s="37" customFormat="1" ht="11.55" customHeight="1" spans="1:32">
      <c r="A69" s="957"/>
      <c r="B69" s="44"/>
      <c r="C69" s="44"/>
      <c r="K69" s="38"/>
      <c r="L69" s="44"/>
      <c r="M69" s="44"/>
      <c r="N69" s="38"/>
      <c r="O69" s="38"/>
      <c r="P69" s="38"/>
      <c r="Q69" s="38"/>
      <c r="R69" s="44"/>
      <c r="S69" s="38"/>
      <c r="T69" s="38"/>
      <c r="U69" s="958"/>
      <c r="V69" s="38"/>
      <c r="W69" s="38"/>
      <c r="X69" s="38"/>
      <c r="Y69" s="38"/>
      <c r="Z69" s="38"/>
      <c r="AA69" s="575"/>
      <c r="AB69" s="976"/>
      <c r="AC69" s="976"/>
      <c r="AD69" s="976"/>
      <c r="AE69" s="976"/>
      <c r="AF69" s="37">
        <v>11</v>
      </c>
    </row>
    <row r="70" s="37" customFormat="1" ht="11.55" customHeight="1" spans="1:32">
      <c r="A70" s="957"/>
      <c r="B70" s="44"/>
      <c r="C70" s="44"/>
      <c r="K70" s="38"/>
      <c r="L70" s="44"/>
      <c r="M70" s="44"/>
      <c r="N70" s="38"/>
      <c r="O70" s="38"/>
      <c r="P70" s="38"/>
      <c r="Q70" s="38"/>
      <c r="R70" s="44"/>
      <c r="S70" s="38"/>
      <c r="T70" s="38"/>
      <c r="U70" s="958"/>
      <c r="V70" s="38"/>
      <c r="W70" s="38"/>
      <c r="X70" s="38"/>
      <c r="Y70" s="38"/>
      <c r="Z70" s="38"/>
      <c r="AA70" s="575"/>
      <c r="AB70" s="976"/>
      <c r="AC70" s="976"/>
      <c r="AD70" s="976"/>
      <c r="AE70" s="976"/>
      <c r="AF70" s="37">
        <v>11</v>
      </c>
    </row>
    <row r="71" s="37" customFormat="1" ht="11.55" customHeight="1" spans="1:32">
      <c r="A71" s="957"/>
      <c r="B71" s="44"/>
      <c r="C71" s="44"/>
      <c r="K71" s="38"/>
      <c r="L71" s="44"/>
      <c r="M71" s="44"/>
      <c r="N71" s="38"/>
      <c r="O71" s="38"/>
      <c r="P71" s="38"/>
      <c r="Q71" s="38"/>
      <c r="R71" s="44"/>
      <c r="S71" s="38"/>
      <c r="T71" s="38"/>
      <c r="U71" s="958"/>
      <c r="V71" s="38"/>
      <c r="W71" s="38"/>
      <c r="X71" s="38"/>
      <c r="Y71" s="38"/>
      <c r="Z71" s="38"/>
      <c r="AA71" s="575"/>
      <c r="AB71" s="976"/>
      <c r="AC71" s="976"/>
      <c r="AD71" s="976"/>
      <c r="AE71" s="976"/>
      <c r="AF71" s="37">
        <v>11</v>
      </c>
    </row>
    <row r="72" s="37" customFormat="1" ht="11.55" customHeight="1" spans="1:32">
      <c r="A72" s="957"/>
      <c r="B72" s="44"/>
      <c r="C72" s="44"/>
      <c r="K72" s="38"/>
      <c r="L72" s="44"/>
      <c r="M72" s="44"/>
      <c r="N72" s="38"/>
      <c r="O72" s="38"/>
      <c r="P72" s="38"/>
      <c r="Q72" s="38"/>
      <c r="R72" s="44"/>
      <c r="S72" s="38"/>
      <c r="T72" s="38"/>
      <c r="U72" s="958"/>
      <c r="V72" s="38"/>
      <c r="W72" s="38"/>
      <c r="X72" s="38"/>
      <c r="Y72" s="38"/>
      <c r="Z72" s="38"/>
      <c r="AA72" s="575"/>
      <c r="AB72" s="976"/>
      <c r="AC72" s="976"/>
      <c r="AD72" s="976"/>
      <c r="AE72" s="976"/>
      <c r="AF72" s="37">
        <v>11</v>
      </c>
    </row>
    <row r="73" s="37" customFormat="1" ht="11.55" customHeight="1" spans="1:32">
      <c r="A73" s="957"/>
      <c r="B73" s="44"/>
      <c r="C73" s="44"/>
      <c r="K73" s="38"/>
      <c r="L73" s="44"/>
      <c r="M73" s="44"/>
      <c r="N73" s="38"/>
      <c r="O73" s="38"/>
      <c r="P73" s="38"/>
      <c r="Q73" s="38"/>
      <c r="R73" s="44"/>
      <c r="S73" s="38"/>
      <c r="T73" s="38"/>
      <c r="U73" s="958"/>
      <c r="V73" s="38"/>
      <c r="W73" s="38"/>
      <c r="X73" s="38"/>
      <c r="Y73" s="38"/>
      <c r="Z73" s="38"/>
      <c r="AA73" s="575"/>
      <c r="AB73" s="976"/>
      <c r="AC73" s="976"/>
      <c r="AD73" s="976"/>
      <c r="AE73" s="976"/>
      <c r="AF73" s="37">
        <v>11</v>
      </c>
    </row>
    <row r="74" s="37" customFormat="1" ht="11.55" customHeight="1" spans="1:32">
      <c r="A74" s="957"/>
      <c r="B74" s="44"/>
      <c r="C74" s="44"/>
      <c r="K74" s="38"/>
      <c r="L74" s="44"/>
      <c r="M74" s="44"/>
      <c r="N74" s="38"/>
      <c r="O74" s="38"/>
      <c r="P74" s="38"/>
      <c r="Q74" s="38"/>
      <c r="R74" s="44"/>
      <c r="S74" s="38"/>
      <c r="T74" s="38"/>
      <c r="U74" s="958"/>
      <c r="V74" s="38"/>
      <c r="W74" s="38"/>
      <c r="X74" s="38"/>
      <c r="Y74" s="38"/>
      <c r="Z74" s="38"/>
      <c r="AA74" s="575"/>
      <c r="AB74" s="976"/>
      <c r="AC74" s="976"/>
      <c r="AD74" s="976"/>
      <c r="AE74" s="976"/>
      <c r="AF74" s="37">
        <v>11</v>
      </c>
    </row>
    <row r="75" s="37" customFormat="1" ht="11.55" customHeight="1" spans="1:32">
      <c r="A75" s="957"/>
      <c r="B75" s="44"/>
      <c r="C75" s="44"/>
      <c r="K75" s="38"/>
      <c r="L75" s="44"/>
      <c r="M75" s="44"/>
      <c r="N75" s="38"/>
      <c r="O75" s="38"/>
      <c r="P75" s="38"/>
      <c r="Q75" s="38"/>
      <c r="R75" s="44"/>
      <c r="S75" s="38"/>
      <c r="T75" s="38"/>
      <c r="U75" s="958"/>
      <c r="V75" s="38"/>
      <c r="W75" s="38"/>
      <c r="X75" s="38"/>
      <c r="Y75" s="38"/>
      <c r="Z75" s="38"/>
      <c r="AA75" s="575"/>
      <c r="AB75" s="976"/>
      <c r="AC75" s="976"/>
      <c r="AD75" s="976"/>
      <c r="AE75" s="976"/>
      <c r="AF75" s="37">
        <v>11</v>
      </c>
    </row>
    <row r="76" s="37" customFormat="1" ht="11.55" customHeight="1" spans="1:32">
      <c r="A76" s="957"/>
      <c r="B76" s="44"/>
      <c r="C76" s="44"/>
      <c r="K76" s="38"/>
      <c r="L76" s="44"/>
      <c r="M76" s="44"/>
      <c r="N76" s="38"/>
      <c r="O76" s="38"/>
      <c r="P76" s="38"/>
      <c r="Q76" s="38"/>
      <c r="R76" s="44"/>
      <c r="S76" s="38"/>
      <c r="T76" s="38"/>
      <c r="U76" s="958"/>
      <c r="V76" s="38"/>
      <c r="W76" s="38"/>
      <c r="X76" s="38"/>
      <c r="Y76" s="38"/>
      <c r="Z76" s="38"/>
      <c r="AA76" s="575"/>
      <c r="AB76" s="976"/>
      <c r="AC76" s="976"/>
      <c r="AD76" s="976"/>
      <c r="AE76" s="976"/>
      <c r="AF76" s="37">
        <v>11</v>
      </c>
    </row>
    <row r="77" s="37" customFormat="1" ht="11.55" customHeight="1" spans="1:32">
      <c r="A77" s="957"/>
      <c r="B77" s="44"/>
      <c r="C77" s="44"/>
      <c r="K77" s="38"/>
      <c r="L77" s="44"/>
      <c r="M77" s="44"/>
      <c r="N77" s="38"/>
      <c r="O77" s="38"/>
      <c r="P77" s="38"/>
      <c r="Q77" s="38"/>
      <c r="R77" s="44"/>
      <c r="S77" s="38"/>
      <c r="T77" s="38"/>
      <c r="U77" s="958"/>
      <c r="V77" s="38"/>
      <c r="W77" s="38"/>
      <c r="X77" s="38"/>
      <c r="Y77" s="38"/>
      <c r="Z77" s="38"/>
      <c r="AA77" s="575"/>
      <c r="AB77" s="976"/>
      <c r="AC77" s="976"/>
      <c r="AD77" s="976"/>
      <c r="AE77" s="976"/>
      <c r="AF77" s="37">
        <v>11</v>
      </c>
    </row>
    <row r="78" s="37" customFormat="1" ht="11.55" customHeight="1" spans="1:32">
      <c r="A78" s="957"/>
      <c r="B78" s="44"/>
      <c r="C78" s="44"/>
      <c r="K78" s="38"/>
      <c r="L78" s="44"/>
      <c r="M78" s="44"/>
      <c r="N78" s="38"/>
      <c r="O78" s="38"/>
      <c r="P78" s="38"/>
      <c r="Q78" s="38"/>
      <c r="R78" s="44"/>
      <c r="S78" s="38"/>
      <c r="T78" s="38"/>
      <c r="U78" s="958"/>
      <c r="V78" s="38"/>
      <c r="W78" s="38"/>
      <c r="X78" s="38"/>
      <c r="Y78" s="38"/>
      <c r="Z78" s="38"/>
      <c r="AA78" s="575"/>
      <c r="AB78" s="976"/>
      <c r="AC78" s="976"/>
      <c r="AD78" s="976"/>
      <c r="AE78" s="976"/>
      <c r="AF78" s="37">
        <v>11</v>
      </c>
    </row>
    <row r="79" s="37" customFormat="1" ht="11.55" customHeight="1" spans="1:32">
      <c r="A79" s="957"/>
      <c r="B79" s="44"/>
      <c r="C79" s="44"/>
      <c r="K79" s="38"/>
      <c r="L79" s="44"/>
      <c r="M79" s="44"/>
      <c r="N79" s="38"/>
      <c r="O79" s="38"/>
      <c r="P79" s="38"/>
      <c r="Q79" s="38"/>
      <c r="R79" s="44"/>
      <c r="S79" s="38"/>
      <c r="T79" s="38"/>
      <c r="U79" s="958"/>
      <c r="V79" s="38"/>
      <c r="W79" s="38"/>
      <c r="X79" s="38"/>
      <c r="Y79" s="38"/>
      <c r="Z79" s="38"/>
      <c r="AA79" s="575"/>
      <c r="AB79" s="976"/>
      <c r="AC79" s="976"/>
      <c r="AD79" s="976"/>
      <c r="AE79" s="976"/>
      <c r="AF79" s="37">
        <v>11</v>
      </c>
    </row>
    <row r="80" s="37" customFormat="1" ht="11.55" customHeight="1" spans="1:32">
      <c r="A80" s="957"/>
      <c r="B80" s="44"/>
      <c r="C80" s="44"/>
      <c r="K80" s="38"/>
      <c r="L80" s="44"/>
      <c r="M80" s="44"/>
      <c r="N80" s="38"/>
      <c r="O80" s="38"/>
      <c r="P80" s="38"/>
      <c r="Q80" s="38"/>
      <c r="R80" s="44"/>
      <c r="S80" s="38"/>
      <c r="T80" s="38"/>
      <c r="U80" s="958"/>
      <c r="V80" s="38"/>
      <c r="W80" s="38"/>
      <c r="X80" s="38"/>
      <c r="Y80" s="38"/>
      <c r="Z80" s="38"/>
      <c r="AA80" s="575"/>
      <c r="AB80" s="976"/>
      <c r="AC80" s="976"/>
      <c r="AD80" s="976"/>
      <c r="AE80" s="976"/>
      <c r="AF80" s="37">
        <v>11</v>
      </c>
    </row>
    <row r="81" s="37" customFormat="1" ht="11.55" customHeight="1" spans="1:32">
      <c r="A81" s="957"/>
      <c r="B81" s="44"/>
      <c r="C81" s="44"/>
      <c r="K81" s="38"/>
      <c r="L81" s="44"/>
      <c r="M81" s="44"/>
      <c r="N81" s="38"/>
      <c r="O81" s="38"/>
      <c r="P81" s="38"/>
      <c r="Q81" s="38"/>
      <c r="R81" s="44"/>
      <c r="S81" s="38"/>
      <c r="T81" s="38"/>
      <c r="U81" s="958"/>
      <c r="V81" s="38"/>
      <c r="W81" s="38"/>
      <c r="X81" s="38"/>
      <c r="Y81" s="38"/>
      <c r="Z81" s="38"/>
      <c r="AA81" s="575"/>
      <c r="AB81" s="976"/>
      <c r="AC81" s="976"/>
      <c r="AD81" s="976"/>
      <c r="AE81" s="976"/>
      <c r="AF81" s="37">
        <v>11</v>
      </c>
    </row>
    <row r="82" s="37" customFormat="1" ht="11.55" customHeight="1" spans="1:32">
      <c r="A82" s="957"/>
      <c r="B82" s="44"/>
      <c r="C82" s="44"/>
      <c r="K82" s="38"/>
      <c r="L82" s="44"/>
      <c r="M82" s="44"/>
      <c r="N82" s="38"/>
      <c r="O82" s="38"/>
      <c r="P82" s="38"/>
      <c r="Q82" s="38"/>
      <c r="R82" s="44"/>
      <c r="S82" s="38"/>
      <c r="T82" s="38"/>
      <c r="U82" s="958"/>
      <c r="V82" s="38"/>
      <c r="W82" s="38"/>
      <c r="X82" s="38"/>
      <c r="Y82" s="38"/>
      <c r="Z82" s="38"/>
      <c r="AA82" s="575"/>
      <c r="AB82" s="976"/>
      <c r="AC82" s="976"/>
      <c r="AD82" s="976"/>
      <c r="AE82" s="976"/>
      <c r="AF82" s="37">
        <v>11</v>
      </c>
    </row>
    <row r="83" s="37" customFormat="1" ht="11.55" customHeight="1" spans="1:32">
      <c r="A83" s="957"/>
      <c r="B83" s="44"/>
      <c r="C83" s="44"/>
      <c r="K83" s="38"/>
      <c r="L83" s="44"/>
      <c r="M83" s="44"/>
      <c r="N83" s="38"/>
      <c r="O83" s="38"/>
      <c r="P83" s="38"/>
      <c r="Q83" s="38"/>
      <c r="R83" s="44"/>
      <c r="S83" s="38"/>
      <c r="T83" s="38"/>
      <c r="U83" s="958"/>
      <c r="V83" s="38"/>
      <c r="W83" s="38"/>
      <c r="X83" s="38"/>
      <c r="Y83" s="38"/>
      <c r="Z83" s="38"/>
      <c r="AA83" s="575"/>
      <c r="AB83" s="976"/>
      <c r="AC83" s="976"/>
      <c r="AD83" s="976"/>
      <c r="AE83" s="976"/>
      <c r="AF83" s="37">
        <v>11</v>
      </c>
    </row>
    <row r="84" s="37" customFormat="1" ht="11.55" customHeight="1" spans="1:32">
      <c r="A84" s="957"/>
      <c r="B84" s="44"/>
      <c r="C84" s="44"/>
      <c r="K84" s="38"/>
      <c r="L84" s="44"/>
      <c r="M84" s="44"/>
      <c r="N84" s="38"/>
      <c r="O84" s="38"/>
      <c r="P84" s="38"/>
      <c r="Q84" s="38"/>
      <c r="R84" s="44"/>
      <c r="S84" s="38"/>
      <c r="T84" s="38"/>
      <c r="U84" s="958"/>
      <c r="V84" s="38"/>
      <c r="W84" s="38"/>
      <c r="X84" s="38"/>
      <c r="Y84" s="38"/>
      <c r="Z84" s="38"/>
      <c r="AA84" s="575"/>
      <c r="AB84" s="976"/>
      <c r="AC84" s="976"/>
      <c r="AD84" s="976"/>
      <c r="AE84" s="976"/>
      <c r="AF84" s="37">
        <v>11</v>
      </c>
    </row>
    <row r="85" s="37" customFormat="1" ht="11.55" customHeight="1" spans="1:32">
      <c r="A85" s="957"/>
      <c r="B85" s="44"/>
      <c r="C85" s="44"/>
      <c r="K85" s="38"/>
      <c r="L85" s="44"/>
      <c r="M85" s="44"/>
      <c r="N85" s="38"/>
      <c r="O85" s="38"/>
      <c r="P85" s="38"/>
      <c r="Q85" s="38"/>
      <c r="R85" s="44"/>
      <c r="S85" s="38"/>
      <c r="T85" s="38"/>
      <c r="U85" s="958"/>
      <c r="V85" s="38"/>
      <c r="W85" s="38"/>
      <c r="X85" s="38"/>
      <c r="Y85" s="38"/>
      <c r="Z85" s="38"/>
      <c r="AA85" s="575"/>
      <c r="AB85" s="976"/>
      <c r="AC85" s="976"/>
      <c r="AD85" s="976"/>
      <c r="AE85" s="976"/>
      <c r="AF85" s="37">
        <v>11</v>
      </c>
    </row>
    <row r="86" s="37" customFormat="1" ht="11.55" customHeight="1" spans="1:32">
      <c r="A86" s="957"/>
      <c r="B86" s="44"/>
      <c r="C86" s="44"/>
      <c r="K86" s="38"/>
      <c r="L86" s="44"/>
      <c r="M86" s="44"/>
      <c r="N86" s="38"/>
      <c r="O86" s="38"/>
      <c r="P86" s="38"/>
      <c r="Q86" s="38"/>
      <c r="R86" s="44"/>
      <c r="S86" s="38"/>
      <c r="T86" s="38"/>
      <c r="U86" s="958"/>
      <c r="V86" s="38"/>
      <c r="W86" s="38"/>
      <c r="X86" s="38"/>
      <c r="Y86" s="38"/>
      <c r="Z86" s="38"/>
      <c r="AA86" s="575"/>
      <c r="AB86" s="976"/>
      <c r="AC86" s="976"/>
      <c r="AD86" s="976"/>
      <c r="AE86" s="976"/>
      <c r="AF86" s="37">
        <v>11</v>
      </c>
    </row>
    <row r="87" s="37" customFormat="1" ht="11.55" customHeight="1" spans="1:32">
      <c r="A87" s="957"/>
      <c r="B87" s="44"/>
      <c r="C87" s="44"/>
      <c r="K87" s="38"/>
      <c r="L87" s="44"/>
      <c r="M87" s="44"/>
      <c r="N87" s="38"/>
      <c r="O87" s="38"/>
      <c r="P87" s="38"/>
      <c r="Q87" s="38"/>
      <c r="R87" s="44"/>
      <c r="S87" s="38"/>
      <c r="T87" s="38"/>
      <c r="U87" s="958"/>
      <c r="V87" s="38"/>
      <c r="W87" s="38"/>
      <c r="X87" s="38"/>
      <c r="Y87" s="38"/>
      <c r="Z87" s="38"/>
      <c r="AA87" s="575"/>
      <c r="AB87" s="976"/>
      <c r="AC87" s="976"/>
      <c r="AD87" s="976"/>
      <c r="AE87" s="976"/>
      <c r="AF87" s="37">
        <v>11</v>
      </c>
    </row>
    <row r="88" s="37" customFormat="1" ht="11.55" customHeight="1" spans="1:32">
      <c r="A88" s="957"/>
      <c r="B88" s="44"/>
      <c r="C88" s="44"/>
      <c r="K88" s="38"/>
      <c r="L88" s="44"/>
      <c r="M88" s="44"/>
      <c r="N88" s="38"/>
      <c r="O88" s="38"/>
      <c r="P88" s="38"/>
      <c r="Q88" s="38"/>
      <c r="R88" s="44"/>
      <c r="S88" s="38"/>
      <c r="T88" s="38"/>
      <c r="U88" s="958"/>
      <c r="V88" s="38"/>
      <c r="W88" s="38"/>
      <c r="X88" s="38"/>
      <c r="Y88" s="38"/>
      <c r="Z88" s="38"/>
      <c r="AA88" s="575"/>
      <c r="AB88" s="976"/>
      <c r="AC88" s="976"/>
      <c r="AD88" s="976"/>
      <c r="AE88" s="976"/>
      <c r="AF88" s="37">
        <v>11</v>
      </c>
    </row>
    <row r="89" s="37" customFormat="1" ht="11.55" customHeight="1" spans="1:32">
      <c r="A89" s="957"/>
      <c r="B89" s="44"/>
      <c r="C89" s="44"/>
      <c r="K89" s="38"/>
      <c r="L89" s="44"/>
      <c r="M89" s="44"/>
      <c r="N89" s="38"/>
      <c r="O89" s="38"/>
      <c r="P89" s="38"/>
      <c r="Q89" s="38"/>
      <c r="R89" s="44"/>
      <c r="S89" s="38"/>
      <c r="T89" s="38"/>
      <c r="U89" s="958"/>
      <c r="V89" s="38"/>
      <c r="W89" s="38"/>
      <c r="X89" s="38"/>
      <c r="Y89" s="38"/>
      <c r="Z89" s="38"/>
      <c r="AA89" s="575"/>
      <c r="AB89" s="976"/>
      <c r="AC89" s="976"/>
      <c r="AD89" s="976"/>
      <c r="AE89" s="976"/>
      <c r="AF89" s="37">
        <v>11</v>
      </c>
    </row>
    <row r="90" s="37" customFormat="1" ht="11.55" customHeight="1" spans="1:32">
      <c r="A90" s="957"/>
      <c r="B90" s="44"/>
      <c r="C90" s="44"/>
      <c r="K90" s="38"/>
      <c r="L90" s="44"/>
      <c r="M90" s="44"/>
      <c r="N90" s="38"/>
      <c r="O90" s="38"/>
      <c r="P90" s="38"/>
      <c r="Q90" s="38"/>
      <c r="R90" s="44"/>
      <c r="S90" s="38"/>
      <c r="T90" s="38"/>
      <c r="U90" s="958"/>
      <c r="V90" s="38"/>
      <c r="W90" s="38"/>
      <c r="X90" s="38"/>
      <c r="Y90" s="38"/>
      <c r="Z90" s="38"/>
      <c r="AA90" s="575"/>
      <c r="AB90" s="976"/>
      <c r="AC90" s="976"/>
      <c r="AD90" s="976"/>
      <c r="AE90" s="976"/>
      <c r="AF90" s="37">
        <v>11</v>
      </c>
    </row>
    <row r="91" s="37" customFormat="1" ht="11.55" customHeight="1" spans="1:32">
      <c r="A91" s="957"/>
      <c r="B91" s="44"/>
      <c r="C91" s="44"/>
      <c r="K91" s="38"/>
      <c r="L91" s="44"/>
      <c r="M91" s="44"/>
      <c r="N91" s="38"/>
      <c r="O91" s="38"/>
      <c r="P91" s="38"/>
      <c r="Q91" s="38"/>
      <c r="R91" s="44"/>
      <c r="S91" s="38"/>
      <c r="T91" s="38"/>
      <c r="U91" s="958"/>
      <c r="V91" s="38"/>
      <c r="W91" s="38"/>
      <c r="X91" s="38"/>
      <c r="Y91" s="38"/>
      <c r="Z91" s="38"/>
      <c r="AA91" s="575"/>
      <c r="AB91" s="976"/>
      <c r="AC91" s="976"/>
      <c r="AD91" s="976"/>
      <c r="AE91" s="976"/>
      <c r="AF91" s="37">
        <v>11</v>
      </c>
    </row>
    <row r="92" s="37" customFormat="1" ht="11.55" customHeight="1" spans="1:32">
      <c r="A92" s="957"/>
      <c r="B92" s="44"/>
      <c r="C92" s="44"/>
      <c r="K92" s="38"/>
      <c r="L92" s="44"/>
      <c r="M92" s="44"/>
      <c r="N92" s="38"/>
      <c r="O92" s="38"/>
      <c r="P92" s="38"/>
      <c r="Q92" s="38"/>
      <c r="R92" s="44"/>
      <c r="S92" s="38"/>
      <c r="T92" s="38"/>
      <c r="U92" s="958"/>
      <c r="V92" s="38"/>
      <c r="W92" s="38"/>
      <c r="X92" s="38"/>
      <c r="Y92" s="38"/>
      <c r="Z92" s="38"/>
      <c r="AA92" s="575"/>
      <c r="AB92" s="976"/>
      <c r="AC92" s="976"/>
      <c r="AD92" s="976"/>
      <c r="AE92" s="976"/>
      <c r="AF92" s="37">
        <v>11</v>
      </c>
    </row>
    <row r="93" s="37" customFormat="1" ht="11.55" customHeight="1" spans="1:32">
      <c r="A93" s="957"/>
      <c r="B93" s="44"/>
      <c r="C93" s="44"/>
      <c r="K93" s="38"/>
      <c r="L93" s="44"/>
      <c r="M93" s="44"/>
      <c r="N93" s="38"/>
      <c r="O93" s="38"/>
      <c r="P93" s="38"/>
      <c r="Q93" s="38"/>
      <c r="R93" s="44"/>
      <c r="S93" s="38"/>
      <c r="T93" s="38"/>
      <c r="U93" s="958"/>
      <c r="V93" s="38"/>
      <c r="W93" s="38"/>
      <c r="X93" s="38"/>
      <c r="Y93" s="38"/>
      <c r="Z93" s="38"/>
      <c r="AA93" s="575"/>
      <c r="AB93" s="976"/>
      <c r="AC93" s="976"/>
      <c r="AD93" s="976"/>
      <c r="AE93" s="976"/>
      <c r="AF93" s="37">
        <v>11</v>
      </c>
    </row>
    <row r="94" s="37" customFormat="1" ht="11.55" customHeight="1" spans="1:32">
      <c r="A94" s="957"/>
      <c r="B94" s="44"/>
      <c r="C94" s="44"/>
      <c r="K94" s="38"/>
      <c r="L94" s="44"/>
      <c r="M94" s="44"/>
      <c r="N94" s="38"/>
      <c r="O94" s="38"/>
      <c r="P94" s="38"/>
      <c r="Q94" s="38"/>
      <c r="R94" s="44"/>
      <c r="S94" s="38"/>
      <c r="T94" s="38"/>
      <c r="U94" s="958"/>
      <c r="V94" s="38"/>
      <c r="W94" s="38"/>
      <c r="X94" s="38"/>
      <c r="Y94" s="38"/>
      <c r="Z94" s="38"/>
      <c r="AA94" s="575"/>
      <c r="AB94" s="976"/>
      <c r="AC94" s="976"/>
      <c r="AD94" s="976"/>
      <c r="AE94" s="976"/>
      <c r="AF94" s="37">
        <v>11</v>
      </c>
    </row>
    <row r="95" s="37" customFormat="1" ht="11.55" customHeight="1" spans="1:32">
      <c r="A95" s="957"/>
      <c r="B95" s="44"/>
      <c r="C95" s="44"/>
      <c r="K95" s="38"/>
      <c r="L95" s="44"/>
      <c r="M95" s="44"/>
      <c r="N95" s="38"/>
      <c r="O95" s="38"/>
      <c r="P95" s="38"/>
      <c r="Q95" s="38"/>
      <c r="R95" s="44"/>
      <c r="S95" s="38"/>
      <c r="T95" s="38"/>
      <c r="U95" s="958"/>
      <c r="V95" s="38"/>
      <c r="W95" s="38"/>
      <c r="X95" s="38"/>
      <c r="Y95" s="38"/>
      <c r="Z95" s="38"/>
      <c r="AA95" s="575"/>
      <c r="AB95" s="976"/>
      <c r="AC95" s="976"/>
      <c r="AD95" s="976"/>
      <c r="AE95" s="976"/>
      <c r="AF95" s="37">
        <v>11</v>
      </c>
    </row>
    <row r="96" s="37" customFormat="1" ht="11.55" customHeight="1" spans="1:32">
      <c r="A96" s="957"/>
      <c r="B96" s="44"/>
      <c r="C96" s="44"/>
      <c r="K96" s="38"/>
      <c r="L96" s="44"/>
      <c r="M96" s="44"/>
      <c r="N96" s="38"/>
      <c r="O96" s="38"/>
      <c r="P96" s="38"/>
      <c r="Q96" s="38"/>
      <c r="R96" s="44"/>
      <c r="S96" s="38"/>
      <c r="T96" s="38"/>
      <c r="U96" s="958"/>
      <c r="V96" s="38"/>
      <c r="W96" s="38"/>
      <c r="X96" s="38"/>
      <c r="Y96" s="38"/>
      <c r="Z96" s="38"/>
      <c r="AA96" s="575"/>
      <c r="AB96" s="976"/>
      <c r="AC96" s="976"/>
      <c r="AD96" s="976"/>
      <c r="AE96" s="976"/>
      <c r="AF96" s="37">
        <v>11</v>
      </c>
    </row>
    <row r="97" s="37" customFormat="1" ht="11.55" customHeight="1" spans="1:32">
      <c r="A97" s="957"/>
      <c r="B97" s="44"/>
      <c r="C97" s="44"/>
      <c r="K97" s="38"/>
      <c r="L97" s="44"/>
      <c r="M97" s="44"/>
      <c r="N97" s="38"/>
      <c r="O97" s="38"/>
      <c r="P97" s="38"/>
      <c r="Q97" s="38"/>
      <c r="R97" s="44"/>
      <c r="S97" s="38"/>
      <c r="T97" s="38"/>
      <c r="U97" s="958"/>
      <c r="V97" s="38"/>
      <c r="W97" s="38"/>
      <c r="X97" s="38"/>
      <c r="Y97" s="38"/>
      <c r="Z97" s="38"/>
      <c r="AA97" s="575"/>
      <c r="AB97" s="976"/>
      <c r="AC97" s="976"/>
      <c r="AD97" s="976"/>
      <c r="AE97" s="976"/>
      <c r="AF97" s="37">
        <v>11</v>
      </c>
    </row>
    <row r="98" s="37" customFormat="1" ht="11.55" customHeight="1" spans="1:32">
      <c r="A98" s="957"/>
      <c r="B98" s="44"/>
      <c r="C98" s="44"/>
      <c r="K98" s="38"/>
      <c r="L98" s="44"/>
      <c r="M98" s="44"/>
      <c r="N98" s="38"/>
      <c r="O98" s="38"/>
      <c r="P98" s="38"/>
      <c r="Q98" s="38"/>
      <c r="R98" s="44"/>
      <c r="S98" s="38"/>
      <c r="T98" s="38"/>
      <c r="U98" s="958"/>
      <c r="V98" s="38"/>
      <c r="W98" s="38"/>
      <c r="X98" s="38"/>
      <c r="Y98" s="38"/>
      <c r="Z98" s="38"/>
      <c r="AA98" s="575"/>
      <c r="AB98" s="976"/>
      <c r="AC98" s="976"/>
      <c r="AD98" s="976"/>
      <c r="AE98" s="976"/>
      <c r="AF98" s="37">
        <v>11</v>
      </c>
    </row>
    <row r="99" s="37" customFormat="1" ht="11.55" customHeight="1" spans="1:32">
      <c r="A99" s="957"/>
      <c r="B99" s="44"/>
      <c r="C99" s="44"/>
      <c r="K99" s="38"/>
      <c r="L99" s="44"/>
      <c r="M99" s="44"/>
      <c r="N99" s="38"/>
      <c r="O99" s="38"/>
      <c r="P99" s="38"/>
      <c r="Q99" s="38"/>
      <c r="R99" s="44"/>
      <c r="S99" s="38"/>
      <c r="T99" s="38"/>
      <c r="U99" s="958"/>
      <c r="V99" s="38"/>
      <c r="W99" s="38"/>
      <c r="X99" s="38"/>
      <c r="Y99" s="38"/>
      <c r="Z99" s="38"/>
      <c r="AA99" s="575"/>
      <c r="AB99" s="976"/>
      <c r="AC99" s="976"/>
      <c r="AD99" s="976"/>
      <c r="AE99" s="976"/>
      <c r="AF99" s="37">
        <v>11</v>
      </c>
    </row>
    <row r="100" s="37" customFormat="1" ht="11.55" customHeight="1" spans="1:32">
      <c r="A100" s="957"/>
      <c r="B100" s="44"/>
      <c r="C100" s="44"/>
      <c r="K100" s="38"/>
      <c r="L100" s="44"/>
      <c r="M100" s="44"/>
      <c r="N100" s="38"/>
      <c r="O100" s="38"/>
      <c r="P100" s="38"/>
      <c r="Q100" s="38"/>
      <c r="R100" s="44"/>
      <c r="S100" s="38"/>
      <c r="T100" s="38"/>
      <c r="U100" s="958"/>
      <c r="V100" s="38"/>
      <c r="W100" s="38"/>
      <c r="X100" s="38"/>
      <c r="Y100" s="38"/>
      <c r="Z100" s="38"/>
      <c r="AA100" s="575"/>
      <c r="AB100" s="976"/>
      <c r="AC100" s="976"/>
      <c r="AD100" s="976"/>
      <c r="AE100" s="976"/>
      <c r="AF100" s="37">
        <v>11</v>
      </c>
    </row>
    <row r="101" s="37" customFormat="1" ht="11.55" customHeight="1" spans="1:32">
      <c r="A101" s="957"/>
      <c r="B101" s="44"/>
      <c r="C101" s="44"/>
      <c r="K101" s="38"/>
      <c r="L101" s="44"/>
      <c r="M101" s="44"/>
      <c r="N101" s="38"/>
      <c r="O101" s="38"/>
      <c r="P101" s="38"/>
      <c r="Q101" s="38"/>
      <c r="R101" s="44"/>
      <c r="S101" s="38"/>
      <c r="T101" s="38"/>
      <c r="U101" s="958"/>
      <c r="V101" s="38"/>
      <c r="W101" s="38"/>
      <c r="X101" s="38"/>
      <c r="Y101" s="38"/>
      <c r="Z101" s="38"/>
      <c r="AA101" s="575"/>
      <c r="AB101" s="976"/>
      <c r="AC101" s="976"/>
      <c r="AD101" s="976"/>
      <c r="AE101" s="976"/>
      <c r="AF101" s="37">
        <v>11</v>
      </c>
    </row>
    <row r="102" s="37" customFormat="1" ht="11.55" customHeight="1" spans="1:32">
      <c r="A102" s="957"/>
      <c r="B102" s="44"/>
      <c r="C102" s="44"/>
      <c r="K102" s="38"/>
      <c r="L102" s="44"/>
      <c r="M102" s="44"/>
      <c r="N102" s="38"/>
      <c r="O102" s="38"/>
      <c r="P102" s="38"/>
      <c r="Q102" s="38"/>
      <c r="R102" s="44"/>
      <c r="S102" s="38"/>
      <c r="T102" s="38"/>
      <c r="U102" s="958"/>
      <c r="V102" s="38"/>
      <c r="W102" s="38"/>
      <c r="X102" s="38"/>
      <c r="Y102" s="38"/>
      <c r="Z102" s="38"/>
      <c r="AA102" s="575"/>
      <c r="AB102" s="976"/>
      <c r="AC102" s="976"/>
      <c r="AD102" s="976"/>
      <c r="AE102" s="976"/>
      <c r="AF102" s="37">
        <v>11</v>
      </c>
    </row>
    <row r="103" s="37" customFormat="1" ht="11.55" customHeight="1" spans="1:32">
      <c r="A103" s="957"/>
      <c r="B103" s="44"/>
      <c r="C103" s="44"/>
      <c r="K103" s="38"/>
      <c r="L103" s="44"/>
      <c r="M103" s="44"/>
      <c r="N103" s="38"/>
      <c r="O103" s="38"/>
      <c r="P103" s="38"/>
      <c r="Q103" s="38"/>
      <c r="R103" s="44"/>
      <c r="S103" s="38"/>
      <c r="T103" s="38"/>
      <c r="U103" s="958"/>
      <c r="V103" s="38"/>
      <c r="W103" s="38"/>
      <c r="X103" s="38"/>
      <c r="Y103" s="38"/>
      <c r="Z103" s="38"/>
      <c r="AA103" s="575"/>
      <c r="AB103" s="976"/>
      <c r="AC103" s="976"/>
      <c r="AD103" s="976"/>
      <c r="AE103" s="976"/>
      <c r="AF103" s="37">
        <v>11</v>
      </c>
    </row>
    <row r="104" s="37" customFormat="1" ht="11.55" customHeight="1" spans="1:32">
      <c r="A104" s="957"/>
      <c r="B104" s="44"/>
      <c r="C104" s="44"/>
      <c r="K104" s="38"/>
      <c r="L104" s="44"/>
      <c r="M104" s="44"/>
      <c r="N104" s="38"/>
      <c r="O104" s="38"/>
      <c r="P104" s="38"/>
      <c r="Q104" s="38"/>
      <c r="R104" s="44"/>
      <c r="S104" s="38"/>
      <c r="T104" s="38"/>
      <c r="U104" s="958"/>
      <c r="V104" s="38"/>
      <c r="W104" s="38"/>
      <c r="X104" s="38"/>
      <c r="Y104" s="38"/>
      <c r="Z104" s="38"/>
      <c r="AA104" s="575"/>
      <c r="AB104" s="976"/>
      <c r="AC104" s="976"/>
      <c r="AD104" s="976"/>
      <c r="AE104" s="976"/>
      <c r="AF104" s="37">
        <v>11</v>
      </c>
    </row>
    <row r="105" s="37" customFormat="1" ht="11.55" customHeight="1" spans="1:32">
      <c r="A105" s="957"/>
      <c r="B105" s="44"/>
      <c r="C105" s="44"/>
      <c r="K105" s="38"/>
      <c r="L105" s="44"/>
      <c r="M105" s="44"/>
      <c r="N105" s="38"/>
      <c r="O105" s="38"/>
      <c r="P105" s="38"/>
      <c r="Q105" s="38"/>
      <c r="R105" s="44"/>
      <c r="S105" s="38"/>
      <c r="T105" s="38"/>
      <c r="U105" s="958"/>
      <c r="V105" s="38"/>
      <c r="W105" s="38"/>
      <c r="X105" s="38"/>
      <c r="Y105" s="38"/>
      <c r="Z105" s="38"/>
      <c r="AA105" s="575"/>
      <c r="AB105" s="976"/>
      <c r="AC105" s="976"/>
      <c r="AD105" s="976"/>
      <c r="AE105" s="976"/>
      <c r="AF105" s="37">
        <v>11</v>
      </c>
    </row>
    <row r="106" s="37" customFormat="1" ht="11.55" customHeight="1" spans="1:32">
      <c r="A106" s="957"/>
      <c r="B106" s="44"/>
      <c r="C106" s="44"/>
      <c r="K106" s="38"/>
      <c r="L106" s="44"/>
      <c r="M106" s="44"/>
      <c r="N106" s="38"/>
      <c r="O106" s="38"/>
      <c r="P106" s="38"/>
      <c r="Q106" s="38"/>
      <c r="R106" s="44"/>
      <c r="S106" s="38"/>
      <c r="T106" s="38"/>
      <c r="U106" s="958"/>
      <c r="V106" s="38"/>
      <c r="W106" s="38"/>
      <c r="X106" s="38"/>
      <c r="Y106" s="38"/>
      <c r="Z106" s="38"/>
      <c r="AA106" s="575"/>
      <c r="AB106" s="976"/>
      <c r="AC106" s="976"/>
      <c r="AD106" s="976"/>
      <c r="AE106" s="976"/>
      <c r="AF106" s="37">
        <v>11</v>
      </c>
    </row>
    <row r="107" s="37" customFormat="1" ht="11.55" customHeight="1" spans="1:32">
      <c r="A107" s="957"/>
      <c r="B107" s="44"/>
      <c r="C107" s="44"/>
      <c r="K107" s="38"/>
      <c r="L107" s="44"/>
      <c r="M107" s="44"/>
      <c r="N107" s="38"/>
      <c r="O107" s="38"/>
      <c r="P107" s="38"/>
      <c r="Q107" s="38"/>
      <c r="R107" s="44"/>
      <c r="S107" s="38"/>
      <c r="T107" s="38"/>
      <c r="U107" s="958"/>
      <c r="V107" s="38"/>
      <c r="W107" s="38"/>
      <c r="X107" s="38"/>
      <c r="Y107" s="38"/>
      <c r="Z107" s="38"/>
      <c r="AA107" s="575"/>
      <c r="AB107" s="976"/>
      <c r="AC107" s="976"/>
      <c r="AD107" s="976"/>
      <c r="AE107" s="976"/>
      <c r="AF107" s="37">
        <v>11</v>
      </c>
    </row>
    <row r="108" s="37" customFormat="1" ht="11.55" customHeight="1" spans="1:32">
      <c r="A108" s="957"/>
      <c r="B108" s="44"/>
      <c r="C108" s="44"/>
      <c r="K108" s="38"/>
      <c r="L108" s="44"/>
      <c r="M108" s="44"/>
      <c r="N108" s="38"/>
      <c r="O108" s="38"/>
      <c r="P108" s="38"/>
      <c r="Q108" s="38"/>
      <c r="R108" s="44"/>
      <c r="S108" s="38"/>
      <c r="T108" s="38"/>
      <c r="U108" s="958"/>
      <c r="V108" s="38"/>
      <c r="W108" s="38"/>
      <c r="X108" s="38"/>
      <c r="Y108" s="38"/>
      <c r="Z108" s="38"/>
      <c r="AA108" s="575"/>
      <c r="AB108" s="976"/>
      <c r="AC108" s="976"/>
      <c r="AD108" s="976"/>
      <c r="AE108" s="976"/>
      <c r="AF108" s="37">
        <v>11</v>
      </c>
    </row>
    <row r="109" s="37" customFormat="1" ht="11.55" customHeight="1" spans="1:32">
      <c r="A109" s="957"/>
      <c r="B109" s="44"/>
      <c r="C109" s="44"/>
      <c r="K109" s="38"/>
      <c r="L109" s="44"/>
      <c r="M109" s="44"/>
      <c r="N109" s="38"/>
      <c r="O109" s="38"/>
      <c r="P109" s="38"/>
      <c r="Q109" s="38"/>
      <c r="R109" s="44"/>
      <c r="S109" s="38"/>
      <c r="T109" s="38"/>
      <c r="U109" s="958"/>
      <c r="V109" s="38"/>
      <c r="W109" s="38"/>
      <c r="X109" s="38"/>
      <c r="Y109" s="38"/>
      <c r="Z109" s="38"/>
      <c r="AA109" s="575"/>
      <c r="AB109" s="976"/>
      <c r="AC109" s="976"/>
      <c r="AD109" s="976"/>
      <c r="AE109" s="976"/>
      <c r="AF109" s="37">
        <v>11</v>
      </c>
    </row>
    <row r="110" s="37" customFormat="1" ht="11.55" customHeight="1" spans="1:32">
      <c r="A110" s="957"/>
      <c r="B110" s="44"/>
      <c r="C110" s="44"/>
      <c r="K110" s="38"/>
      <c r="L110" s="44"/>
      <c r="M110" s="44"/>
      <c r="N110" s="38"/>
      <c r="O110" s="38"/>
      <c r="P110" s="38"/>
      <c r="Q110" s="38"/>
      <c r="R110" s="44"/>
      <c r="S110" s="38"/>
      <c r="T110" s="38"/>
      <c r="U110" s="958"/>
      <c r="V110" s="38"/>
      <c r="W110" s="38"/>
      <c r="X110" s="38"/>
      <c r="Y110" s="38"/>
      <c r="Z110" s="38"/>
      <c r="AA110" s="575"/>
      <c r="AB110" s="976"/>
      <c r="AC110" s="976"/>
      <c r="AD110" s="976"/>
      <c r="AE110" s="976"/>
      <c r="AF110" s="37">
        <v>11</v>
      </c>
    </row>
    <row r="111" s="37" customFormat="1" ht="11.55" customHeight="1" spans="1:32">
      <c r="A111" s="957"/>
      <c r="B111" s="44"/>
      <c r="C111" s="44"/>
      <c r="K111" s="38"/>
      <c r="L111" s="44"/>
      <c r="M111" s="44"/>
      <c r="N111" s="38"/>
      <c r="O111" s="38"/>
      <c r="P111" s="38"/>
      <c r="Q111" s="38"/>
      <c r="R111" s="44"/>
      <c r="S111" s="38"/>
      <c r="T111" s="38"/>
      <c r="U111" s="958"/>
      <c r="V111" s="38"/>
      <c r="W111" s="38"/>
      <c r="X111" s="38"/>
      <c r="Y111" s="38"/>
      <c r="Z111" s="38"/>
      <c r="AA111" s="575"/>
      <c r="AB111" s="976"/>
      <c r="AC111" s="976"/>
      <c r="AD111" s="976"/>
      <c r="AE111" s="976"/>
      <c r="AF111" s="37">
        <v>11</v>
      </c>
    </row>
    <row r="112" s="37" customFormat="1" ht="11.55" customHeight="1" spans="1:32">
      <c r="A112" s="957"/>
      <c r="B112" s="44"/>
      <c r="C112" s="44"/>
      <c r="K112" s="38"/>
      <c r="L112" s="44"/>
      <c r="M112" s="44"/>
      <c r="N112" s="38"/>
      <c r="O112" s="38"/>
      <c r="P112" s="38"/>
      <c r="Q112" s="38"/>
      <c r="R112" s="44"/>
      <c r="S112" s="38"/>
      <c r="T112" s="38"/>
      <c r="U112" s="958"/>
      <c r="V112" s="38"/>
      <c r="W112" s="38"/>
      <c r="X112" s="38"/>
      <c r="Y112" s="38"/>
      <c r="Z112" s="38"/>
      <c r="AA112" s="575"/>
      <c r="AB112" s="976"/>
      <c r="AC112" s="976"/>
      <c r="AD112" s="976"/>
      <c r="AE112" s="976"/>
      <c r="AF112" s="37">
        <v>11</v>
      </c>
    </row>
    <row r="113" s="37" customFormat="1" ht="11.55" customHeight="1" spans="1:32">
      <c r="A113" s="957"/>
      <c r="B113" s="44"/>
      <c r="C113" s="44"/>
      <c r="K113" s="38"/>
      <c r="L113" s="44"/>
      <c r="M113" s="44"/>
      <c r="N113" s="38"/>
      <c r="O113" s="38"/>
      <c r="P113" s="38"/>
      <c r="Q113" s="38"/>
      <c r="R113" s="44"/>
      <c r="S113" s="38"/>
      <c r="T113" s="38"/>
      <c r="U113" s="958"/>
      <c r="V113" s="38"/>
      <c r="W113" s="38"/>
      <c r="X113" s="38"/>
      <c r="Y113" s="38"/>
      <c r="Z113" s="38"/>
      <c r="AA113" s="575"/>
      <c r="AB113" s="976"/>
      <c r="AC113" s="976"/>
      <c r="AD113" s="976"/>
      <c r="AE113" s="976"/>
      <c r="AF113" s="37">
        <v>11</v>
      </c>
    </row>
    <row r="114" s="37" customFormat="1" ht="11.55" customHeight="1" spans="1:32">
      <c r="A114" s="957"/>
      <c r="B114" s="44"/>
      <c r="C114" s="44"/>
      <c r="K114" s="38"/>
      <c r="L114" s="44"/>
      <c r="M114" s="44"/>
      <c r="N114" s="38"/>
      <c r="O114" s="38"/>
      <c r="P114" s="38"/>
      <c r="Q114" s="38"/>
      <c r="R114" s="44"/>
      <c r="S114" s="38"/>
      <c r="T114" s="38"/>
      <c r="U114" s="958"/>
      <c r="V114" s="38"/>
      <c r="W114" s="38"/>
      <c r="X114" s="38"/>
      <c r="Y114" s="38"/>
      <c r="Z114" s="38"/>
      <c r="AA114" s="575"/>
      <c r="AB114" s="976"/>
      <c r="AC114" s="976"/>
      <c r="AD114" s="976"/>
      <c r="AE114" s="976"/>
      <c r="AF114" s="37">
        <v>11</v>
      </c>
    </row>
    <row r="115" s="37" customFormat="1" ht="11.55" customHeight="1" spans="1:32">
      <c r="A115" s="957"/>
      <c r="B115" s="44"/>
      <c r="C115" s="44"/>
      <c r="K115" s="38"/>
      <c r="L115" s="44"/>
      <c r="M115" s="44"/>
      <c r="N115" s="38"/>
      <c r="O115" s="38"/>
      <c r="P115" s="38"/>
      <c r="Q115" s="38"/>
      <c r="R115" s="44"/>
      <c r="S115" s="38"/>
      <c r="T115" s="38"/>
      <c r="U115" s="958"/>
      <c r="V115" s="38"/>
      <c r="W115" s="38"/>
      <c r="X115" s="38"/>
      <c r="Y115" s="38"/>
      <c r="Z115" s="38"/>
      <c r="AA115" s="575"/>
      <c r="AB115" s="976"/>
      <c r="AC115" s="976"/>
      <c r="AD115" s="976"/>
      <c r="AE115" s="976"/>
      <c r="AF115" s="37">
        <v>11</v>
      </c>
    </row>
    <row r="116" s="37" customFormat="1" ht="11.55" customHeight="1" spans="1:32">
      <c r="A116" s="957"/>
      <c r="B116" s="44"/>
      <c r="C116" s="44"/>
      <c r="K116" s="38"/>
      <c r="L116" s="44"/>
      <c r="M116" s="44"/>
      <c r="N116" s="38"/>
      <c r="O116" s="38"/>
      <c r="P116" s="38"/>
      <c r="Q116" s="38"/>
      <c r="R116" s="44"/>
      <c r="S116" s="38"/>
      <c r="T116" s="38"/>
      <c r="U116" s="958"/>
      <c r="V116" s="38"/>
      <c r="W116" s="38"/>
      <c r="X116" s="38"/>
      <c r="Y116" s="38"/>
      <c r="Z116" s="38"/>
      <c r="AA116" s="575"/>
      <c r="AB116" s="976"/>
      <c r="AC116" s="976"/>
      <c r="AD116" s="976"/>
      <c r="AE116" s="976"/>
      <c r="AF116" s="37">
        <v>11</v>
      </c>
    </row>
    <row r="117" s="37" customFormat="1" ht="11.55" customHeight="1" spans="1:32">
      <c r="A117" s="957"/>
      <c r="B117" s="44"/>
      <c r="C117" s="44"/>
      <c r="K117" s="38"/>
      <c r="L117" s="44"/>
      <c r="M117" s="44"/>
      <c r="N117" s="38"/>
      <c r="O117" s="38"/>
      <c r="P117" s="38"/>
      <c r="Q117" s="38"/>
      <c r="R117" s="44"/>
      <c r="S117" s="38"/>
      <c r="T117" s="38"/>
      <c r="U117" s="958"/>
      <c r="V117" s="38"/>
      <c r="W117" s="38"/>
      <c r="X117" s="38"/>
      <c r="Y117" s="38"/>
      <c r="Z117" s="38"/>
      <c r="AA117" s="575"/>
      <c r="AB117" s="976"/>
      <c r="AC117" s="976"/>
      <c r="AD117" s="976"/>
      <c r="AE117" s="976"/>
      <c r="AF117" s="37">
        <v>11</v>
      </c>
    </row>
    <row r="118" s="37" customFormat="1" ht="11.55" customHeight="1" spans="1:32">
      <c r="A118" s="957"/>
      <c r="B118" s="44"/>
      <c r="C118" s="44"/>
      <c r="K118" s="38"/>
      <c r="L118" s="44"/>
      <c r="M118" s="44"/>
      <c r="N118" s="38"/>
      <c r="O118" s="38"/>
      <c r="P118" s="38"/>
      <c r="Q118" s="38"/>
      <c r="R118" s="44"/>
      <c r="S118" s="38"/>
      <c r="T118" s="38"/>
      <c r="U118" s="958"/>
      <c r="V118" s="38"/>
      <c r="W118" s="38"/>
      <c r="X118" s="38"/>
      <c r="Y118" s="38"/>
      <c r="Z118" s="38"/>
      <c r="AA118" s="575"/>
      <c r="AB118" s="976"/>
      <c r="AC118" s="976"/>
      <c r="AD118" s="976"/>
      <c r="AE118" s="976"/>
      <c r="AF118" s="37">
        <v>11</v>
      </c>
    </row>
    <row r="119" s="37" customFormat="1" ht="11.55" customHeight="1" spans="1:32">
      <c r="A119" s="957"/>
      <c r="B119" s="44"/>
      <c r="C119" s="44"/>
      <c r="K119" s="38"/>
      <c r="L119" s="44"/>
      <c r="M119" s="44"/>
      <c r="N119" s="38"/>
      <c r="O119" s="38"/>
      <c r="P119" s="38"/>
      <c r="Q119" s="38"/>
      <c r="R119" s="44"/>
      <c r="S119" s="38"/>
      <c r="T119" s="38"/>
      <c r="U119" s="958"/>
      <c r="V119" s="38"/>
      <c r="W119" s="38"/>
      <c r="X119" s="38"/>
      <c r="Y119" s="38"/>
      <c r="Z119" s="38"/>
      <c r="AA119" s="575"/>
      <c r="AB119" s="976"/>
      <c r="AC119" s="976"/>
      <c r="AD119" s="976"/>
      <c r="AE119" s="976"/>
      <c r="AF119" s="37">
        <v>11</v>
      </c>
    </row>
    <row r="120" s="37" customFormat="1" ht="11.55" customHeight="1" spans="1:32">
      <c r="A120" s="957"/>
      <c r="B120" s="44"/>
      <c r="C120" s="44"/>
      <c r="K120" s="38"/>
      <c r="L120" s="44"/>
      <c r="M120" s="44"/>
      <c r="N120" s="38"/>
      <c r="O120" s="38"/>
      <c r="P120" s="38"/>
      <c r="Q120" s="38"/>
      <c r="R120" s="44"/>
      <c r="S120" s="38"/>
      <c r="T120" s="38"/>
      <c r="U120" s="958"/>
      <c r="V120" s="38"/>
      <c r="W120" s="38"/>
      <c r="X120" s="38"/>
      <c r="Y120" s="38"/>
      <c r="Z120" s="38"/>
      <c r="AA120" s="575"/>
      <c r="AB120" s="976"/>
      <c r="AC120" s="976"/>
      <c r="AD120" s="976"/>
      <c r="AE120" s="976"/>
      <c r="AF120" s="37">
        <v>11</v>
      </c>
    </row>
    <row r="121" s="37" customFormat="1" ht="11.55" customHeight="1" spans="1:32">
      <c r="A121" s="957"/>
      <c r="B121" s="44"/>
      <c r="C121" s="44"/>
      <c r="K121" s="38"/>
      <c r="L121" s="44"/>
      <c r="M121" s="44"/>
      <c r="N121" s="38"/>
      <c r="O121" s="38"/>
      <c r="P121" s="38"/>
      <c r="Q121" s="38"/>
      <c r="R121" s="44"/>
      <c r="S121" s="38"/>
      <c r="T121" s="38"/>
      <c r="U121" s="958"/>
      <c r="V121" s="38"/>
      <c r="W121" s="38"/>
      <c r="X121" s="38"/>
      <c r="Y121" s="38"/>
      <c r="Z121" s="38"/>
      <c r="AA121" s="575"/>
      <c r="AB121" s="976"/>
      <c r="AC121" s="976"/>
      <c r="AD121" s="976"/>
      <c r="AE121" s="976"/>
      <c r="AF121" s="37">
        <v>11</v>
      </c>
    </row>
    <row r="122" s="37" customFormat="1" ht="11.55" customHeight="1" spans="1:32">
      <c r="A122" s="957"/>
      <c r="B122" s="44"/>
      <c r="C122" s="44"/>
      <c r="K122" s="38"/>
      <c r="L122" s="44"/>
      <c r="M122" s="44"/>
      <c r="N122" s="38"/>
      <c r="O122" s="38"/>
      <c r="P122" s="38"/>
      <c r="Q122" s="38"/>
      <c r="R122" s="44"/>
      <c r="S122" s="38"/>
      <c r="T122" s="38"/>
      <c r="U122" s="958"/>
      <c r="V122" s="38"/>
      <c r="W122" s="38"/>
      <c r="X122" s="38"/>
      <c r="Y122" s="38"/>
      <c r="Z122" s="38"/>
      <c r="AA122" s="575"/>
      <c r="AB122" s="976"/>
      <c r="AC122" s="976"/>
      <c r="AD122" s="976"/>
      <c r="AE122" s="976"/>
      <c r="AF122" s="37">
        <v>11</v>
      </c>
    </row>
    <row r="123" s="37" customFormat="1" ht="11.55" customHeight="1" spans="1:32">
      <c r="A123" s="957"/>
      <c r="B123" s="44"/>
      <c r="C123" s="44"/>
      <c r="K123" s="38"/>
      <c r="L123" s="44"/>
      <c r="M123" s="44"/>
      <c r="N123" s="38"/>
      <c r="O123" s="38"/>
      <c r="P123" s="38"/>
      <c r="Q123" s="38"/>
      <c r="R123" s="44"/>
      <c r="S123" s="38"/>
      <c r="T123" s="38"/>
      <c r="U123" s="958"/>
      <c r="V123" s="38"/>
      <c r="W123" s="38"/>
      <c r="X123" s="38"/>
      <c r="Y123" s="38"/>
      <c r="Z123" s="38"/>
      <c r="AA123" s="575"/>
      <c r="AB123" s="976"/>
      <c r="AC123" s="976"/>
      <c r="AD123" s="976"/>
      <c r="AE123" s="976"/>
      <c r="AF123" s="37">
        <v>11</v>
      </c>
    </row>
    <row r="124" s="37" customFormat="1" ht="11.55" customHeight="1" spans="1:32">
      <c r="A124" s="957"/>
      <c r="B124" s="44"/>
      <c r="C124" s="44"/>
      <c r="K124" s="38"/>
      <c r="L124" s="44"/>
      <c r="M124" s="44"/>
      <c r="N124" s="38"/>
      <c r="O124" s="38"/>
      <c r="P124" s="38"/>
      <c r="Q124" s="38"/>
      <c r="R124" s="44"/>
      <c r="S124" s="38"/>
      <c r="T124" s="38"/>
      <c r="U124" s="958"/>
      <c r="V124" s="38"/>
      <c r="W124" s="38"/>
      <c r="X124" s="38"/>
      <c r="Y124" s="38"/>
      <c r="Z124" s="38"/>
      <c r="AA124" s="575"/>
      <c r="AB124" s="976"/>
      <c r="AC124" s="976"/>
      <c r="AD124" s="976"/>
      <c r="AE124" s="976"/>
      <c r="AF124" s="37">
        <v>11</v>
      </c>
    </row>
    <row r="125" s="37" customFormat="1" ht="11.55" customHeight="1" spans="1:32">
      <c r="A125" s="957"/>
      <c r="B125" s="44"/>
      <c r="C125" s="44"/>
      <c r="K125" s="38"/>
      <c r="L125" s="44"/>
      <c r="M125" s="44"/>
      <c r="N125" s="38"/>
      <c r="O125" s="38"/>
      <c r="P125" s="38"/>
      <c r="Q125" s="38"/>
      <c r="R125" s="44"/>
      <c r="S125" s="38"/>
      <c r="T125" s="38"/>
      <c r="U125" s="958"/>
      <c r="V125" s="38"/>
      <c r="W125" s="38"/>
      <c r="X125" s="38"/>
      <c r="Y125" s="38"/>
      <c r="Z125" s="38"/>
      <c r="AA125" s="575"/>
      <c r="AB125" s="976"/>
      <c r="AC125" s="976"/>
      <c r="AD125" s="976"/>
      <c r="AE125" s="976"/>
      <c r="AF125" s="37">
        <v>11</v>
      </c>
    </row>
    <row r="126" s="37" customFormat="1" ht="11.55" customHeight="1" spans="1:32">
      <c r="A126" s="957"/>
      <c r="B126" s="44"/>
      <c r="C126" s="44"/>
      <c r="K126" s="38"/>
      <c r="L126" s="44"/>
      <c r="M126" s="44"/>
      <c r="N126" s="38"/>
      <c r="O126" s="38"/>
      <c r="P126" s="38"/>
      <c r="Q126" s="38"/>
      <c r="R126" s="44"/>
      <c r="S126" s="38"/>
      <c r="T126" s="38"/>
      <c r="U126" s="958"/>
      <c r="V126" s="38"/>
      <c r="W126" s="38"/>
      <c r="X126" s="38"/>
      <c r="Y126" s="38"/>
      <c r="Z126" s="38"/>
      <c r="AA126" s="575"/>
      <c r="AB126" s="976"/>
      <c r="AC126" s="976"/>
      <c r="AD126" s="976"/>
      <c r="AE126" s="976"/>
      <c r="AF126" s="37">
        <v>11</v>
      </c>
    </row>
    <row r="127" s="37" customFormat="1" ht="11.55" customHeight="1" spans="1:32">
      <c r="A127" s="957"/>
      <c r="B127" s="44"/>
      <c r="C127" s="44"/>
      <c r="K127" s="38"/>
      <c r="L127" s="44"/>
      <c r="M127" s="44"/>
      <c r="N127" s="38"/>
      <c r="O127" s="38"/>
      <c r="P127" s="38"/>
      <c r="Q127" s="38"/>
      <c r="R127" s="44"/>
      <c r="S127" s="38"/>
      <c r="T127" s="38"/>
      <c r="U127" s="958"/>
      <c r="V127" s="38"/>
      <c r="W127" s="38"/>
      <c r="X127" s="38"/>
      <c r="Y127" s="38"/>
      <c r="Z127" s="38"/>
      <c r="AA127" s="575"/>
      <c r="AB127" s="976"/>
      <c r="AC127" s="976"/>
      <c r="AD127" s="976"/>
      <c r="AE127" s="976"/>
      <c r="AF127" s="37">
        <v>11</v>
      </c>
    </row>
    <row r="128" s="37" customFormat="1" ht="11.55" customHeight="1" spans="1:32">
      <c r="A128" s="957"/>
      <c r="B128" s="44"/>
      <c r="C128" s="44"/>
      <c r="K128" s="38"/>
      <c r="L128" s="44"/>
      <c r="M128" s="44"/>
      <c r="N128" s="38"/>
      <c r="O128" s="38"/>
      <c r="P128" s="38"/>
      <c r="Q128" s="38"/>
      <c r="R128" s="44"/>
      <c r="S128" s="38"/>
      <c r="T128" s="38"/>
      <c r="U128" s="958"/>
      <c r="V128" s="38"/>
      <c r="W128" s="38"/>
      <c r="X128" s="38"/>
      <c r="Y128" s="38"/>
      <c r="Z128" s="38"/>
      <c r="AA128" s="575"/>
      <c r="AB128" s="976"/>
      <c r="AC128" s="976"/>
      <c r="AD128" s="976"/>
      <c r="AE128" s="976"/>
      <c r="AF128" s="37">
        <v>11</v>
      </c>
    </row>
    <row r="129" s="37" customFormat="1" ht="11.55" customHeight="1" spans="1:32">
      <c r="A129" s="957"/>
      <c r="B129" s="44"/>
      <c r="C129" s="44"/>
      <c r="K129" s="38"/>
      <c r="L129" s="44"/>
      <c r="M129" s="44"/>
      <c r="N129" s="38"/>
      <c r="O129" s="38"/>
      <c r="P129" s="38"/>
      <c r="Q129" s="38"/>
      <c r="R129" s="44"/>
      <c r="S129" s="38"/>
      <c r="T129" s="38"/>
      <c r="U129" s="958"/>
      <c r="V129" s="38"/>
      <c r="W129" s="38"/>
      <c r="X129" s="38"/>
      <c r="Y129" s="38"/>
      <c r="Z129" s="38"/>
      <c r="AA129" s="575"/>
      <c r="AB129" s="976"/>
      <c r="AC129" s="976"/>
      <c r="AD129" s="976"/>
      <c r="AE129" s="976"/>
      <c r="AF129" s="37">
        <v>11</v>
      </c>
    </row>
    <row r="130" s="37" customFormat="1" ht="11.55" customHeight="1" spans="1:32">
      <c r="A130" s="957"/>
      <c r="B130" s="44"/>
      <c r="C130" s="44"/>
      <c r="K130" s="38"/>
      <c r="L130" s="44"/>
      <c r="M130" s="44"/>
      <c r="N130" s="38"/>
      <c r="O130" s="38"/>
      <c r="P130" s="38"/>
      <c r="Q130" s="38"/>
      <c r="R130" s="44"/>
      <c r="S130" s="38"/>
      <c r="T130" s="38"/>
      <c r="U130" s="958"/>
      <c r="V130" s="38"/>
      <c r="W130" s="38"/>
      <c r="X130" s="38"/>
      <c r="Y130" s="38"/>
      <c r="Z130" s="38"/>
      <c r="AA130" s="575"/>
      <c r="AB130" s="976"/>
      <c r="AC130" s="976"/>
      <c r="AD130" s="976"/>
      <c r="AE130" s="976"/>
      <c r="AF130" s="37">
        <v>11</v>
      </c>
    </row>
    <row r="131" s="37" customFormat="1" ht="11.55" customHeight="1" spans="1:32">
      <c r="A131" s="957"/>
      <c r="B131" s="44"/>
      <c r="C131" s="44"/>
      <c r="K131" s="38"/>
      <c r="L131" s="44"/>
      <c r="M131" s="44"/>
      <c r="N131" s="38"/>
      <c r="O131" s="38"/>
      <c r="P131" s="38"/>
      <c r="Q131" s="38"/>
      <c r="R131" s="44"/>
      <c r="S131" s="38"/>
      <c r="T131" s="38"/>
      <c r="U131" s="958"/>
      <c r="V131" s="38"/>
      <c r="W131" s="38"/>
      <c r="X131" s="38"/>
      <c r="Y131" s="38"/>
      <c r="Z131" s="38"/>
      <c r="AA131" s="575"/>
      <c r="AB131" s="976"/>
      <c r="AC131" s="976"/>
      <c r="AD131" s="976"/>
      <c r="AE131" s="976"/>
      <c r="AF131" s="37">
        <v>11</v>
      </c>
    </row>
    <row r="132" s="37" customFormat="1" ht="11.55" customHeight="1" spans="1:32">
      <c r="A132" s="957"/>
      <c r="B132" s="44"/>
      <c r="C132" s="44"/>
      <c r="K132" s="38"/>
      <c r="L132" s="44"/>
      <c r="M132" s="44"/>
      <c r="N132" s="38"/>
      <c r="O132" s="38"/>
      <c r="P132" s="38"/>
      <c r="Q132" s="38"/>
      <c r="R132" s="44"/>
      <c r="S132" s="38"/>
      <c r="T132" s="38"/>
      <c r="U132" s="958"/>
      <c r="V132" s="38"/>
      <c r="W132" s="38"/>
      <c r="X132" s="38"/>
      <c r="Y132" s="38"/>
      <c r="Z132" s="38"/>
      <c r="AA132" s="575"/>
      <c r="AB132" s="976"/>
      <c r="AC132" s="976"/>
      <c r="AD132" s="976"/>
      <c r="AE132" s="976"/>
      <c r="AF132" s="37">
        <v>11</v>
      </c>
    </row>
    <row r="133" s="37" customFormat="1" ht="11.55" customHeight="1" spans="1:32">
      <c r="A133" s="957"/>
      <c r="B133" s="44"/>
      <c r="C133" s="44"/>
      <c r="K133" s="38"/>
      <c r="L133" s="44"/>
      <c r="M133" s="44"/>
      <c r="N133" s="38"/>
      <c r="O133" s="38"/>
      <c r="P133" s="38"/>
      <c r="Q133" s="38"/>
      <c r="R133" s="44"/>
      <c r="S133" s="38"/>
      <c r="T133" s="38"/>
      <c r="U133" s="958"/>
      <c r="V133" s="38"/>
      <c r="W133" s="38"/>
      <c r="X133" s="38"/>
      <c r="Y133" s="38"/>
      <c r="Z133" s="38"/>
      <c r="AA133" s="575"/>
      <c r="AB133" s="976"/>
      <c r="AC133" s="976"/>
      <c r="AD133" s="976"/>
      <c r="AE133" s="976"/>
      <c r="AF133" s="37">
        <v>11</v>
      </c>
    </row>
    <row r="134" s="37" customFormat="1" ht="11.55" customHeight="1" spans="1:32">
      <c r="A134" s="957"/>
      <c r="B134" s="44"/>
      <c r="C134" s="44"/>
      <c r="K134" s="38"/>
      <c r="L134" s="44"/>
      <c r="M134" s="44"/>
      <c r="N134" s="38"/>
      <c r="O134" s="38"/>
      <c r="P134" s="38"/>
      <c r="Q134" s="38"/>
      <c r="R134" s="44"/>
      <c r="S134" s="38"/>
      <c r="T134" s="38"/>
      <c r="U134" s="958"/>
      <c r="V134" s="38"/>
      <c r="W134" s="38"/>
      <c r="X134" s="38"/>
      <c r="Y134" s="38"/>
      <c r="Z134" s="38"/>
      <c r="AA134" s="575"/>
      <c r="AB134" s="976"/>
      <c r="AC134" s="976"/>
      <c r="AD134" s="976"/>
      <c r="AE134" s="976"/>
      <c r="AF134" s="37">
        <v>11</v>
      </c>
    </row>
    <row r="135" s="37" customFormat="1" ht="11.55" customHeight="1" spans="1:32">
      <c r="A135" s="957"/>
      <c r="B135" s="44"/>
      <c r="C135" s="44"/>
      <c r="K135" s="38"/>
      <c r="L135" s="44"/>
      <c r="M135" s="44"/>
      <c r="N135" s="38"/>
      <c r="O135" s="38"/>
      <c r="P135" s="38"/>
      <c r="Q135" s="38"/>
      <c r="R135" s="44"/>
      <c r="S135" s="38"/>
      <c r="T135" s="38"/>
      <c r="U135" s="958"/>
      <c r="V135" s="38"/>
      <c r="W135" s="38"/>
      <c r="X135" s="38"/>
      <c r="Y135" s="38"/>
      <c r="Z135" s="38"/>
      <c r="AA135" s="575"/>
      <c r="AB135" s="976"/>
      <c r="AC135" s="976"/>
      <c r="AD135" s="976"/>
      <c r="AE135" s="976"/>
      <c r="AF135" s="37">
        <v>11</v>
      </c>
    </row>
    <row r="136" s="37" customFormat="1" ht="11.55" customHeight="1" spans="1:32">
      <c r="A136" s="957"/>
      <c r="B136" s="44"/>
      <c r="C136" s="44"/>
      <c r="K136" s="38"/>
      <c r="L136" s="44"/>
      <c r="M136" s="44"/>
      <c r="N136" s="38"/>
      <c r="O136" s="38"/>
      <c r="P136" s="38"/>
      <c r="Q136" s="38"/>
      <c r="R136" s="44"/>
      <c r="S136" s="38"/>
      <c r="T136" s="38"/>
      <c r="U136" s="958"/>
      <c r="V136" s="38"/>
      <c r="W136" s="38"/>
      <c r="X136" s="38"/>
      <c r="Y136" s="38"/>
      <c r="Z136" s="38"/>
      <c r="AA136" s="575"/>
      <c r="AB136" s="976"/>
      <c r="AC136" s="976"/>
      <c r="AD136" s="976"/>
      <c r="AE136" s="976"/>
      <c r="AF136" s="37">
        <v>11</v>
      </c>
    </row>
    <row r="137" s="37" customFormat="1" ht="11.55" customHeight="1" spans="1:32">
      <c r="A137" s="957"/>
      <c r="B137" s="44"/>
      <c r="C137" s="44"/>
      <c r="K137" s="38"/>
      <c r="L137" s="44"/>
      <c r="M137" s="44"/>
      <c r="N137" s="38"/>
      <c r="O137" s="38"/>
      <c r="P137" s="38"/>
      <c r="Q137" s="38"/>
      <c r="R137" s="44"/>
      <c r="S137" s="38"/>
      <c r="T137" s="38"/>
      <c r="U137" s="958"/>
      <c r="V137" s="38"/>
      <c r="W137" s="38"/>
      <c r="X137" s="38"/>
      <c r="Y137" s="38"/>
      <c r="Z137" s="38"/>
      <c r="AA137" s="575"/>
      <c r="AB137" s="976"/>
      <c r="AC137" s="976"/>
      <c r="AD137" s="976"/>
      <c r="AE137" s="976"/>
      <c r="AF137" s="37">
        <v>11</v>
      </c>
    </row>
    <row r="138" s="37" customFormat="1" ht="11.55" customHeight="1" spans="1:32">
      <c r="A138" s="957"/>
      <c r="B138" s="44"/>
      <c r="C138" s="44"/>
      <c r="K138" s="38"/>
      <c r="L138" s="44"/>
      <c r="M138" s="44"/>
      <c r="N138" s="38"/>
      <c r="O138" s="38"/>
      <c r="P138" s="38"/>
      <c r="Q138" s="38"/>
      <c r="R138" s="44"/>
      <c r="S138" s="38"/>
      <c r="T138" s="38"/>
      <c r="U138" s="958"/>
      <c r="V138" s="38"/>
      <c r="W138" s="38"/>
      <c r="X138" s="38"/>
      <c r="Y138" s="38"/>
      <c r="Z138" s="38"/>
      <c r="AA138" s="575"/>
      <c r="AB138" s="976"/>
      <c r="AC138" s="976"/>
      <c r="AD138" s="976"/>
      <c r="AE138" s="976"/>
      <c r="AF138" s="37">
        <v>11</v>
      </c>
    </row>
    <row r="139" s="37" customFormat="1" ht="11.55" customHeight="1" spans="1:32">
      <c r="A139" s="957"/>
      <c r="B139" s="44"/>
      <c r="C139" s="44"/>
      <c r="K139" s="38"/>
      <c r="L139" s="44"/>
      <c r="M139" s="44"/>
      <c r="N139" s="38"/>
      <c r="O139" s="38"/>
      <c r="P139" s="38"/>
      <c r="Q139" s="38"/>
      <c r="R139" s="44"/>
      <c r="S139" s="38"/>
      <c r="T139" s="38"/>
      <c r="U139" s="958"/>
      <c r="V139" s="38"/>
      <c r="W139" s="38"/>
      <c r="X139" s="38"/>
      <c r="Y139" s="38"/>
      <c r="Z139" s="38"/>
      <c r="AA139" s="575"/>
      <c r="AB139" s="976"/>
      <c r="AC139" s="976"/>
      <c r="AD139" s="976"/>
      <c r="AE139" s="976"/>
      <c r="AF139" s="37">
        <v>11</v>
      </c>
    </row>
    <row r="140" s="37" customFormat="1" ht="11.55" customHeight="1" spans="1:32">
      <c r="A140" s="957"/>
      <c r="B140" s="44"/>
      <c r="C140" s="44"/>
      <c r="K140" s="38"/>
      <c r="L140" s="44"/>
      <c r="M140" s="44"/>
      <c r="N140" s="38"/>
      <c r="O140" s="38"/>
      <c r="P140" s="38"/>
      <c r="Q140" s="38"/>
      <c r="R140" s="44"/>
      <c r="S140" s="38"/>
      <c r="T140" s="38"/>
      <c r="U140" s="958"/>
      <c r="V140" s="38"/>
      <c r="W140" s="38"/>
      <c r="X140" s="38"/>
      <c r="Y140" s="38"/>
      <c r="Z140" s="38"/>
      <c r="AA140" s="575"/>
      <c r="AB140" s="976"/>
      <c r="AC140" s="976"/>
      <c r="AD140" s="976"/>
      <c r="AE140" s="976"/>
      <c r="AF140" s="37">
        <v>11</v>
      </c>
    </row>
    <row r="141" s="37" customFormat="1" ht="11.55" customHeight="1" spans="1:32">
      <c r="A141" s="957"/>
      <c r="B141" s="44"/>
      <c r="C141" s="44"/>
      <c r="K141" s="38"/>
      <c r="L141" s="44"/>
      <c r="M141" s="44"/>
      <c r="N141" s="38"/>
      <c r="O141" s="38"/>
      <c r="P141" s="38"/>
      <c r="Q141" s="38"/>
      <c r="R141" s="44"/>
      <c r="S141" s="38"/>
      <c r="T141" s="38"/>
      <c r="U141" s="958"/>
      <c r="V141" s="38"/>
      <c r="W141" s="38"/>
      <c r="X141" s="38"/>
      <c r="Y141" s="38"/>
      <c r="Z141" s="38"/>
      <c r="AA141" s="575"/>
      <c r="AB141" s="976"/>
      <c r="AC141" s="976"/>
      <c r="AD141" s="976"/>
      <c r="AE141" s="976"/>
      <c r="AF141" s="37">
        <v>11</v>
      </c>
    </row>
    <row r="142" s="37" customFormat="1" ht="11.55" customHeight="1" spans="1:32">
      <c r="A142" s="957"/>
      <c r="B142" s="44"/>
      <c r="C142" s="44"/>
      <c r="K142" s="38"/>
      <c r="L142" s="44"/>
      <c r="M142" s="44"/>
      <c r="N142" s="38"/>
      <c r="O142" s="38"/>
      <c r="P142" s="38"/>
      <c r="Q142" s="38"/>
      <c r="R142" s="44"/>
      <c r="S142" s="38"/>
      <c r="T142" s="38"/>
      <c r="U142" s="958"/>
      <c r="V142" s="38"/>
      <c r="W142" s="38"/>
      <c r="X142" s="38"/>
      <c r="Y142" s="38"/>
      <c r="Z142" s="38"/>
      <c r="AA142" s="575"/>
      <c r="AB142" s="976"/>
      <c r="AC142" s="976"/>
      <c r="AD142" s="976"/>
      <c r="AE142" s="976"/>
      <c r="AF142" s="37">
        <v>11</v>
      </c>
    </row>
    <row r="143" s="37" customFormat="1" ht="11.55" customHeight="1" spans="1:32">
      <c r="A143" s="957"/>
      <c r="B143" s="44"/>
      <c r="C143" s="44"/>
      <c r="K143" s="38"/>
      <c r="L143" s="44"/>
      <c r="M143" s="44"/>
      <c r="N143" s="38"/>
      <c r="O143" s="38"/>
      <c r="P143" s="38"/>
      <c r="Q143" s="38"/>
      <c r="R143" s="44"/>
      <c r="S143" s="38"/>
      <c r="T143" s="38"/>
      <c r="U143" s="958"/>
      <c r="V143" s="38"/>
      <c r="W143" s="38"/>
      <c r="X143" s="38"/>
      <c r="Y143" s="38"/>
      <c r="Z143" s="38"/>
      <c r="AA143" s="575"/>
      <c r="AB143" s="976"/>
      <c r="AC143" s="976"/>
      <c r="AD143" s="976"/>
      <c r="AE143" s="976"/>
      <c r="AF143" s="37">
        <v>11</v>
      </c>
    </row>
    <row r="144" s="37" customFormat="1" ht="11.55" customHeight="1" spans="1:32">
      <c r="A144" s="957"/>
      <c r="B144" s="44"/>
      <c r="C144" s="44"/>
      <c r="K144" s="38"/>
      <c r="L144" s="44"/>
      <c r="M144" s="44"/>
      <c r="N144" s="38"/>
      <c r="O144" s="38"/>
      <c r="P144" s="38"/>
      <c r="Q144" s="38"/>
      <c r="R144" s="44"/>
      <c r="S144" s="38"/>
      <c r="T144" s="38"/>
      <c r="U144" s="958"/>
      <c r="V144" s="38"/>
      <c r="W144" s="38"/>
      <c r="X144" s="38"/>
      <c r="Y144" s="38"/>
      <c r="Z144" s="38"/>
      <c r="AA144" s="575"/>
      <c r="AB144" s="976"/>
      <c r="AC144" s="976"/>
      <c r="AD144" s="976"/>
      <c r="AE144" s="976"/>
      <c r="AF144" s="37">
        <v>11</v>
      </c>
    </row>
    <row r="145" s="37" customFormat="1" ht="11.55" customHeight="1" spans="1:32">
      <c r="A145" s="957"/>
      <c r="B145" s="44"/>
      <c r="C145" s="44"/>
      <c r="K145" s="38"/>
      <c r="L145" s="44"/>
      <c r="M145" s="44"/>
      <c r="N145" s="38"/>
      <c r="O145" s="38"/>
      <c r="P145" s="38"/>
      <c r="Q145" s="38"/>
      <c r="R145" s="44"/>
      <c r="S145" s="38"/>
      <c r="T145" s="38"/>
      <c r="U145" s="958"/>
      <c r="V145" s="38"/>
      <c r="W145" s="38"/>
      <c r="X145" s="38"/>
      <c r="Y145" s="38"/>
      <c r="Z145" s="38"/>
      <c r="AA145" s="575"/>
      <c r="AB145" s="976"/>
      <c r="AC145" s="976"/>
      <c r="AD145" s="976"/>
      <c r="AE145" s="976"/>
      <c r="AF145" s="37">
        <v>11</v>
      </c>
    </row>
    <row r="146" s="37" customFormat="1" ht="11.55" customHeight="1" spans="1:32">
      <c r="A146" s="957"/>
      <c r="B146" s="44"/>
      <c r="C146" s="44"/>
      <c r="K146" s="38"/>
      <c r="L146" s="44"/>
      <c r="M146" s="44"/>
      <c r="N146" s="38"/>
      <c r="O146" s="38"/>
      <c r="P146" s="38"/>
      <c r="Q146" s="38"/>
      <c r="R146" s="44"/>
      <c r="S146" s="38"/>
      <c r="T146" s="38"/>
      <c r="U146" s="958"/>
      <c r="V146" s="38"/>
      <c r="W146" s="38"/>
      <c r="X146" s="38"/>
      <c r="Y146" s="38"/>
      <c r="Z146" s="38"/>
      <c r="AA146" s="575"/>
      <c r="AB146" s="976"/>
      <c r="AC146" s="976"/>
      <c r="AD146" s="976"/>
      <c r="AE146" s="976"/>
      <c r="AF146" s="37">
        <v>11</v>
      </c>
    </row>
    <row r="147" s="37" customFormat="1" ht="11.55" customHeight="1" spans="1:32">
      <c r="A147" s="957"/>
      <c r="B147" s="44"/>
      <c r="C147" s="44"/>
      <c r="K147" s="38"/>
      <c r="L147" s="44"/>
      <c r="M147" s="44"/>
      <c r="N147" s="38"/>
      <c r="O147" s="38"/>
      <c r="P147" s="38"/>
      <c r="Q147" s="38"/>
      <c r="R147" s="44"/>
      <c r="S147" s="38"/>
      <c r="T147" s="38"/>
      <c r="U147" s="958"/>
      <c r="V147" s="38"/>
      <c r="W147" s="38"/>
      <c r="X147" s="38"/>
      <c r="Y147" s="38"/>
      <c r="Z147" s="38"/>
      <c r="AA147" s="575"/>
      <c r="AB147" s="976"/>
      <c r="AC147" s="976"/>
      <c r="AD147" s="976"/>
      <c r="AE147" s="976"/>
      <c r="AF147" s="37">
        <v>11</v>
      </c>
    </row>
    <row r="148" s="37" customFormat="1" ht="11.55" customHeight="1" spans="1:32">
      <c r="A148" s="957"/>
      <c r="B148" s="44"/>
      <c r="C148" s="44"/>
      <c r="K148" s="38"/>
      <c r="L148" s="44"/>
      <c r="M148" s="44"/>
      <c r="N148" s="38"/>
      <c r="O148" s="38"/>
      <c r="P148" s="38"/>
      <c r="Q148" s="38"/>
      <c r="R148" s="44"/>
      <c r="S148" s="38"/>
      <c r="T148" s="38"/>
      <c r="U148" s="958"/>
      <c r="V148" s="38"/>
      <c r="W148" s="38"/>
      <c r="X148" s="38"/>
      <c r="Y148" s="38"/>
      <c r="Z148" s="38"/>
      <c r="AA148" s="575"/>
      <c r="AB148" s="976"/>
      <c r="AC148" s="976"/>
      <c r="AD148" s="976"/>
      <c r="AE148" s="976"/>
      <c r="AF148" s="37">
        <v>11</v>
      </c>
    </row>
    <row r="149" s="37" customFormat="1" ht="11.55" customHeight="1" spans="1:32">
      <c r="A149" s="957"/>
      <c r="B149" s="44"/>
      <c r="C149" s="44"/>
      <c r="K149" s="38"/>
      <c r="L149" s="44"/>
      <c r="M149" s="44"/>
      <c r="N149" s="38"/>
      <c r="O149" s="38"/>
      <c r="P149" s="38"/>
      <c r="Q149" s="38"/>
      <c r="R149" s="44"/>
      <c r="S149" s="38"/>
      <c r="T149" s="38"/>
      <c r="U149" s="958"/>
      <c r="V149" s="38"/>
      <c r="W149" s="38"/>
      <c r="X149" s="38"/>
      <c r="Y149" s="38"/>
      <c r="Z149" s="38"/>
      <c r="AA149" s="575"/>
      <c r="AB149" s="976"/>
      <c r="AC149" s="976"/>
      <c r="AD149" s="976"/>
      <c r="AE149" s="976"/>
      <c r="AF149" s="37">
        <v>11</v>
      </c>
    </row>
    <row r="150" s="37" customFormat="1" ht="11.55" customHeight="1" spans="1:32">
      <c r="A150" s="957"/>
      <c r="B150" s="44"/>
      <c r="C150" s="44"/>
      <c r="K150" s="38"/>
      <c r="L150" s="44"/>
      <c r="M150" s="44"/>
      <c r="N150" s="38"/>
      <c r="O150" s="38"/>
      <c r="P150" s="38"/>
      <c r="Q150" s="38"/>
      <c r="R150" s="44"/>
      <c r="S150" s="38"/>
      <c r="T150" s="38"/>
      <c r="U150" s="958"/>
      <c r="V150" s="38"/>
      <c r="W150" s="38"/>
      <c r="X150" s="38"/>
      <c r="Y150" s="38"/>
      <c r="Z150" s="38"/>
      <c r="AA150" s="575"/>
      <c r="AB150" s="976"/>
      <c r="AC150" s="976"/>
      <c r="AD150" s="976"/>
      <c r="AE150" s="976"/>
      <c r="AF150" s="37">
        <v>11</v>
      </c>
    </row>
    <row r="151" s="37" customFormat="1" ht="11.55" customHeight="1" spans="1:32">
      <c r="A151" s="957"/>
      <c r="B151" s="44"/>
      <c r="C151" s="44"/>
      <c r="K151" s="38"/>
      <c r="L151" s="44"/>
      <c r="M151" s="44"/>
      <c r="N151" s="38"/>
      <c r="O151" s="38"/>
      <c r="P151" s="38"/>
      <c r="Q151" s="38"/>
      <c r="R151" s="44"/>
      <c r="S151" s="38"/>
      <c r="T151" s="38"/>
      <c r="U151" s="958"/>
      <c r="V151" s="38"/>
      <c r="W151" s="38"/>
      <c r="X151" s="38"/>
      <c r="Y151" s="38"/>
      <c r="Z151" s="38"/>
      <c r="AA151" s="575"/>
      <c r="AB151" s="976"/>
      <c r="AC151" s="976"/>
      <c r="AD151" s="976"/>
      <c r="AE151" s="976"/>
      <c r="AF151" s="37">
        <v>11</v>
      </c>
    </row>
    <row r="152" s="37" customFormat="1" ht="11.55" customHeight="1" spans="1:32">
      <c r="A152" s="957"/>
      <c r="B152" s="44"/>
      <c r="C152" s="44"/>
      <c r="K152" s="38"/>
      <c r="L152" s="44"/>
      <c r="M152" s="44"/>
      <c r="N152" s="38"/>
      <c r="O152" s="38"/>
      <c r="P152" s="38"/>
      <c r="Q152" s="38"/>
      <c r="R152" s="44"/>
      <c r="S152" s="38"/>
      <c r="T152" s="38"/>
      <c r="U152" s="958"/>
      <c r="V152" s="38"/>
      <c r="W152" s="38"/>
      <c r="X152" s="38"/>
      <c r="Y152" s="38"/>
      <c r="Z152" s="38"/>
      <c r="AA152" s="575"/>
      <c r="AB152" s="976"/>
      <c r="AC152" s="976"/>
      <c r="AD152" s="976"/>
      <c r="AE152" s="976"/>
      <c r="AF152" s="37">
        <v>11</v>
      </c>
    </row>
    <row r="153" s="37" customFormat="1" ht="11.55" customHeight="1" spans="1:32">
      <c r="A153" s="957"/>
      <c r="B153" s="44"/>
      <c r="C153" s="44"/>
      <c r="K153" s="38"/>
      <c r="L153" s="44"/>
      <c r="M153" s="44"/>
      <c r="N153" s="38"/>
      <c r="O153" s="38"/>
      <c r="P153" s="38"/>
      <c r="Q153" s="38"/>
      <c r="R153" s="44"/>
      <c r="S153" s="38"/>
      <c r="T153" s="38"/>
      <c r="U153" s="958"/>
      <c r="V153" s="38"/>
      <c r="W153" s="38"/>
      <c r="X153" s="38"/>
      <c r="Y153" s="38"/>
      <c r="Z153" s="38"/>
      <c r="AA153" s="575"/>
      <c r="AB153" s="976"/>
      <c r="AC153" s="976"/>
      <c r="AD153" s="976"/>
      <c r="AE153" s="976"/>
      <c r="AF153" s="37">
        <v>11</v>
      </c>
    </row>
    <row r="154" s="37" customFormat="1" ht="11.55" customHeight="1" spans="1:32">
      <c r="A154" s="957"/>
      <c r="B154" s="44"/>
      <c r="C154" s="44"/>
      <c r="K154" s="38"/>
      <c r="L154" s="44"/>
      <c r="M154" s="44"/>
      <c r="N154" s="38"/>
      <c r="O154" s="38"/>
      <c r="P154" s="38"/>
      <c r="Q154" s="38"/>
      <c r="R154" s="44"/>
      <c r="S154" s="38"/>
      <c r="T154" s="38"/>
      <c r="U154" s="958"/>
      <c r="V154" s="38"/>
      <c r="W154" s="38"/>
      <c r="X154" s="38"/>
      <c r="Y154" s="38"/>
      <c r="Z154" s="38"/>
      <c r="AA154" s="575"/>
      <c r="AB154" s="976"/>
      <c r="AC154" s="976"/>
      <c r="AD154" s="976"/>
      <c r="AE154" s="976"/>
      <c r="AF154" s="37">
        <v>11</v>
      </c>
    </row>
    <row r="155" s="37" customFormat="1" ht="11.55" customHeight="1" spans="1:32">
      <c r="A155" s="957"/>
      <c r="B155" s="44"/>
      <c r="C155" s="44"/>
      <c r="K155" s="38"/>
      <c r="L155" s="44"/>
      <c r="M155" s="44"/>
      <c r="N155" s="38"/>
      <c r="O155" s="38"/>
      <c r="P155" s="38"/>
      <c r="Q155" s="38"/>
      <c r="R155" s="44"/>
      <c r="S155" s="38"/>
      <c r="T155" s="38"/>
      <c r="U155" s="958"/>
      <c r="V155" s="38"/>
      <c r="W155" s="38"/>
      <c r="X155" s="38"/>
      <c r="Y155" s="38"/>
      <c r="Z155" s="38"/>
      <c r="AA155" s="575"/>
      <c r="AB155" s="976"/>
      <c r="AC155" s="976"/>
      <c r="AD155" s="976"/>
      <c r="AE155" s="976"/>
      <c r="AF155" s="37">
        <v>11</v>
      </c>
    </row>
    <row r="156" s="37" customFormat="1" ht="11.55" customHeight="1" spans="1:32">
      <c r="A156" s="957"/>
      <c r="B156" s="44"/>
      <c r="C156" s="44"/>
      <c r="K156" s="38"/>
      <c r="L156" s="44"/>
      <c r="M156" s="44"/>
      <c r="N156" s="38"/>
      <c r="O156" s="38"/>
      <c r="P156" s="38"/>
      <c r="Q156" s="38"/>
      <c r="R156" s="44"/>
      <c r="S156" s="38"/>
      <c r="T156" s="38"/>
      <c r="U156" s="958"/>
      <c r="V156" s="38"/>
      <c r="W156" s="38"/>
      <c r="X156" s="38"/>
      <c r="Y156" s="38"/>
      <c r="Z156" s="38"/>
      <c r="AA156" s="575"/>
      <c r="AB156" s="976"/>
      <c r="AC156" s="976"/>
      <c r="AD156" s="976"/>
      <c r="AE156" s="976"/>
      <c r="AF156" s="37">
        <v>11</v>
      </c>
    </row>
    <row r="157" s="37" customFormat="1" ht="11.55" customHeight="1" spans="1:32">
      <c r="A157" s="957"/>
      <c r="B157" s="44"/>
      <c r="C157" s="44"/>
      <c r="K157" s="38"/>
      <c r="L157" s="44"/>
      <c r="M157" s="44"/>
      <c r="N157" s="38"/>
      <c r="O157" s="38"/>
      <c r="P157" s="38"/>
      <c r="Q157" s="38"/>
      <c r="R157" s="44"/>
      <c r="S157" s="38"/>
      <c r="T157" s="38"/>
      <c r="U157" s="958"/>
      <c r="V157" s="38"/>
      <c r="W157" s="38"/>
      <c r="X157" s="38"/>
      <c r="Y157" s="38"/>
      <c r="Z157" s="38"/>
      <c r="AA157" s="575"/>
      <c r="AB157" s="976"/>
      <c r="AC157" s="976"/>
      <c r="AD157" s="976"/>
      <c r="AE157" s="976"/>
      <c r="AF157" s="37">
        <v>11</v>
      </c>
    </row>
    <row r="158" s="37" customFormat="1" ht="11.55" customHeight="1" spans="1:32">
      <c r="A158" s="957"/>
      <c r="B158" s="44"/>
      <c r="C158" s="44"/>
      <c r="K158" s="38"/>
      <c r="L158" s="44"/>
      <c r="M158" s="44"/>
      <c r="N158" s="38"/>
      <c r="O158" s="38"/>
      <c r="P158" s="38"/>
      <c r="Q158" s="38"/>
      <c r="R158" s="44"/>
      <c r="S158" s="38"/>
      <c r="T158" s="38"/>
      <c r="U158" s="958"/>
      <c r="V158" s="38"/>
      <c r="W158" s="38"/>
      <c r="X158" s="38"/>
      <c r="Y158" s="38"/>
      <c r="Z158" s="38"/>
      <c r="AA158" s="575"/>
      <c r="AB158" s="976"/>
      <c r="AC158" s="976"/>
      <c r="AD158" s="976"/>
      <c r="AE158" s="976"/>
      <c r="AF158" s="37">
        <v>11</v>
      </c>
    </row>
    <row r="159" s="37" customFormat="1" ht="11.55" customHeight="1" spans="1:32">
      <c r="A159" s="957"/>
      <c r="B159" s="44"/>
      <c r="C159" s="44"/>
      <c r="K159" s="38"/>
      <c r="L159" s="44"/>
      <c r="M159" s="44"/>
      <c r="N159" s="38"/>
      <c r="O159" s="38"/>
      <c r="P159" s="38"/>
      <c r="Q159" s="38"/>
      <c r="R159" s="44"/>
      <c r="S159" s="38"/>
      <c r="T159" s="38"/>
      <c r="U159" s="958"/>
      <c r="V159" s="38"/>
      <c r="W159" s="38"/>
      <c r="X159" s="38"/>
      <c r="Y159" s="38"/>
      <c r="Z159" s="38"/>
      <c r="AA159" s="575"/>
      <c r="AB159" s="976"/>
      <c r="AC159" s="976"/>
      <c r="AD159" s="976"/>
      <c r="AE159" s="976"/>
      <c r="AF159" s="37">
        <v>11</v>
      </c>
    </row>
    <row r="160" s="37" customFormat="1" ht="11.55" customHeight="1" spans="1:32">
      <c r="A160" s="957"/>
      <c r="B160" s="44"/>
      <c r="C160" s="44"/>
      <c r="K160" s="38"/>
      <c r="L160" s="44"/>
      <c r="M160" s="44"/>
      <c r="N160" s="38"/>
      <c r="O160" s="38"/>
      <c r="P160" s="38"/>
      <c r="Q160" s="38"/>
      <c r="R160" s="44"/>
      <c r="S160" s="38"/>
      <c r="T160" s="38"/>
      <c r="U160" s="958"/>
      <c r="V160" s="38"/>
      <c r="W160" s="38"/>
      <c r="X160" s="38"/>
      <c r="Y160" s="38"/>
      <c r="Z160" s="38"/>
      <c r="AA160" s="575"/>
      <c r="AB160" s="976"/>
      <c r="AC160" s="976"/>
      <c r="AD160" s="976"/>
      <c r="AE160" s="976"/>
      <c r="AF160" s="37">
        <v>11</v>
      </c>
    </row>
    <row r="161" s="37" customFormat="1" ht="11.55" customHeight="1" spans="1:32">
      <c r="A161" s="957"/>
      <c r="B161" s="44"/>
      <c r="C161" s="44"/>
      <c r="K161" s="38"/>
      <c r="L161" s="44"/>
      <c r="M161" s="44"/>
      <c r="N161" s="38"/>
      <c r="O161" s="38"/>
      <c r="P161" s="38"/>
      <c r="Q161" s="38"/>
      <c r="R161" s="44"/>
      <c r="S161" s="38"/>
      <c r="T161" s="38"/>
      <c r="U161" s="958"/>
      <c r="V161" s="38"/>
      <c r="W161" s="38"/>
      <c r="X161" s="38"/>
      <c r="Y161" s="38"/>
      <c r="Z161" s="38"/>
      <c r="AA161" s="575"/>
      <c r="AB161" s="976"/>
      <c r="AC161" s="976"/>
      <c r="AD161" s="976"/>
      <c r="AE161" s="976"/>
      <c r="AF161" s="37">
        <v>11</v>
      </c>
    </row>
    <row r="162" s="37" customFormat="1" ht="11.55" customHeight="1" spans="1:32">
      <c r="A162" s="957"/>
      <c r="B162" s="44"/>
      <c r="C162" s="44"/>
      <c r="K162" s="38"/>
      <c r="L162" s="44"/>
      <c r="M162" s="44"/>
      <c r="N162" s="38"/>
      <c r="O162" s="38"/>
      <c r="P162" s="38"/>
      <c r="Q162" s="38"/>
      <c r="R162" s="44"/>
      <c r="S162" s="38"/>
      <c r="T162" s="38"/>
      <c r="U162" s="958"/>
      <c r="V162" s="38"/>
      <c r="W162" s="38"/>
      <c r="X162" s="38"/>
      <c r="Y162" s="38"/>
      <c r="Z162" s="38"/>
      <c r="AA162" s="575"/>
      <c r="AB162" s="976"/>
      <c r="AC162" s="976"/>
      <c r="AD162" s="976"/>
      <c r="AE162" s="976"/>
      <c r="AF162" s="37">
        <v>11</v>
      </c>
    </row>
    <row r="163" s="37" customFormat="1" ht="11.55" customHeight="1" spans="1:32">
      <c r="A163" s="957"/>
      <c r="B163" s="44"/>
      <c r="C163" s="44"/>
      <c r="K163" s="38"/>
      <c r="L163" s="44"/>
      <c r="M163" s="44"/>
      <c r="N163" s="38"/>
      <c r="O163" s="38"/>
      <c r="P163" s="38"/>
      <c r="Q163" s="38"/>
      <c r="R163" s="44"/>
      <c r="S163" s="38"/>
      <c r="T163" s="38"/>
      <c r="U163" s="958"/>
      <c r="V163" s="38"/>
      <c r="W163" s="38"/>
      <c r="X163" s="38"/>
      <c r="Y163" s="38"/>
      <c r="Z163" s="38"/>
      <c r="AA163" s="575"/>
      <c r="AB163" s="976"/>
      <c r="AC163" s="976"/>
      <c r="AD163" s="976"/>
      <c r="AE163" s="976"/>
      <c r="AF163" s="37">
        <v>11</v>
      </c>
    </row>
    <row r="164" s="37" customFormat="1" ht="11.55" customHeight="1" spans="1:32">
      <c r="A164" s="957"/>
      <c r="B164" s="44"/>
      <c r="C164" s="44"/>
      <c r="K164" s="38"/>
      <c r="L164" s="44"/>
      <c r="M164" s="44"/>
      <c r="N164" s="38"/>
      <c r="O164" s="38"/>
      <c r="P164" s="38"/>
      <c r="Q164" s="38"/>
      <c r="R164" s="44"/>
      <c r="S164" s="38"/>
      <c r="T164" s="38"/>
      <c r="U164" s="958"/>
      <c r="V164" s="38"/>
      <c r="W164" s="38"/>
      <c r="X164" s="38"/>
      <c r="Y164" s="38"/>
      <c r="Z164" s="38"/>
      <c r="AA164" s="575"/>
      <c r="AB164" s="976"/>
      <c r="AC164" s="976"/>
      <c r="AD164" s="976"/>
      <c r="AE164" s="976"/>
      <c r="AF164" s="37">
        <v>11</v>
      </c>
    </row>
    <row r="165" s="37" customFormat="1" ht="11.55" customHeight="1" spans="1:32">
      <c r="A165" s="957"/>
      <c r="B165" s="44"/>
      <c r="C165" s="44"/>
      <c r="K165" s="38"/>
      <c r="L165" s="44"/>
      <c r="M165" s="44"/>
      <c r="N165" s="38"/>
      <c r="O165" s="38"/>
      <c r="P165" s="38"/>
      <c r="Q165" s="38"/>
      <c r="R165" s="44"/>
      <c r="S165" s="38"/>
      <c r="T165" s="38"/>
      <c r="U165" s="958"/>
      <c r="V165" s="38"/>
      <c r="W165" s="38"/>
      <c r="X165" s="38"/>
      <c r="Y165" s="38"/>
      <c r="Z165" s="38"/>
      <c r="AA165" s="575"/>
      <c r="AB165" s="976"/>
      <c r="AC165" s="976"/>
      <c r="AD165" s="976"/>
      <c r="AE165" s="976"/>
      <c r="AF165" s="37">
        <v>11</v>
      </c>
    </row>
    <row r="166" s="37" customFormat="1" ht="11.55" customHeight="1" spans="1:32">
      <c r="A166" s="957"/>
      <c r="B166" s="44"/>
      <c r="C166" s="44"/>
      <c r="K166" s="38"/>
      <c r="L166" s="44"/>
      <c r="M166" s="44"/>
      <c r="N166" s="38"/>
      <c r="O166" s="38"/>
      <c r="P166" s="38"/>
      <c r="Q166" s="38"/>
      <c r="R166" s="44"/>
      <c r="S166" s="38"/>
      <c r="T166" s="38"/>
      <c r="U166" s="958"/>
      <c r="V166" s="38"/>
      <c r="W166" s="38"/>
      <c r="X166" s="38"/>
      <c r="Y166" s="38"/>
      <c r="Z166" s="38"/>
      <c r="AA166" s="575"/>
      <c r="AB166" s="976"/>
      <c r="AC166" s="976"/>
      <c r="AD166" s="976"/>
      <c r="AE166" s="976"/>
      <c r="AF166" s="37">
        <v>11</v>
      </c>
    </row>
    <row r="167" s="37" customFormat="1" ht="11.55" customHeight="1" spans="1:32">
      <c r="A167" s="957"/>
      <c r="B167" s="44"/>
      <c r="C167" s="44"/>
      <c r="K167" s="38"/>
      <c r="L167" s="44"/>
      <c r="M167" s="44"/>
      <c r="N167" s="38"/>
      <c r="O167" s="38"/>
      <c r="P167" s="38"/>
      <c r="Q167" s="38"/>
      <c r="R167" s="44"/>
      <c r="S167" s="38"/>
      <c r="T167" s="38"/>
      <c r="U167" s="958"/>
      <c r="V167" s="38"/>
      <c r="W167" s="38"/>
      <c r="X167" s="38"/>
      <c r="Y167" s="38"/>
      <c r="Z167" s="38"/>
      <c r="AA167" s="575"/>
      <c r="AB167" s="976"/>
      <c r="AC167" s="976"/>
      <c r="AD167" s="976"/>
      <c r="AE167" s="976"/>
      <c r="AF167" s="37">
        <v>11</v>
      </c>
    </row>
    <row r="168" s="37" customFormat="1" ht="11.55" customHeight="1" spans="1:32">
      <c r="A168" s="957"/>
      <c r="B168" s="44"/>
      <c r="C168" s="44"/>
      <c r="K168" s="38"/>
      <c r="L168" s="44"/>
      <c r="M168" s="44"/>
      <c r="N168" s="38"/>
      <c r="O168" s="38"/>
      <c r="P168" s="38"/>
      <c r="Q168" s="38"/>
      <c r="R168" s="44"/>
      <c r="S168" s="38"/>
      <c r="T168" s="38"/>
      <c r="U168" s="958"/>
      <c r="V168" s="38"/>
      <c r="W168" s="38"/>
      <c r="X168" s="38"/>
      <c r="Y168" s="38"/>
      <c r="Z168" s="38"/>
      <c r="AA168" s="575"/>
      <c r="AB168" s="976"/>
      <c r="AC168" s="976"/>
      <c r="AD168" s="976"/>
      <c r="AE168" s="976"/>
      <c r="AF168" s="37">
        <v>11</v>
      </c>
    </row>
    <row r="169" s="37" customFormat="1" ht="11.55" customHeight="1" spans="1:32">
      <c r="A169" s="957"/>
      <c r="B169" s="44"/>
      <c r="C169" s="44"/>
      <c r="K169" s="38"/>
      <c r="L169" s="44"/>
      <c r="M169" s="44"/>
      <c r="N169" s="38"/>
      <c r="O169" s="38"/>
      <c r="P169" s="38"/>
      <c r="Q169" s="38"/>
      <c r="R169" s="44"/>
      <c r="S169" s="38"/>
      <c r="T169" s="38"/>
      <c r="U169" s="958"/>
      <c r="V169" s="38"/>
      <c r="W169" s="38"/>
      <c r="X169" s="38"/>
      <c r="Y169" s="38"/>
      <c r="Z169" s="38"/>
      <c r="AA169" s="575"/>
      <c r="AB169" s="976"/>
      <c r="AC169" s="976"/>
      <c r="AD169" s="976"/>
      <c r="AE169" s="976"/>
      <c r="AF169" s="37">
        <v>11</v>
      </c>
    </row>
    <row r="170" s="37" customFormat="1" ht="11.55" customHeight="1" spans="1:32">
      <c r="A170" s="957"/>
      <c r="B170" s="44"/>
      <c r="C170" s="44"/>
      <c r="K170" s="38"/>
      <c r="L170" s="44"/>
      <c r="M170" s="44"/>
      <c r="N170" s="38"/>
      <c r="O170" s="38"/>
      <c r="P170" s="38"/>
      <c r="Q170" s="38"/>
      <c r="R170" s="44"/>
      <c r="S170" s="38"/>
      <c r="T170" s="38"/>
      <c r="U170" s="958"/>
      <c r="V170" s="38"/>
      <c r="W170" s="38"/>
      <c r="X170" s="38"/>
      <c r="Y170" s="38"/>
      <c r="Z170" s="38"/>
      <c r="AA170" s="575"/>
      <c r="AB170" s="976"/>
      <c r="AC170" s="976"/>
      <c r="AD170" s="976"/>
      <c r="AE170" s="976"/>
      <c r="AF170" s="37">
        <v>11</v>
      </c>
    </row>
    <row r="171" s="37" customFormat="1" ht="11.55" customHeight="1" spans="1:32">
      <c r="A171" s="957"/>
      <c r="B171" s="44"/>
      <c r="C171" s="44"/>
      <c r="K171" s="38"/>
      <c r="L171" s="44"/>
      <c r="M171" s="44"/>
      <c r="N171" s="38"/>
      <c r="O171" s="38"/>
      <c r="P171" s="38"/>
      <c r="Q171" s="38"/>
      <c r="R171" s="44"/>
      <c r="S171" s="38"/>
      <c r="T171" s="38"/>
      <c r="U171" s="958"/>
      <c r="V171" s="38"/>
      <c r="W171" s="38"/>
      <c r="X171" s="38"/>
      <c r="Y171" s="38"/>
      <c r="Z171" s="38"/>
      <c r="AA171" s="575"/>
      <c r="AB171" s="976"/>
      <c r="AC171" s="976"/>
      <c r="AD171" s="976"/>
      <c r="AE171" s="976"/>
      <c r="AF171" s="37">
        <v>11</v>
      </c>
    </row>
    <row r="172" s="37" customFormat="1" ht="11.55" customHeight="1" spans="1:32">
      <c r="A172" s="957"/>
      <c r="B172" s="44"/>
      <c r="C172" s="44"/>
      <c r="K172" s="38"/>
      <c r="L172" s="44"/>
      <c r="M172" s="44"/>
      <c r="N172" s="38"/>
      <c r="O172" s="38"/>
      <c r="P172" s="38"/>
      <c r="Q172" s="38"/>
      <c r="R172" s="44"/>
      <c r="S172" s="38"/>
      <c r="T172" s="38"/>
      <c r="U172" s="958"/>
      <c r="V172" s="38"/>
      <c r="W172" s="38"/>
      <c r="X172" s="38"/>
      <c r="Y172" s="38"/>
      <c r="Z172" s="38"/>
      <c r="AA172" s="575"/>
      <c r="AB172" s="976"/>
      <c r="AC172" s="976"/>
      <c r="AD172" s="976"/>
      <c r="AE172" s="976"/>
      <c r="AF172" s="37">
        <v>11</v>
      </c>
    </row>
    <row r="173" s="37" customFormat="1" ht="11.55" customHeight="1" spans="1:32">
      <c r="A173" s="957"/>
      <c r="B173" s="44"/>
      <c r="C173" s="44"/>
      <c r="K173" s="38"/>
      <c r="L173" s="44"/>
      <c r="M173" s="44"/>
      <c r="N173" s="38"/>
      <c r="O173" s="38"/>
      <c r="P173" s="38"/>
      <c r="Q173" s="38"/>
      <c r="R173" s="44"/>
      <c r="S173" s="38"/>
      <c r="T173" s="38"/>
      <c r="U173" s="958"/>
      <c r="V173" s="38"/>
      <c r="W173" s="38"/>
      <c r="X173" s="38"/>
      <c r="Y173" s="38"/>
      <c r="Z173" s="38"/>
      <c r="AA173" s="575"/>
      <c r="AB173" s="976"/>
      <c r="AC173" s="976"/>
      <c r="AD173" s="976"/>
      <c r="AE173" s="976"/>
      <c r="AF173" s="37">
        <v>11</v>
      </c>
    </row>
    <row r="174" s="37" customFormat="1" ht="11.55" customHeight="1" spans="1:32">
      <c r="A174" s="957"/>
      <c r="B174" s="44"/>
      <c r="C174" s="44"/>
      <c r="K174" s="38"/>
      <c r="L174" s="44"/>
      <c r="M174" s="44"/>
      <c r="N174" s="38"/>
      <c r="O174" s="38"/>
      <c r="P174" s="38"/>
      <c r="Q174" s="38"/>
      <c r="R174" s="44"/>
      <c r="S174" s="38"/>
      <c r="T174" s="38"/>
      <c r="U174" s="958"/>
      <c r="V174" s="38"/>
      <c r="W174" s="38"/>
      <c r="X174" s="38"/>
      <c r="Y174" s="38"/>
      <c r="Z174" s="38"/>
      <c r="AA174" s="575"/>
      <c r="AB174" s="976"/>
      <c r="AC174" s="976"/>
      <c r="AD174" s="976"/>
      <c r="AE174" s="976"/>
      <c r="AF174" s="37">
        <v>11</v>
      </c>
    </row>
    <row r="175" s="37" customFormat="1" ht="11.55" customHeight="1" spans="1:32">
      <c r="A175" s="957"/>
      <c r="B175" s="44"/>
      <c r="C175" s="44"/>
      <c r="K175" s="38"/>
      <c r="L175" s="44"/>
      <c r="M175" s="44"/>
      <c r="N175" s="38"/>
      <c r="O175" s="38"/>
      <c r="P175" s="38"/>
      <c r="Q175" s="38"/>
      <c r="R175" s="44"/>
      <c r="S175" s="38"/>
      <c r="T175" s="38"/>
      <c r="U175" s="958"/>
      <c r="V175" s="38"/>
      <c r="W175" s="38"/>
      <c r="X175" s="38"/>
      <c r="Y175" s="38"/>
      <c r="Z175" s="38"/>
      <c r="AA175" s="575"/>
      <c r="AB175" s="976"/>
      <c r="AC175" s="976"/>
      <c r="AD175" s="976"/>
      <c r="AE175" s="976"/>
      <c r="AF175" s="37">
        <v>11</v>
      </c>
    </row>
    <row r="176" s="37" customFormat="1" ht="11.55" customHeight="1" spans="1:32">
      <c r="A176" s="957"/>
      <c r="B176" s="44"/>
      <c r="C176" s="44"/>
      <c r="K176" s="38"/>
      <c r="L176" s="44"/>
      <c r="M176" s="44"/>
      <c r="N176" s="38"/>
      <c r="O176" s="38"/>
      <c r="P176" s="38"/>
      <c r="Q176" s="38"/>
      <c r="R176" s="44"/>
      <c r="S176" s="38"/>
      <c r="T176" s="38"/>
      <c r="U176" s="958"/>
      <c r="V176" s="38"/>
      <c r="W176" s="38"/>
      <c r="X176" s="38"/>
      <c r="Y176" s="38"/>
      <c r="Z176" s="38"/>
      <c r="AA176" s="575"/>
      <c r="AB176" s="976"/>
      <c r="AC176" s="976"/>
      <c r="AD176" s="976"/>
      <c r="AE176" s="976"/>
      <c r="AF176" s="37">
        <v>11</v>
      </c>
    </row>
    <row r="177" s="37" customFormat="1" ht="11.55" customHeight="1" spans="1:32">
      <c r="A177" s="957"/>
      <c r="B177" s="44"/>
      <c r="C177" s="44"/>
      <c r="K177" s="38"/>
      <c r="L177" s="44"/>
      <c r="M177" s="44"/>
      <c r="N177" s="38"/>
      <c r="O177" s="38"/>
      <c r="P177" s="38"/>
      <c r="Q177" s="38"/>
      <c r="R177" s="44"/>
      <c r="S177" s="38"/>
      <c r="T177" s="38"/>
      <c r="U177" s="958"/>
      <c r="V177" s="38"/>
      <c r="W177" s="38"/>
      <c r="X177" s="38"/>
      <c r="Y177" s="38"/>
      <c r="Z177" s="38"/>
      <c r="AA177" s="575"/>
      <c r="AB177" s="976"/>
      <c r="AC177" s="976"/>
      <c r="AD177" s="976"/>
      <c r="AE177" s="976"/>
      <c r="AF177" s="37">
        <v>11</v>
      </c>
    </row>
    <row r="178" s="37" customFormat="1" ht="11.55" customHeight="1" spans="1:32">
      <c r="A178" s="957"/>
      <c r="B178" s="44"/>
      <c r="C178" s="44"/>
      <c r="K178" s="38"/>
      <c r="L178" s="44"/>
      <c r="M178" s="44"/>
      <c r="N178" s="38"/>
      <c r="O178" s="38"/>
      <c r="P178" s="38"/>
      <c r="Q178" s="38"/>
      <c r="R178" s="44"/>
      <c r="S178" s="38"/>
      <c r="T178" s="38"/>
      <c r="U178" s="958"/>
      <c r="V178" s="38"/>
      <c r="W178" s="38"/>
      <c r="X178" s="38"/>
      <c r="Y178" s="38"/>
      <c r="Z178" s="38"/>
      <c r="AA178" s="575"/>
      <c r="AB178" s="976"/>
      <c r="AC178" s="976"/>
      <c r="AD178" s="976"/>
      <c r="AE178" s="976"/>
      <c r="AF178" s="37">
        <v>11</v>
      </c>
    </row>
    <row r="179" s="37" customFormat="1" ht="11.55" customHeight="1" spans="1:32">
      <c r="A179" s="957"/>
      <c r="B179" s="44"/>
      <c r="C179" s="44"/>
      <c r="K179" s="38"/>
      <c r="L179" s="44"/>
      <c r="M179" s="44"/>
      <c r="N179" s="38"/>
      <c r="O179" s="38"/>
      <c r="P179" s="38"/>
      <c r="Q179" s="38"/>
      <c r="R179" s="44"/>
      <c r="S179" s="38"/>
      <c r="T179" s="38"/>
      <c r="U179" s="958"/>
      <c r="V179" s="38"/>
      <c r="W179" s="38"/>
      <c r="X179" s="38"/>
      <c r="Y179" s="38"/>
      <c r="Z179" s="38"/>
      <c r="AA179" s="575"/>
      <c r="AB179" s="976"/>
      <c r="AC179" s="976"/>
      <c r="AD179" s="976"/>
      <c r="AE179" s="976"/>
      <c r="AF179" s="37">
        <v>11</v>
      </c>
    </row>
    <row r="180" s="37" customFormat="1" ht="11.55" customHeight="1" spans="1:32">
      <c r="A180" s="957"/>
      <c r="B180" s="44"/>
      <c r="C180" s="44"/>
      <c r="K180" s="38"/>
      <c r="L180" s="44"/>
      <c r="M180" s="44"/>
      <c r="N180" s="38"/>
      <c r="O180" s="38"/>
      <c r="P180" s="38"/>
      <c r="Q180" s="38"/>
      <c r="R180" s="44"/>
      <c r="S180" s="38"/>
      <c r="T180" s="38"/>
      <c r="U180" s="958"/>
      <c r="V180" s="38"/>
      <c r="W180" s="38"/>
      <c r="X180" s="38"/>
      <c r="Y180" s="38"/>
      <c r="Z180" s="38"/>
      <c r="AA180" s="575"/>
      <c r="AB180" s="976"/>
      <c r="AC180" s="976"/>
      <c r="AD180" s="976"/>
      <c r="AE180" s="976"/>
      <c r="AF180" s="37">
        <v>11</v>
      </c>
    </row>
    <row r="181" s="37" customFormat="1" ht="11.55" customHeight="1" spans="1:32">
      <c r="A181" s="957"/>
      <c r="B181" s="44"/>
      <c r="C181" s="44"/>
      <c r="K181" s="38"/>
      <c r="L181" s="44"/>
      <c r="M181" s="44"/>
      <c r="N181" s="38"/>
      <c r="O181" s="38"/>
      <c r="P181" s="38"/>
      <c r="Q181" s="38"/>
      <c r="R181" s="44"/>
      <c r="S181" s="38"/>
      <c r="T181" s="38"/>
      <c r="U181" s="958"/>
      <c r="V181" s="38"/>
      <c r="W181" s="38"/>
      <c r="X181" s="38"/>
      <c r="Y181" s="38"/>
      <c r="Z181" s="38"/>
      <c r="AA181" s="575"/>
      <c r="AB181" s="976"/>
      <c r="AC181" s="976"/>
      <c r="AD181" s="976"/>
      <c r="AE181" s="976"/>
      <c r="AF181" s="37">
        <v>11</v>
      </c>
    </row>
    <row r="182" s="37" customFormat="1" ht="11.55" customHeight="1" spans="1:32">
      <c r="A182" s="957"/>
      <c r="B182" s="44"/>
      <c r="C182" s="44"/>
      <c r="K182" s="38"/>
      <c r="L182" s="44"/>
      <c r="M182" s="44"/>
      <c r="N182" s="38"/>
      <c r="O182" s="38"/>
      <c r="P182" s="38"/>
      <c r="Q182" s="38"/>
      <c r="R182" s="44"/>
      <c r="S182" s="38"/>
      <c r="T182" s="38"/>
      <c r="U182" s="958"/>
      <c r="V182" s="38"/>
      <c r="W182" s="38"/>
      <c r="X182" s="38"/>
      <c r="Y182" s="38"/>
      <c r="Z182" s="38"/>
      <c r="AA182" s="575"/>
      <c r="AB182" s="976"/>
      <c r="AC182" s="976"/>
      <c r="AD182" s="976"/>
      <c r="AE182" s="976"/>
      <c r="AF182" s="37">
        <v>11</v>
      </c>
    </row>
    <row r="183" s="37" customFormat="1" ht="11.55" customHeight="1" spans="1:32">
      <c r="A183" s="957"/>
      <c r="B183" s="44"/>
      <c r="C183" s="44"/>
      <c r="K183" s="38"/>
      <c r="L183" s="44"/>
      <c r="M183" s="44"/>
      <c r="N183" s="38"/>
      <c r="O183" s="38"/>
      <c r="P183" s="38"/>
      <c r="Q183" s="38"/>
      <c r="R183" s="44"/>
      <c r="S183" s="38"/>
      <c r="T183" s="38"/>
      <c r="U183" s="958"/>
      <c r="V183" s="38"/>
      <c r="W183" s="38"/>
      <c r="X183" s="38"/>
      <c r="Y183" s="38"/>
      <c r="Z183" s="38"/>
      <c r="AA183" s="575"/>
      <c r="AB183" s="976"/>
      <c r="AC183" s="976"/>
      <c r="AD183" s="976"/>
      <c r="AE183" s="976"/>
      <c r="AF183" s="37">
        <v>11</v>
      </c>
    </row>
    <row r="184" s="37" customFormat="1" ht="11.55" customHeight="1" spans="1:32">
      <c r="A184" s="957"/>
      <c r="B184" s="44"/>
      <c r="C184" s="44"/>
      <c r="K184" s="38"/>
      <c r="L184" s="44"/>
      <c r="M184" s="44"/>
      <c r="N184" s="38"/>
      <c r="O184" s="38"/>
      <c r="P184" s="38"/>
      <c r="Q184" s="38"/>
      <c r="R184" s="44"/>
      <c r="S184" s="38"/>
      <c r="T184" s="38"/>
      <c r="U184" s="958"/>
      <c r="V184" s="38"/>
      <c r="W184" s="38"/>
      <c r="X184" s="38"/>
      <c r="Y184" s="38"/>
      <c r="Z184" s="38"/>
      <c r="AA184" s="575"/>
      <c r="AB184" s="976"/>
      <c r="AC184" s="976"/>
      <c r="AD184" s="976"/>
      <c r="AE184" s="976"/>
      <c r="AF184" s="37">
        <v>11</v>
      </c>
    </row>
    <row r="185" s="37" customFormat="1" ht="11.55" customHeight="1" spans="1:32">
      <c r="A185" s="957"/>
      <c r="B185" s="44"/>
      <c r="C185" s="44"/>
      <c r="K185" s="38"/>
      <c r="L185" s="44"/>
      <c r="M185" s="44"/>
      <c r="N185" s="38"/>
      <c r="O185" s="38"/>
      <c r="P185" s="38"/>
      <c r="Q185" s="38"/>
      <c r="R185" s="44"/>
      <c r="S185" s="38"/>
      <c r="T185" s="38"/>
      <c r="U185" s="958"/>
      <c r="V185" s="38"/>
      <c r="W185" s="38"/>
      <c r="X185" s="38"/>
      <c r="Y185" s="38"/>
      <c r="Z185" s="38"/>
      <c r="AA185" s="575"/>
      <c r="AB185" s="976"/>
      <c r="AC185" s="976"/>
      <c r="AD185" s="976"/>
      <c r="AE185" s="976"/>
      <c r="AF185" s="37">
        <v>11</v>
      </c>
    </row>
    <row r="186" s="37" customFormat="1" ht="11.55" customHeight="1" spans="1:32">
      <c r="A186" s="957"/>
      <c r="B186" s="44"/>
      <c r="C186" s="44"/>
      <c r="K186" s="38"/>
      <c r="L186" s="44"/>
      <c r="M186" s="44"/>
      <c r="N186" s="38"/>
      <c r="O186" s="38"/>
      <c r="P186" s="38"/>
      <c r="Q186" s="38"/>
      <c r="R186" s="44"/>
      <c r="S186" s="38"/>
      <c r="T186" s="38"/>
      <c r="U186" s="958"/>
      <c r="V186" s="38"/>
      <c r="W186" s="38"/>
      <c r="X186" s="38"/>
      <c r="Y186" s="38"/>
      <c r="Z186" s="38"/>
      <c r="AA186" s="575"/>
      <c r="AB186" s="976"/>
      <c r="AC186" s="976"/>
      <c r="AD186" s="976"/>
      <c r="AE186" s="976"/>
      <c r="AF186" s="37">
        <v>11</v>
      </c>
    </row>
    <row r="187" s="37" customFormat="1" ht="11.55" customHeight="1" spans="1:32">
      <c r="A187" s="957"/>
      <c r="B187" s="44"/>
      <c r="C187" s="44"/>
      <c r="K187" s="38"/>
      <c r="L187" s="44"/>
      <c r="M187" s="44"/>
      <c r="N187" s="38"/>
      <c r="O187" s="38"/>
      <c r="P187" s="38"/>
      <c r="Q187" s="38"/>
      <c r="R187" s="44"/>
      <c r="S187" s="38"/>
      <c r="T187" s="38"/>
      <c r="U187" s="958"/>
      <c r="V187" s="38"/>
      <c r="W187" s="38"/>
      <c r="X187" s="38"/>
      <c r="Y187" s="38"/>
      <c r="Z187" s="38"/>
      <c r="AA187" s="575"/>
      <c r="AB187" s="976"/>
      <c r="AC187" s="976"/>
      <c r="AD187" s="976"/>
      <c r="AE187" s="976"/>
      <c r="AF187" s="37">
        <v>11</v>
      </c>
    </row>
    <row r="188" s="37" customFormat="1" ht="11.55" customHeight="1" spans="1:32">
      <c r="A188" s="957"/>
      <c r="B188" s="44"/>
      <c r="C188" s="44"/>
      <c r="K188" s="38"/>
      <c r="L188" s="44"/>
      <c r="M188" s="44"/>
      <c r="N188" s="38"/>
      <c r="O188" s="38"/>
      <c r="P188" s="38"/>
      <c r="Q188" s="38"/>
      <c r="R188" s="44"/>
      <c r="S188" s="38"/>
      <c r="T188" s="38"/>
      <c r="U188" s="958"/>
      <c r="V188" s="38"/>
      <c r="W188" s="38"/>
      <c r="X188" s="38"/>
      <c r="Y188" s="38"/>
      <c r="Z188" s="38"/>
      <c r="AA188" s="575"/>
      <c r="AB188" s="976"/>
      <c r="AC188" s="976"/>
      <c r="AD188" s="976"/>
      <c r="AE188" s="976"/>
      <c r="AF188" s="37">
        <v>11</v>
      </c>
    </row>
    <row r="189" s="37" customFormat="1" ht="11.55" customHeight="1" spans="1:32">
      <c r="A189" s="957"/>
      <c r="B189" s="44"/>
      <c r="C189" s="44"/>
      <c r="K189" s="38"/>
      <c r="L189" s="44"/>
      <c r="M189" s="44"/>
      <c r="N189" s="38"/>
      <c r="O189" s="38"/>
      <c r="P189" s="38"/>
      <c r="Q189" s="38"/>
      <c r="R189" s="44"/>
      <c r="S189" s="38"/>
      <c r="T189" s="38"/>
      <c r="U189" s="958"/>
      <c r="V189" s="38"/>
      <c r="W189" s="38"/>
      <c r="X189" s="38"/>
      <c r="Y189" s="38"/>
      <c r="Z189" s="38"/>
      <c r="AA189" s="575"/>
      <c r="AB189" s="976"/>
      <c r="AC189" s="976"/>
      <c r="AD189" s="976"/>
      <c r="AE189" s="976"/>
      <c r="AF189" s="37">
        <v>11</v>
      </c>
    </row>
    <row r="190" s="37" customFormat="1" ht="11.55" customHeight="1" spans="1:32">
      <c r="A190" s="957"/>
      <c r="B190" s="44"/>
      <c r="C190" s="44"/>
      <c r="K190" s="38"/>
      <c r="L190" s="44"/>
      <c r="M190" s="44"/>
      <c r="N190" s="38"/>
      <c r="O190" s="38"/>
      <c r="P190" s="38"/>
      <c r="Q190" s="38"/>
      <c r="R190" s="44"/>
      <c r="S190" s="38"/>
      <c r="T190" s="38"/>
      <c r="U190" s="958"/>
      <c r="V190" s="38"/>
      <c r="W190" s="38"/>
      <c r="X190" s="38"/>
      <c r="Y190" s="38"/>
      <c r="Z190" s="38"/>
      <c r="AA190" s="575"/>
      <c r="AB190" s="976"/>
      <c r="AC190" s="976"/>
      <c r="AD190" s="976"/>
      <c r="AE190" s="976"/>
      <c r="AF190" s="37">
        <v>11</v>
      </c>
    </row>
    <row r="191" s="37" customFormat="1" ht="11.55" customHeight="1" spans="1:32">
      <c r="A191" s="957"/>
      <c r="B191" s="44"/>
      <c r="C191" s="44"/>
      <c r="K191" s="38"/>
      <c r="L191" s="44"/>
      <c r="M191" s="44"/>
      <c r="N191" s="38"/>
      <c r="O191" s="38"/>
      <c r="P191" s="38"/>
      <c r="Q191" s="38"/>
      <c r="R191" s="44"/>
      <c r="S191" s="38"/>
      <c r="T191" s="38"/>
      <c r="U191" s="958"/>
      <c r="V191" s="38"/>
      <c r="W191" s="38"/>
      <c r="X191" s="38"/>
      <c r="Y191" s="38"/>
      <c r="Z191" s="38"/>
      <c r="AA191" s="575"/>
      <c r="AB191" s="976"/>
      <c r="AC191" s="976"/>
      <c r="AD191" s="976"/>
      <c r="AE191" s="976"/>
      <c r="AF191" s="37">
        <v>11</v>
      </c>
    </row>
    <row r="192" s="37" customFormat="1" ht="11.55" customHeight="1" spans="1:32">
      <c r="A192" s="957"/>
      <c r="B192" s="44"/>
      <c r="C192" s="44"/>
      <c r="K192" s="38"/>
      <c r="L192" s="44"/>
      <c r="M192" s="44"/>
      <c r="N192" s="38"/>
      <c r="O192" s="38"/>
      <c r="P192" s="38"/>
      <c r="Q192" s="38"/>
      <c r="R192" s="44"/>
      <c r="S192" s="38"/>
      <c r="T192" s="38"/>
      <c r="U192" s="958"/>
      <c r="V192" s="38"/>
      <c r="W192" s="38"/>
      <c r="X192" s="38"/>
      <c r="Y192" s="38"/>
      <c r="Z192" s="38"/>
      <c r="AA192" s="575"/>
      <c r="AB192" s="976"/>
      <c r="AC192" s="976"/>
      <c r="AD192" s="976"/>
      <c r="AE192" s="976"/>
      <c r="AF192" s="37">
        <v>11</v>
      </c>
    </row>
    <row r="193" s="37" customFormat="1" ht="11.55" customHeight="1" spans="1:32">
      <c r="A193" s="957"/>
      <c r="B193" s="44"/>
      <c r="C193" s="44"/>
      <c r="K193" s="38"/>
      <c r="L193" s="44"/>
      <c r="M193" s="44"/>
      <c r="N193" s="38"/>
      <c r="O193" s="38"/>
      <c r="P193" s="38"/>
      <c r="Q193" s="38"/>
      <c r="R193" s="44"/>
      <c r="S193" s="38"/>
      <c r="T193" s="38"/>
      <c r="U193" s="958"/>
      <c r="V193" s="38"/>
      <c r="W193" s="38"/>
      <c r="X193" s="38"/>
      <c r="Y193" s="38"/>
      <c r="Z193" s="38"/>
      <c r="AA193" s="575"/>
      <c r="AB193" s="976"/>
      <c r="AC193" s="976"/>
      <c r="AD193" s="976"/>
      <c r="AE193" s="976"/>
      <c r="AF193" s="37">
        <v>11</v>
      </c>
    </row>
    <row r="194" s="37" customFormat="1" ht="11.55" customHeight="1" spans="1:32">
      <c r="A194" s="957"/>
      <c r="B194" s="44"/>
      <c r="C194" s="44"/>
      <c r="K194" s="38"/>
      <c r="L194" s="44"/>
      <c r="M194" s="44"/>
      <c r="N194" s="38"/>
      <c r="O194" s="38"/>
      <c r="P194" s="38"/>
      <c r="Q194" s="38"/>
      <c r="R194" s="44"/>
      <c r="S194" s="38"/>
      <c r="T194" s="38"/>
      <c r="U194" s="958"/>
      <c r="V194" s="38"/>
      <c r="W194" s="38"/>
      <c r="X194" s="38"/>
      <c r="Y194" s="38"/>
      <c r="Z194" s="38"/>
      <c r="AA194" s="575"/>
      <c r="AB194" s="976"/>
      <c r="AC194" s="976"/>
      <c r="AD194" s="976"/>
      <c r="AE194" s="976"/>
      <c r="AF194" s="37">
        <v>11</v>
      </c>
    </row>
    <row r="195" s="37" customFormat="1" ht="11.55" customHeight="1" spans="1:32">
      <c r="A195" s="957"/>
      <c r="B195" s="44"/>
      <c r="C195" s="44"/>
      <c r="K195" s="38"/>
      <c r="L195" s="44"/>
      <c r="M195" s="44"/>
      <c r="N195" s="38"/>
      <c r="O195" s="38"/>
      <c r="P195" s="38"/>
      <c r="Q195" s="38"/>
      <c r="R195" s="44"/>
      <c r="S195" s="38"/>
      <c r="T195" s="38"/>
      <c r="U195" s="958"/>
      <c r="V195" s="38"/>
      <c r="W195" s="38"/>
      <c r="X195" s="38"/>
      <c r="Y195" s="38"/>
      <c r="Z195" s="38"/>
      <c r="AA195" s="575"/>
      <c r="AB195" s="976"/>
      <c r="AC195" s="976"/>
      <c r="AD195" s="976"/>
      <c r="AE195" s="976"/>
      <c r="AF195" s="37">
        <v>11</v>
      </c>
    </row>
    <row r="196" s="37" customFormat="1" ht="11.55" customHeight="1" spans="1:32">
      <c r="A196" s="957"/>
      <c r="B196" s="44"/>
      <c r="C196" s="44"/>
      <c r="K196" s="38"/>
      <c r="L196" s="44"/>
      <c r="M196" s="44"/>
      <c r="N196" s="38"/>
      <c r="O196" s="38"/>
      <c r="P196" s="38"/>
      <c r="Q196" s="38"/>
      <c r="R196" s="44"/>
      <c r="S196" s="38"/>
      <c r="T196" s="38"/>
      <c r="U196" s="958"/>
      <c r="V196" s="38"/>
      <c r="W196" s="38"/>
      <c r="X196" s="38"/>
      <c r="Y196" s="38"/>
      <c r="Z196" s="38"/>
      <c r="AA196" s="575"/>
      <c r="AB196" s="976"/>
      <c r="AC196" s="976"/>
      <c r="AD196" s="976"/>
      <c r="AE196" s="976"/>
      <c r="AF196" s="37">
        <v>11</v>
      </c>
    </row>
    <row r="197" s="37" customFormat="1" ht="11.55" customHeight="1" spans="1:32">
      <c r="A197" s="957"/>
      <c r="B197" s="44"/>
      <c r="C197" s="44"/>
      <c r="K197" s="38"/>
      <c r="L197" s="44"/>
      <c r="M197" s="44"/>
      <c r="N197" s="38"/>
      <c r="O197" s="38"/>
      <c r="P197" s="38"/>
      <c r="Q197" s="38"/>
      <c r="R197" s="44"/>
      <c r="S197" s="38"/>
      <c r="T197" s="38"/>
      <c r="U197" s="958"/>
      <c r="V197" s="38"/>
      <c r="W197" s="38"/>
      <c r="X197" s="38"/>
      <c r="Y197" s="38"/>
      <c r="Z197" s="38"/>
      <c r="AA197" s="575"/>
      <c r="AB197" s="976"/>
      <c r="AC197" s="976"/>
      <c r="AD197" s="976"/>
      <c r="AE197" s="976"/>
      <c r="AF197" s="37">
        <v>11</v>
      </c>
    </row>
    <row r="198" s="37" customFormat="1" ht="11.55" customHeight="1" spans="1:32">
      <c r="A198" s="957"/>
      <c r="B198" s="44"/>
      <c r="C198" s="44"/>
      <c r="K198" s="38"/>
      <c r="L198" s="44"/>
      <c r="M198" s="44"/>
      <c r="N198" s="38"/>
      <c r="O198" s="38"/>
      <c r="P198" s="38"/>
      <c r="Q198" s="38"/>
      <c r="R198" s="44"/>
      <c r="S198" s="38"/>
      <c r="T198" s="38"/>
      <c r="U198" s="958"/>
      <c r="V198" s="38"/>
      <c r="W198" s="38"/>
      <c r="X198" s="38"/>
      <c r="Y198" s="38"/>
      <c r="Z198" s="38"/>
      <c r="AA198" s="575"/>
      <c r="AB198" s="976"/>
      <c r="AC198" s="976"/>
      <c r="AD198" s="976"/>
      <c r="AE198" s="976"/>
      <c r="AF198" s="37">
        <v>11</v>
      </c>
    </row>
    <row r="199" s="37" customFormat="1" ht="11.55" customHeight="1" spans="1:32">
      <c r="A199" s="957"/>
      <c r="B199" s="44"/>
      <c r="C199" s="44"/>
      <c r="K199" s="38"/>
      <c r="L199" s="44"/>
      <c r="M199" s="44"/>
      <c r="N199" s="38"/>
      <c r="O199" s="38"/>
      <c r="P199" s="38"/>
      <c r="Q199" s="38"/>
      <c r="R199" s="44"/>
      <c r="S199" s="38"/>
      <c r="T199" s="38"/>
      <c r="U199" s="958"/>
      <c r="V199" s="38"/>
      <c r="W199" s="38"/>
      <c r="X199" s="38"/>
      <c r="Y199" s="38"/>
      <c r="Z199" s="38"/>
      <c r="AA199" s="575"/>
      <c r="AB199" s="976"/>
      <c r="AC199" s="976"/>
      <c r="AD199" s="976"/>
      <c r="AE199" s="976"/>
      <c r="AF199" s="37">
        <v>11</v>
      </c>
    </row>
    <row r="200" s="37" customFormat="1" ht="11.55" customHeight="1" spans="1:32">
      <c r="A200" s="957"/>
      <c r="B200" s="44"/>
      <c r="C200" s="44"/>
      <c r="K200" s="38"/>
      <c r="L200" s="44"/>
      <c r="M200" s="44"/>
      <c r="N200" s="38"/>
      <c r="O200" s="38"/>
      <c r="P200" s="38"/>
      <c r="Q200" s="38"/>
      <c r="R200" s="44"/>
      <c r="S200" s="38"/>
      <c r="T200" s="38"/>
      <c r="U200" s="958"/>
      <c r="V200" s="38"/>
      <c r="W200" s="38"/>
      <c r="X200" s="38"/>
      <c r="Y200" s="38"/>
      <c r="Z200" s="38"/>
      <c r="AA200" s="575"/>
      <c r="AB200" s="976"/>
      <c r="AC200" s="976"/>
      <c r="AD200" s="976"/>
      <c r="AE200" s="976"/>
      <c r="AF200" s="37">
        <v>11</v>
      </c>
    </row>
    <row r="201" s="37" customFormat="1" ht="11.55" customHeight="1" spans="1:32">
      <c r="A201" s="957"/>
      <c r="B201" s="44"/>
      <c r="C201" s="44"/>
      <c r="K201" s="38"/>
      <c r="L201" s="44"/>
      <c r="M201" s="44"/>
      <c r="N201" s="38"/>
      <c r="O201" s="38"/>
      <c r="P201" s="38"/>
      <c r="Q201" s="38"/>
      <c r="R201" s="44"/>
      <c r="S201" s="38"/>
      <c r="T201" s="38"/>
      <c r="U201" s="958"/>
      <c r="V201" s="38"/>
      <c r="W201" s="38"/>
      <c r="X201" s="38"/>
      <c r="Y201" s="38"/>
      <c r="Z201" s="38"/>
      <c r="AA201" s="575"/>
      <c r="AB201" s="976"/>
      <c r="AC201" s="976"/>
      <c r="AD201" s="976"/>
      <c r="AE201" s="976"/>
      <c r="AF201" s="37">
        <v>11</v>
      </c>
    </row>
    <row r="202" s="37" customFormat="1" ht="11.55" customHeight="1" spans="1:32">
      <c r="A202" s="957"/>
      <c r="B202" s="44"/>
      <c r="C202" s="44"/>
      <c r="K202" s="38"/>
      <c r="L202" s="44"/>
      <c r="M202" s="44"/>
      <c r="N202" s="38"/>
      <c r="O202" s="38"/>
      <c r="P202" s="38"/>
      <c r="Q202" s="38"/>
      <c r="R202" s="44"/>
      <c r="S202" s="38"/>
      <c r="T202" s="38"/>
      <c r="U202" s="958"/>
      <c r="V202" s="38"/>
      <c r="W202" s="38"/>
      <c r="X202" s="38"/>
      <c r="Y202" s="38"/>
      <c r="Z202" s="38"/>
      <c r="AA202" s="575"/>
      <c r="AB202" s="976"/>
      <c r="AC202" s="976"/>
      <c r="AD202" s="976"/>
      <c r="AE202" s="976"/>
      <c r="AF202" s="37">
        <v>11</v>
      </c>
    </row>
    <row r="203" s="37" customFormat="1" ht="11.55" customHeight="1" spans="1:32">
      <c r="A203" s="957"/>
      <c r="B203" s="44"/>
      <c r="C203" s="44"/>
      <c r="K203" s="38"/>
      <c r="L203" s="44"/>
      <c r="M203" s="44"/>
      <c r="N203" s="38"/>
      <c r="O203" s="38"/>
      <c r="P203" s="38"/>
      <c r="Q203" s="38"/>
      <c r="R203" s="44"/>
      <c r="S203" s="38"/>
      <c r="T203" s="38"/>
      <c r="U203" s="958"/>
      <c r="V203" s="38"/>
      <c r="W203" s="38"/>
      <c r="X203" s="38"/>
      <c r="Y203" s="38"/>
      <c r="Z203" s="38"/>
      <c r="AA203" s="575"/>
      <c r="AB203" s="976"/>
      <c r="AC203" s="976"/>
      <c r="AD203" s="976"/>
      <c r="AE203" s="976"/>
      <c r="AF203" s="37">
        <v>11</v>
      </c>
    </row>
    <row r="204" s="37" customFormat="1" ht="11.55" customHeight="1" spans="1:32">
      <c r="A204" s="957"/>
      <c r="B204" s="44"/>
      <c r="C204" s="44"/>
      <c r="K204" s="38"/>
      <c r="L204" s="44"/>
      <c r="M204" s="44"/>
      <c r="N204" s="38"/>
      <c r="O204" s="38"/>
      <c r="P204" s="38"/>
      <c r="Q204" s="38"/>
      <c r="R204" s="44"/>
      <c r="S204" s="38"/>
      <c r="T204" s="38"/>
      <c r="U204" s="958"/>
      <c r="V204" s="38"/>
      <c r="W204" s="38"/>
      <c r="X204" s="38"/>
      <c r="Y204" s="38"/>
      <c r="Z204" s="38"/>
      <c r="AA204" s="575"/>
      <c r="AB204" s="976"/>
      <c r="AC204" s="976"/>
      <c r="AD204" s="976"/>
      <c r="AE204" s="976"/>
      <c r="AF204" s="37">
        <v>11</v>
      </c>
    </row>
    <row r="205" ht="11.55" customHeight="1" spans="32:32">
      <c r="AF205" s="43">
        <v>11</v>
      </c>
    </row>
    <row r="206" ht="11.55" customHeight="1" spans="32:32">
      <c r="AF206" s="43">
        <v>11</v>
      </c>
    </row>
    <row r="207" ht="11.55" customHeight="1" spans="32:32">
      <c r="AF207" s="43">
        <v>11</v>
      </c>
    </row>
    <row r="208" ht="11.55" customHeight="1" spans="1:32">
      <c r="A208" s="980"/>
      <c r="B208" s="43"/>
      <c r="K208" s="43"/>
      <c r="N208" s="43"/>
      <c r="O208" s="43"/>
      <c r="P208" s="43"/>
      <c r="Q208" s="43"/>
      <c r="S208" s="43"/>
      <c r="T208" s="43"/>
      <c r="U208" s="43"/>
      <c r="V208" s="43"/>
      <c r="W208" s="43"/>
      <c r="X208" s="43"/>
      <c r="Y208" s="43"/>
      <c r="Z208" s="43"/>
      <c r="AA208" s="43"/>
      <c r="AB208" s="43"/>
      <c r="AC208" s="43"/>
      <c r="AD208" s="43"/>
      <c r="AE208" s="43"/>
      <c r="AF208" s="43">
        <v>11</v>
      </c>
    </row>
    <row r="209" ht="11.55" customHeight="1" spans="1:32">
      <c r="A209" s="980"/>
      <c r="B209" s="43"/>
      <c r="K209" s="43"/>
      <c r="N209" s="43"/>
      <c r="O209" s="43"/>
      <c r="P209" s="43"/>
      <c r="Q209" s="43"/>
      <c r="S209" s="43"/>
      <c r="T209" s="43"/>
      <c r="U209" s="43"/>
      <c r="V209" s="43"/>
      <c r="W209" s="43"/>
      <c r="X209" s="43"/>
      <c r="Y209" s="43"/>
      <c r="Z209" s="43"/>
      <c r="AA209" s="43"/>
      <c r="AB209" s="43"/>
      <c r="AC209" s="43"/>
      <c r="AD209" s="43"/>
      <c r="AE209" s="43"/>
      <c r="AF209" s="43">
        <v>11</v>
      </c>
    </row>
    <row r="210" ht="11.55" customHeight="1" spans="1:32">
      <c r="A210" s="980"/>
      <c r="B210" s="43"/>
      <c r="K210" s="43"/>
      <c r="N210" s="43"/>
      <c r="O210" s="43"/>
      <c r="P210" s="43"/>
      <c r="Q210" s="43"/>
      <c r="S210" s="43"/>
      <c r="T210" s="43"/>
      <c r="U210" s="43"/>
      <c r="V210" s="43"/>
      <c r="W210" s="43"/>
      <c r="X210" s="43"/>
      <c r="Y210" s="43"/>
      <c r="Z210" s="43"/>
      <c r="AA210" s="43"/>
      <c r="AB210" s="43"/>
      <c r="AC210" s="43"/>
      <c r="AD210" s="43"/>
      <c r="AE210" s="43"/>
      <c r="AF210" s="43">
        <v>11</v>
      </c>
    </row>
    <row r="211" ht="11.55" customHeight="1" spans="1:32">
      <c r="A211" s="980"/>
      <c r="B211" s="43"/>
      <c r="K211" s="43"/>
      <c r="N211" s="43"/>
      <c r="O211" s="43"/>
      <c r="P211" s="43"/>
      <c r="Q211" s="43"/>
      <c r="S211" s="43"/>
      <c r="T211" s="43"/>
      <c r="U211" s="43"/>
      <c r="V211" s="43"/>
      <c r="W211" s="43"/>
      <c r="X211" s="43"/>
      <c r="Y211" s="43"/>
      <c r="Z211" s="43"/>
      <c r="AA211" s="43"/>
      <c r="AB211" s="43"/>
      <c r="AC211" s="43"/>
      <c r="AD211" s="43"/>
      <c r="AE211" s="43"/>
      <c r="AF211" s="43">
        <v>11</v>
      </c>
    </row>
    <row r="212" ht="11.55" customHeight="1" spans="1:32">
      <c r="A212" s="980"/>
      <c r="B212" s="43"/>
      <c r="K212" s="43"/>
      <c r="N212" s="43"/>
      <c r="O212" s="43"/>
      <c r="P212" s="43"/>
      <c r="Q212" s="43"/>
      <c r="S212" s="43"/>
      <c r="T212" s="43"/>
      <c r="U212" s="43"/>
      <c r="V212" s="43"/>
      <c r="W212" s="43"/>
      <c r="X212" s="43"/>
      <c r="Y212" s="43"/>
      <c r="Z212" s="43"/>
      <c r="AA212" s="43"/>
      <c r="AB212" s="43"/>
      <c r="AC212" s="43"/>
      <c r="AD212" s="43"/>
      <c r="AE212" s="43"/>
      <c r="AF212" s="43">
        <v>11</v>
      </c>
    </row>
    <row r="213" ht="11.55" customHeight="1" spans="1:32">
      <c r="A213" s="980"/>
      <c r="B213" s="43"/>
      <c r="K213" s="43"/>
      <c r="N213" s="43"/>
      <c r="O213" s="43"/>
      <c r="P213" s="43"/>
      <c r="Q213" s="43"/>
      <c r="S213" s="43"/>
      <c r="T213" s="43"/>
      <c r="U213" s="43"/>
      <c r="V213" s="43"/>
      <c r="W213" s="43"/>
      <c r="X213" s="43"/>
      <c r="Y213" s="43"/>
      <c r="Z213" s="43"/>
      <c r="AA213" s="43"/>
      <c r="AB213" s="43"/>
      <c r="AC213" s="43"/>
      <c r="AD213" s="43"/>
      <c r="AE213" s="43"/>
      <c r="AF213" s="43">
        <v>11</v>
      </c>
    </row>
    <row r="214" ht="11.55" customHeight="1" spans="1:32">
      <c r="A214" s="980"/>
      <c r="B214" s="43"/>
      <c r="K214" s="43"/>
      <c r="N214" s="43"/>
      <c r="O214" s="43"/>
      <c r="P214" s="43"/>
      <c r="Q214" s="43"/>
      <c r="S214" s="43"/>
      <c r="T214" s="43"/>
      <c r="U214" s="43"/>
      <c r="V214" s="43"/>
      <c r="W214" s="43"/>
      <c r="X214" s="43"/>
      <c r="Y214" s="43"/>
      <c r="Z214" s="43"/>
      <c r="AA214" s="43"/>
      <c r="AB214" s="43"/>
      <c r="AC214" s="43"/>
      <c r="AD214" s="43"/>
      <c r="AE214" s="43"/>
      <c r="AF214" s="43">
        <v>11</v>
      </c>
    </row>
    <row r="215" ht="11.55" customHeight="1" spans="1:32">
      <c r="A215" s="980"/>
      <c r="B215" s="43"/>
      <c r="K215" s="43"/>
      <c r="N215" s="43"/>
      <c r="O215" s="43"/>
      <c r="P215" s="43"/>
      <c r="Q215" s="43"/>
      <c r="S215" s="43"/>
      <c r="T215" s="43"/>
      <c r="U215" s="43"/>
      <c r="V215" s="43"/>
      <c r="W215" s="43"/>
      <c r="X215" s="43"/>
      <c r="Y215" s="43"/>
      <c r="Z215" s="43"/>
      <c r="AA215" s="43"/>
      <c r="AB215" s="43"/>
      <c r="AC215" s="43"/>
      <c r="AD215" s="43"/>
      <c r="AE215" s="43"/>
      <c r="AF215" s="43">
        <v>11</v>
      </c>
    </row>
    <row r="216" ht="11.55" customHeight="1" spans="1:32">
      <c r="A216" s="980"/>
      <c r="B216" s="43"/>
      <c r="K216" s="43"/>
      <c r="N216" s="43"/>
      <c r="O216" s="43"/>
      <c r="P216" s="43"/>
      <c r="Q216" s="43"/>
      <c r="S216" s="43"/>
      <c r="T216" s="43"/>
      <c r="U216" s="43"/>
      <c r="V216" s="43"/>
      <c r="W216" s="43"/>
      <c r="X216" s="43"/>
      <c r="Y216" s="43"/>
      <c r="Z216" s="43"/>
      <c r="AA216" s="43"/>
      <c r="AB216" s="43"/>
      <c r="AC216" s="43"/>
      <c r="AD216" s="43"/>
      <c r="AE216" s="43"/>
      <c r="AF216" s="43">
        <v>11</v>
      </c>
    </row>
    <row r="217" ht="11.55" customHeight="1" spans="1:32">
      <c r="A217" s="980"/>
      <c r="B217" s="43"/>
      <c r="K217" s="43"/>
      <c r="N217" s="43"/>
      <c r="O217" s="43"/>
      <c r="P217" s="43"/>
      <c r="Q217" s="43"/>
      <c r="S217" s="43"/>
      <c r="T217" s="43"/>
      <c r="U217" s="43"/>
      <c r="V217" s="43"/>
      <c r="W217" s="43"/>
      <c r="X217" s="43"/>
      <c r="Y217" s="43"/>
      <c r="Z217" s="43"/>
      <c r="AA217" s="43"/>
      <c r="AB217" s="43"/>
      <c r="AC217" s="43"/>
      <c r="AD217" s="43"/>
      <c r="AE217" s="43"/>
      <c r="AF217" s="43">
        <v>11</v>
      </c>
    </row>
    <row r="218" ht="11.55" customHeight="1" spans="1:32">
      <c r="A218" s="980"/>
      <c r="B218" s="43"/>
      <c r="K218" s="43"/>
      <c r="N218" s="43"/>
      <c r="O218" s="43"/>
      <c r="P218" s="43"/>
      <c r="Q218" s="43"/>
      <c r="S218" s="43"/>
      <c r="T218" s="43"/>
      <c r="U218" s="43"/>
      <c r="V218" s="43"/>
      <c r="W218" s="43"/>
      <c r="X218" s="43"/>
      <c r="Y218" s="43"/>
      <c r="Z218" s="43"/>
      <c r="AA218" s="43"/>
      <c r="AB218" s="43"/>
      <c r="AC218" s="43"/>
      <c r="AD218" s="43"/>
      <c r="AE218" s="43"/>
      <c r="AF218" s="43">
        <v>11</v>
      </c>
    </row>
    <row r="219" hidden="1" customHeight="1" spans="1:32">
      <c r="A219" s="957" t="s">
        <v>83</v>
      </c>
      <c r="B219" s="38">
        <v>0</v>
      </c>
      <c r="C219" s="44">
        <v>0</v>
      </c>
      <c r="D219" s="43">
        <v>3</v>
      </c>
      <c r="E219" s="43">
        <v>7</v>
      </c>
      <c r="F219" s="43">
        <v>56</v>
      </c>
      <c r="G219" s="43">
        <v>10</v>
      </c>
      <c r="H219" s="43">
        <v>0</v>
      </c>
      <c r="I219" s="43">
        <v>40</v>
      </c>
      <c r="J219" s="43">
        <v>102</v>
      </c>
      <c r="K219" s="38">
        <v>9</v>
      </c>
      <c r="L219" s="44">
        <v>5</v>
      </c>
      <c r="M219" s="44">
        <v>3</v>
      </c>
      <c r="N219" s="38">
        <v>3</v>
      </c>
      <c r="O219" s="38">
        <v>3</v>
      </c>
      <c r="P219" s="38">
        <v>3</v>
      </c>
      <c r="Q219" s="38">
        <v>3</v>
      </c>
      <c r="R219" s="44">
        <v>10</v>
      </c>
      <c r="S219" s="38">
        <v>34</v>
      </c>
      <c r="T219" s="38">
        <v>9</v>
      </c>
      <c r="U219" s="958">
        <v>8</v>
      </c>
      <c r="V219" s="38">
        <v>8</v>
      </c>
      <c r="W219" s="38">
        <v>8</v>
      </c>
      <c r="X219" s="38">
        <v>8</v>
      </c>
      <c r="Y219" s="38">
        <v>8</v>
      </c>
      <c r="Z219" s="38">
        <v>8</v>
      </c>
      <c r="AA219" s="575">
        <v>8</v>
      </c>
      <c r="AB219" s="575">
        <v>8</v>
      </c>
      <c r="AC219" s="575">
        <v>8</v>
      </c>
      <c r="AD219" s="575">
        <v>8</v>
      </c>
      <c r="AE219" s="575">
        <v>8</v>
      </c>
      <c r="AF219" s="43">
        <v>11</v>
      </c>
    </row>
  </sheetData>
  <sheetProtection formatColumns="0" formatRows="0" insertRows="0" deleteColumns="0" deleteRows="0" sort="0" autoFilter="0"/>
  <mergeCells count="7">
    <mergeCell ref="E6:I6"/>
    <mergeCell ref="E7:I7"/>
    <mergeCell ref="F10:G10"/>
    <mergeCell ref="F11:G11"/>
    <mergeCell ref="F12:G12"/>
    <mergeCell ref="E13:G13"/>
    <mergeCell ref="J10:J14"/>
  </mergeCells>
  <dataValidations count="5">
    <dataValidation type="decimal" operator="between" allowBlank="1" showErrorMessage="1" errorTitle="Ошибка" error="Допускается ввод только неотрицательных чисел!" sqref="H2:I2 H15:I15 H40:I41 H17:I32 H35:I37 H46:I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operator="between" allowBlank="1" showErrorMessage="1" errorTitle="Ошибка" error="Допускается ввод только действительных чисел!" sqref="H42:I44">
      <formula1>-9.99999999999999E+37</formula1>
      <formula2>9.99999999999999E+37</formula2>
    </dataValidation>
    <dataValidation type="decimal" operator="between" allowBlank="1" showErrorMessage="1" errorTitle="Ошибка" error="Допускается ввод только действительных чисел!" sqref="H38:I39">
      <formula1>-9.99999999999999E+23</formula1>
      <formula2>9.99999999999999E+23</formula2>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F215"/>
  <sheetViews>
    <sheetView showGridLines="0" zoomScale="90" zoomScaleNormal="90" workbookViewId="0">
      <pane xSplit="8" ySplit="14" topLeftCell="I15" activePane="bottomRight" state="frozen"/>
      <selection/>
      <selection pane="topRight"/>
      <selection pane="bottomLeft"/>
      <selection pane="bottomRight" activeCell="A1" sqref="A1"/>
    </sheetView>
  </sheetViews>
  <sheetFormatPr defaultColWidth="9.14285714285714" defaultRowHeight="11.25" customHeight="1"/>
  <cols>
    <col min="1" max="1" width="10.7142857142857" style="957" hidden="1" customWidth="1"/>
    <col min="2" max="2" width="16.847619047619" style="38" hidden="1" customWidth="1"/>
    <col min="3" max="3" width="5.57142857142857" style="44" hidden="1" customWidth="1"/>
    <col min="4" max="4" width="3" style="43" customWidth="1"/>
    <col min="5" max="5" width="7" style="43" customWidth="1"/>
    <col min="6" max="6" width="54" style="43" customWidth="1"/>
    <col min="7" max="7" width="10" style="43" customWidth="1"/>
    <col min="8" max="8" width="40.7142857142857" style="43" hidden="1" customWidth="1"/>
    <col min="9" max="9" width="40" style="43" customWidth="1"/>
    <col min="10" max="10" width="102" style="43" customWidth="1"/>
    <col min="11" max="11" width="9" style="38" customWidth="1"/>
    <col min="12" max="12" width="5" style="44" customWidth="1"/>
    <col min="13" max="13" width="3" style="44" customWidth="1"/>
    <col min="14" max="17" width="3" style="38" customWidth="1"/>
    <col min="18" max="18" width="10" style="44" customWidth="1"/>
    <col min="19" max="19" width="34" style="38" customWidth="1"/>
    <col min="20" max="20" width="9" style="38" customWidth="1"/>
    <col min="21" max="21" width="8" style="958" customWidth="1"/>
    <col min="22" max="26" width="8" style="38" customWidth="1"/>
    <col min="27" max="31" width="8" style="575" customWidth="1"/>
    <col min="32" max="32" width="9.14285714285714" style="43" hidden="1"/>
  </cols>
  <sheetData>
    <row r="1" s="38" customFormat="1" ht="22.5" hidden="1" customHeight="1" spans="1:32">
      <c r="A1" s="957"/>
      <c r="C1" s="44"/>
      <c r="H1" s="38">
        <v>4</v>
      </c>
      <c r="I1" s="38">
        <v>4</v>
      </c>
      <c r="L1" s="44"/>
      <c r="M1" s="44"/>
      <c r="R1" s="44"/>
      <c r="AF1" s="38" t="s">
        <v>14</v>
      </c>
    </row>
    <row r="2" s="38" customFormat="1" ht="22.5" hidden="1" customHeight="1" spans="1:32">
      <c r="A2" s="957"/>
      <c r="C2" s="44"/>
      <c r="D2" s="834"/>
      <c r="E2" s="64"/>
      <c r="F2" s="219"/>
      <c r="G2" s="64" t="s">
        <v>546</v>
      </c>
      <c r="H2" s="102"/>
      <c r="I2" s="102"/>
      <c r="J2" s="977" t="s">
        <v>549</v>
      </c>
      <c r="K2" s="978"/>
      <c r="L2" s="44"/>
      <c r="M2" s="44"/>
      <c r="R2" s="44"/>
      <c r="U2" s="958"/>
      <c r="AA2" s="575"/>
      <c r="AB2" s="575"/>
      <c r="AC2" s="575"/>
      <c r="AD2" s="575"/>
      <c r="AE2" s="575"/>
      <c r="AF2" s="38">
        <v>0</v>
      </c>
    </row>
    <row r="3" hidden="1" customHeight="1" spans="32:32">
      <c r="AF3" s="43">
        <v>0</v>
      </c>
    </row>
    <row r="4" s="575" customFormat="1" hidden="1" customHeight="1" spans="1:32">
      <c r="A4" s="957"/>
      <c r="B4" s="38"/>
      <c r="C4" s="44"/>
      <c r="J4" s="575">
        <v>4</v>
      </c>
      <c r="K4" s="38"/>
      <c r="L4" s="44"/>
      <c r="M4" s="44"/>
      <c r="N4" s="38"/>
      <c r="O4" s="38"/>
      <c r="P4" s="38"/>
      <c r="Q4" s="38"/>
      <c r="R4" s="44"/>
      <c r="S4" s="38"/>
      <c r="T4" s="38"/>
      <c r="U4" s="958"/>
      <c r="V4" s="38"/>
      <c r="W4" s="38"/>
      <c r="X4" s="38"/>
      <c r="Y4" s="38"/>
      <c r="Z4" s="38"/>
      <c r="AF4" s="575">
        <v>0</v>
      </c>
    </row>
    <row r="5" ht="11.55" customHeight="1" spans="32:32">
      <c r="AF5" s="43">
        <v>11</v>
      </c>
    </row>
    <row r="6" ht="33.75" customHeight="1" spans="5:32">
      <c r="E6" s="755" t="s">
        <v>775</v>
      </c>
      <c r="F6" s="755"/>
      <c r="G6" s="755"/>
      <c r="H6" s="755"/>
      <c r="I6" s="755"/>
      <c r="J6" s="121"/>
      <c r="AF6" s="43">
        <v>32</v>
      </c>
    </row>
    <row r="7" ht="25.2" customHeight="1" spans="5:32">
      <c r="E7" s="660" t="str">
        <f>IF(org=0,"Не определено",org)</f>
        <v>АО "Теплокоммунэнерго"</v>
      </c>
      <c r="F7" s="660"/>
      <c r="G7" s="660"/>
      <c r="H7" s="660"/>
      <c r="I7" s="660"/>
      <c r="AF7" s="43">
        <v>24</v>
      </c>
    </row>
    <row r="8" ht="11.55" customHeight="1" spans="5:32">
      <c r="E8" s="899"/>
      <c r="F8" s="899"/>
      <c r="G8" s="899"/>
      <c r="H8" s="899"/>
      <c r="I8" s="899"/>
      <c r="AF8" s="43">
        <v>11</v>
      </c>
    </row>
    <row r="9" s="44" customFormat="1" ht="1.05" customHeight="1" spans="1:32">
      <c r="A9" s="307"/>
      <c r="H9" s="959"/>
      <c r="I9" s="959" t="s">
        <v>115</v>
      </c>
      <c r="AF9" s="44">
        <v>1</v>
      </c>
    </row>
    <row r="10" ht="11.55" customHeight="1" spans="5:32">
      <c r="E10" s="756"/>
      <c r="F10" s="757" t="s">
        <v>103</v>
      </c>
      <c r="G10" s="758"/>
      <c r="H10" s="924" t="str">
        <f>IF(H9="","",INDEX(DIFFERENTIATION_UNMERGE_VD,MATCH(H9,DIFFERENTIATION_ID_DIFF,0)))</f>
        <v/>
      </c>
      <c r="I10" s="924">
        <f>IF(I9="","",INDEX(DIFFERENTIATION_UNMERGE_VD,MATCH(I9,DIFFERENTIATION_ID_DIFF,0)))</f>
        <v>0</v>
      </c>
      <c r="J10" s="64" t="s">
        <v>297</v>
      </c>
      <c r="AF10" s="43">
        <v>11</v>
      </c>
    </row>
    <row r="11" ht="11.55" customHeight="1" spans="5:32">
      <c r="E11" s="756"/>
      <c r="F11" s="757" t="s">
        <v>558</v>
      </c>
      <c r="G11" s="758"/>
      <c r="H11" s="924" t="str">
        <f>IF(H9="","",INDEX(DIFFERENTIATION_UNMERGE_AREA,MATCH(H9,DIFFERENTIATION_ID_DIFF,0)))</f>
        <v/>
      </c>
      <c r="I11" s="924" t="str">
        <f>IF(I9="","",INDEX(DIFFERENTIATION_UNMERGE_AREA,MATCH(I9,DIFFERENTIATION_ID_DIFF,0)))</f>
        <v/>
      </c>
      <c r="J11" s="64"/>
      <c r="AF11" s="43">
        <v>11</v>
      </c>
    </row>
    <row r="12" hidden="1" customHeight="1" spans="5:32">
      <c r="E12" s="960"/>
      <c r="F12" s="961" t="s">
        <v>559</v>
      </c>
      <c r="G12" s="962"/>
      <c r="H12" s="963" t="str">
        <f>IF(H9="","",INDEX(DIFFERENTIATION_UNMERGE_SYSTEM,MATCH(H9,DIFFERENTIATION_ID_DIFF,0)))</f>
        <v/>
      </c>
      <c r="I12" s="963" t="str">
        <f>IF(I9="","",INDEX(DIFFERENTIATION_UNMERGE_SYSTEM,MATCH(I9,DIFFERENTIATION_ID_DIFF,0)))</f>
        <v>без дифференциации</v>
      </c>
      <c r="J12" s="64"/>
      <c r="AF12" s="43">
        <v>0</v>
      </c>
    </row>
    <row r="13" ht="11.55" customHeight="1" spans="5:32">
      <c r="E13" s="761" t="s">
        <v>296</v>
      </c>
      <c r="F13" s="762"/>
      <c r="G13" s="762"/>
      <c r="H13" s="757"/>
      <c r="I13" s="757"/>
      <c r="J13" s="64"/>
      <c r="AF13" s="43">
        <v>11</v>
      </c>
    </row>
    <row r="14" ht="24" customHeight="1" spans="5:32">
      <c r="E14" s="64" t="s">
        <v>89</v>
      </c>
      <c r="F14" s="64" t="s">
        <v>298</v>
      </c>
      <c r="G14" s="64" t="s">
        <v>560</v>
      </c>
      <c r="H14" s="64" t="s">
        <v>299</v>
      </c>
      <c r="I14" s="64" t="s">
        <v>299</v>
      </c>
      <c r="J14" s="64"/>
      <c r="AF14" s="43">
        <v>23</v>
      </c>
    </row>
    <row r="15" ht="19.95" customHeight="1" spans="4:32">
      <c r="D15" s="522"/>
      <c r="E15" s="964" t="s">
        <v>107</v>
      </c>
      <c r="F15" s="393" t="s">
        <v>776</v>
      </c>
      <c r="G15" s="64" t="s">
        <v>546</v>
      </c>
      <c r="H15" s="928"/>
      <c r="I15" s="928"/>
      <c r="J15" s="83" t="s">
        <v>777</v>
      </c>
      <c r="K15" s="978" t="s">
        <v>624</v>
      </c>
      <c r="AF15" s="43">
        <v>19</v>
      </c>
    </row>
    <row r="16" ht="24" customHeight="1" spans="4:32">
      <c r="D16" s="522"/>
      <c r="E16" s="964" t="s">
        <v>108</v>
      </c>
      <c r="F16" s="965" t="s">
        <v>778</v>
      </c>
      <c r="G16" s="64" t="s">
        <v>546</v>
      </c>
      <c r="H16" s="391">
        <f>SUM(H17,H20:H27)</f>
        <v>0</v>
      </c>
      <c r="I16" s="391">
        <f>SUM(I17,I20:I27)</f>
        <v>0</v>
      </c>
      <c r="J16" s="886" t="s">
        <v>779</v>
      </c>
      <c r="K16" s="978" t="s">
        <v>624</v>
      </c>
      <c r="AF16" s="43">
        <v>23</v>
      </c>
    </row>
    <row r="17" ht="35.7" customHeight="1" spans="4:32">
      <c r="D17" s="522"/>
      <c r="E17" s="966" t="s">
        <v>703</v>
      </c>
      <c r="F17" s="887" t="s">
        <v>780</v>
      </c>
      <c r="G17" s="127" t="s">
        <v>546</v>
      </c>
      <c r="H17" s="928"/>
      <c r="I17" s="928"/>
      <c r="J17" s="83" t="s">
        <v>781</v>
      </c>
      <c r="K17" s="978"/>
      <c r="AF17" s="43">
        <v>34</v>
      </c>
    </row>
    <row r="18" ht="19.95" customHeight="1" spans="4:32">
      <c r="D18" s="522"/>
      <c r="E18" s="966" t="s">
        <v>706</v>
      </c>
      <c r="F18" s="888" t="s">
        <v>782</v>
      </c>
      <c r="G18" s="127" t="s">
        <v>546</v>
      </c>
      <c r="H18" s="928"/>
      <c r="I18" s="928"/>
      <c r="J18" s="83"/>
      <c r="K18" s="978"/>
      <c r="AF18" s="43">
        <v>19</v>
      </c>
    </row>
    <row r="19" ht="24" customHeight="1" spans="4:32">
      <c r="D19" s="522"/>
      <c r="E19" s="966" t="s">
        <v>709</v>
      </c>
      <c r="F19" s="888" t="s">
        <v>783</v>
      </c>
      <c r="G19" s="127" t="s">
        <v>546</v>
      </c>
      <c r="H19" s="928"/>
      <c r="I19" s="928"/>
      <c r="J19" s="83"/>
      <c r="K19" s="978"/>
      <c r="AF19" s="43">
        <v>23</v>
      </c>
    </row>
    <row r="20" ht="35.7" customHeight="1" spans="4:32">
      <c r="D20" s="522"/>
      <c r="E20" s="966" t="s">
        <v>303</v>
      </c>
      <c r="F20" s="887" t="s">
        <v>784</v>
      </c>
      <c r="G20" s="127" t="s">
        <v>546</v>
      </c>
      <c r="H20" s="928"/>
      <c r="I20" s="928"/>
      <c r="J20" s="83"/>
      <c r="K20" s="978"/>
      <c r="AF20" s="43">
        <v>34</v>
      </c>
    </row>
    <row r="21" ht="48.3" customHeight="1" spans="4:32">
      <c r="D21" s="522"/>
      <c r="E21" s="966" t="s">
        <v>306</v>
      </c>
      <c r="F21" s="887" t="s">
        <v>785</v>
      </c>
      <c r="G21" s="127" t="s">
        <v>546</v>
      </c>
      <c r="H21" s="928"/>
      <c r="I21" s="928"/>
      <c r="J21" s="83"/>
      <c r="K21" s="978"/>
      <c r="AF21" s="43">
        <v>46</v>
      </c>
    </row>
    <row r="22" ht="60" customHeight="1" spans="4:32">
      <c r="D22" s="522"/>
      <c r="E22" s="966" t="s">
        <v>723</v>
      </c>
      <c r="F22" s="887" t="s">
        <v>786</v>
      </c>
      <c r="G22" s="127" t="s">
        <v>546</v>
      </c>
      <c r="H22" s="928"/>
      <c r="I22" s="928"/>
      <c r="J22" s="83"/>
      <c r="K22" s="978"/>
      <c r="AF22" s="43">
        <v>57</v>
      </c>
    </row>
    <row r="23" ht="35.7" customHeight="1" spans="4:32">
      <c r="D23" s="522"/>
      <c r="E23" s="966" t="s">
        <v>730</v>
      </c>
      <c r="F23" s="887" t="s">
        <v>787</v>
      </c>
      <c r="G23" s="127" t="s">
        <v>546</v>
      </c>
      <c r="H23" s="928"/>
      <c r="I23" s="928"/>
      <c r="J23" s="83"/>
      <c r="K23" s="978"/>
      <c r="AF23" s="43">
        <v>34</v>
      </c>
    </row>
    <row r="24" ht="35.7" customHeight="1" spans="4:32">
      <c r="D24" s="522"/>
      <c r="E24" s="966" t="s">
        <v>732</v>
      </c>
      <c r="F24" s="887" t="s">
        <v>788</v>
      </c>
      <c r="G24" s="127" t="s">
        <v>546</v>
      </c>
      <c r="H24" s="928"/>
      <c r="I24" s="928"/>
      <c r="J24" s="83"/>
      <c r="K24" s="978"/>
      <c r="AF24" s="43">
        <v>34</v>
      </c>
    </row>
    <row r="25" ht="24" customHeight="1" spans="4:32">
      <c r="D25" s="522"/>
      <c r="E25" s="966" t="s">
        <v>734</v>
      </c>
      <c r="F25" s="887" t="s">
        <v>789</v>
      </c>
      <c r="G25" s="127" t="s">
        <v>546</v>
      </c>
      <c r="H25" s="928"/>
      <c r="I25" s="928"/>
      <c r="J25" s="83"/>
      <c r="K25" s="978"/>
      <c r="AF25" s="43">
        <v>23</v>
      </c>
    </row>
    <row r="26" ht="76.5" customHeight="1" spans="4:32">
      <c r="D26" s="522"/>
      <c r="E26" s="966" t="s">
        <v>736</v>
      </c>
      <c r="F26" s="887" t="s">
        <v>790</v>
      </c>
      <c r="G26" s="127" t="s">
        <v>546</v>
      </c>
      <c r="H26" s="928"/>
      <c r="I26" s="928"/>
      <c r="J26" s="83"/>
      <c r="K26" s="978"/>
      <c r="AF26" s="43">
        <v>73</v>
      </c>
    </row>
    <row r="27" s="38" customFormat="1" ht="35.7" customHeight="1" spans="1:32">
      <c r="A27" s="957"/>
      <c r="C27" s="44"/>
      <c r="D27" s="522"/>
      <c r="E27" s="967" t="s">
        <v>740</v>
      </c>
      <c r="F27" s="658" t="s">
        <v>791</v>
      </c>
      <c r="G27" s="71" t="s">
        <v>546</v>
      </c>
      <c r="H27" s="968">
        <f>SUM(H28:H29)</f>
        <v>0</v>
      </c>
      <c r="I27" s="968">
        <f>SUM(I28:I29)</f>
        <v>0</v>
      </c>
      <c r="J27" s="83" t="s">
        <v>738</v>
      </c>
      <c r="K27" s="978"/>
      <c r="L27" s="44"/>
      <c r="M27" s="44"/>
      <c r="R27" s="44"/>
      <c r="U27" s="958"/>
      <c r="AA27" s="575"/>
      <c r="AB27" s="575"/>
      <c r="AC27" s="575"/>
      <c r="AD27" s="575"/>
      <c r="AE27" s="575"/>
      <c r="AF27" s="38">
        <v>34</v>
      </c>
    </row>
    <row r="28" s="44" customFormat="1" ht="1.05" customHeight="1" spans="1:32">
      <c r="A28" s="307"/>
      <c r="D28" s="307"/>
      <c r="E28" s="675" t="str">
        <f>E27&amp;".0"</f>
        <v>2.9.0</v>
      </c>
      <c r="F28" s="969"/>
      <c r="G28" s="675"/>
      <c r="H28" s="970"/>
      <c r="I28" s="970"/>
      <c r="J28" s="979"/>
      <c r="AF28" s="44">
        <v>1</v>
      </c>
    </row>
    <row r="29" s="38" customFormat="1" ht="19.95" customHeight="1" spans="1:32">
      <c r="A29" s="957"/>
      <c r="C29" s="44"/>
      <c r="D29" s="217"/>
      <c r="E29" s="971"/>
      <c r="F29" s="972" t="s">
        <v>571</v>
      </c>
      <c r="G29" s="402"/>
      <c r="H29" s="921"/>
      <c r="I29" s="921"/>
      <c r="J29" s="67" t="s">
        <v>739</v>
      </c>
      <c r="K29" s="978"/>
      <c r="L29" s="44"/>
      <c r="M29" s="44"/>
      <c r="R29" s="44"/>
      <c r="U29" s="958"/>
      <c r="AA29" s="575"/>
      <c r="AB29" s="575"/>
      <c r="AC29" s="575"/>
      <c r="AD29" s="575"/>
      <c r="AE29" s="575"/>
      <c r="AF29" s="38">
        <v>19</v>
      </c>
    </row>
    <row r="30" ht="76.5" customHeight="1" spans="4:32">
      <c r="D30" s="522"/>
      <c r="E30" s="966" t="s">
        <v>792</v>
      </c>
      <c r="F30" s="887" t="s">
        <v>747</v>
      </c>
      <c r="G30" s="127" t="s">
        <v>546</v>
      </c>
      <c r="H30" s="928"/>
      <c r="I30" s="928"/>
      <c r="J30" s="886" t="s">
        <v>793</v>
      </c>
      <c r="K30" s="978"/>
      <c r="AF30" s="43">
        <v>73</v>
      </c>
    </row>
    <row r="31" s="38" customFormat="1" ht="24" customHeight="1" spans="1:32">
      <c r="A31" s="957"/>
      <c r="C31" s="44"/>
      <c r="D31" s="522"/>
      <c r="E31" s="966" t="s">
        <v>91</v>
      </c>
      <c r="F31" s="886" t="s">
        <v>794</v>
      </c>
      <c r="G31" s="127" t="s">
        <v>546</v>
      </c>
      <c r="H31" s="928"/>
      <c r="I31" s="928"/>
      <c r="J31" s="83"/>
      <c r="K31" s="978"/>
      <c r="L31" s="44"/>
      <c r="M31" s="44"/>
      <c r="R31" s="44"/>
      <c r="U31" s="958"/>
      <c r="AA31" s="575"/>
      <c r="AB31" s="575"/>
      <c r="AC31" s="575"/>
      <c r="AD31" s="575"/>
      <c r="AE31" s="575"/>
      <c r="AF31" s="38">
        <v>23</v>
      </c>
    </row>
    <row r="32" s="38" customFormat="1" ht="35.7" customHeight="1" spans="1:32">
      <c r="A32" s="957"/>
      <c r="C32" s="44"/>
      <c r="D32" s="973"/>
      <c r="E32" s="966" t="s">
        <v>92</v>
      </c>
      <c r="F32" s="886" t="s">
        <v>795</v>
      </c>
      <c r="G32" s="127" t="s">
        <v>546</v>
      </c>
      <c r="H32" s="928"/>
      <c r="I32" s="928"/>
      <c r="J32" s="83" t="s">
        <v>796</v>
      </c>
      <c r="K32" s="978"/>
      <c r="L32" s="44"/>
      <c r="M32" s="44"/>
      <c r="R32" s="44"/>
      <c r="U32" s="958"/>
      <c r="AA32" s="575"/>
      <c r="AB32" s="575"/>
      <c r="AC32" s="575"/>
      <c r="AD32" s="575"/>
      <c r="AE32" s="575"/>
      <c r="AF32" s="38">
        <v>34</v>
      </c>
    </row>
    <row r="33" s="38" customFormat="1" ht="24" customHeight="1" spans="1:32">
      <c r="A33" s="957"/>
      <c r="C33" s="44"/>
      <c r="D33" s="522"/>
      <c r="E33" s="966" t="s">
        <v>754</v>
      </c>
      <c r="F33" s="887" t="s">
        <v>758</v>
      </c>
      <c r="G33" s="127" t="s">
        <v>546</v>
      </c>
      <c r="H33" s="928"/>
      <c r="I33" s="928"/>
      <c r="J33" s="83" t="s">
        <v>797</v>
      </c>
      <c r="K33" s="978"/>
      <c r="L33" s="44"/>
      <c r="M33" s="44"/>
      <c r="R33" s="44"/>
      <c r="U33" s="958"/>
      <c r="AA33" s="575"/>
      <c r="AB33" s="575"/>
      <c r="AC33" s="575"/>
      <c r="AD33" s="575"/>
      <c r="AE33" s="575"/>
      <c r="AF33" s="38">
        <v>23</v>
      </c>
    </row>
    <row r="34" s="38" customFormat="1" ht="24" customHeight="1" spans="1:32">
      <c r="A34" s="957"/>
      <c r="C34" s="44"/>
      <c r="D34" s="522"/>
      <c r="E34" s="966" t="s">
        <v>798</v>
      </c>
      <c r="F34" s="887" t="s">
        <v>799</v>
      </c>
      <c r="G34" s="127" t="s">
        <v>546</v>
      </c>
      <c r="H34" s="928"/>
      <c r="I34" s="928"/>
      <c r="J34" s="83" t="s">
        <v>800</v>
      </c>
      <c r="K34" s="978"/>
      <c r="L34" s="44"/>
      <c r="M34" s="44"/>
      <c r="R34" s="44"/>
      <c r="U34" s="958"/>
      <c r="AA34" s="575"/>
      <c r="AB34" s="575"/>
      <c r="AC34" s="575"/>
      <c r="AD34" s="575"/>
      <c r="AE34" s="575"/>
      <c r="AF34" s="38">
        <v>23</v>
      </c>
    </row>
    <row r="35" s="38" customFormat="1" ht="24" customHeight="1" spans="1:32">
      <c r="A35" s="957"/>
      <c r="C35" s="44"/>
      <c r="D35" s="522"/>
      <c r="E35" s="966" t="s">
        <v>801</v>
      </c>
      <c r="F35" s="887" t="s">
        <v>764</v>
      </c>
      <c r="G35" s="127" t="s">
        <v>546</v>
      </c>
      <c r="H35" s="928"/>
      <c r="I35" s="928"/>
      <c r="J35" s="83" t="s">
        <v>802</v>
      </c>
      <c r="K35" s="978"/>
      <c r="L35" s="44"/>
      <c r="M35" s="44"/>
      <c r="R35" s="44"/>
      <c r="U35" s="958"/>
      <c r="AA35" s="575"/>
      <c r="AB35" s="575"/>
      <c r="AC35" s="575"/>
      <c r="AD35" s="575"/>
      <c r="AE35" s="575"/>
      <c r="AF35" s="38">
        <v>23</v>
      </c>
    </row>
    <row r="36" s="38" customFormat="1" ht="35.7" customHeight="1" spans="1:32">
      <c r="A36" s="957"/>
      <c r="C36" s="44" t="s">
        <v>574</v>
      </c>
      <c r="D36" s="522"/>
      <c r="E36" s="966" t="s">
        <v>109</v>
      </c>
      <c r="F36" s="886" t="s">
        <v>623</v>
      </c>
      <c r="G36" s="64" t="s">
        <v>302</v>
      </c>
      <c r="H36" s="628"/>
      <c r="I36" s="628"/>
      <c r="J36" s="83" t="s">
        <v>803</v>
      </c>
      <c r="K36" s="978"/>
      <c r="L36" s="44"/>
      <c r="M36" s="44"/>
      <c r="R36" s="44"/>
      <c r="U36" s="958"/>
      <c r="AA36" s="575"/>
      <c r="AB36" s="575"/>
      <c r="AC36" s="575"/>
      <c r="AD36" s="575"/>
      <c r="AE36" s="575"/>
      <c r="AF36" s="38">
        <v>34</v>
      </c>
    </row>
    <row r="37" s="38" customFormat="1" ht="35.7" customHeight="1" spans="1:32">
      <c r="A37" s="957"/>
      <c r="C37" s="44"/>
      <c r="D37" s="522"/>
      <c r="E37" s="966" t="s">
        <v>93</v>
      </c>
      <c r="F37" s="886" t="s">
        <v>804</v>
      </c>
      <c r="G37" s="127" t="s">
        <v>769</v>
      </c>
      <c r="H37" s="974"/>
      <c r="I37" s="974"/>
      <c r="J37" s="83" t="s">
        <v>770</v>
      </c>
      <c r="K37" s="978"/>
      <c r="L37" s="44"/>
      <c r="M37" s="44"/>
      <c r="R37" s="44"/>
      <c r="U37" s="958"/>
      <c r="AA37" s="575"/>
      <c r="AB37" s="575"/>
      <c r="AC37" s="575"/>
      <c r="AD37" s="575"/>
      <c r="AE37" s="575"/>
      <c r="AF37" s="38">
        <v>34</v>
      </c>
    </row>
    <row r="38" s="38" customFormat="1" ht="33.75" customHeight="1" spans="1:31">
      <c r="A38" s="957"/>
      <c r="C38" s="44"/>
      <c r="D38" s="522"/>
      <c r="E38" s="966" t="s">
        <v>646</v>
      </c>
      <c r="F38" s="887" t="s">
        <v>805</v>
      </c>
      <c r="G38" s="127" t="s">
        <v>769</v>
      </c>
      <c r="H38" s="975"/>
      <c r="I38" s="975"/>
      <c r="J38" s="886" t="s">
        <v>806</v>
      </c>
      <c r="K38" s="978"/>
      <c r="L38" s="44"/>
      <c r="M38" s="44"/>
      <c r="R38" s="44"/>
      <c r="U38" s="958"/>
      <c r="AA38" s="575"/>
      <c r="AB38" s="575"/>
      <c r="AC38" s="575"/>
      <c r="AD38" s="575"/>
      <c r="AE38" s="575"/>
    </row>
    <row r="39" s="38" customFormat="1" ht="33.75" customHeight="1" spans="1:31">
      <c r="A39" s="957"/>
      <c r="C39" s="44"/>
      <c r="D39" s="522"/>
      <c r="E39" s="966" t="s">
        <v>650</v>
      </c>
      <c r="F39" s="887" t="s">
        <v>807</v>
      </c>
      <c r="G39" s="127" t="s">
        <v>769</v>
      </c>
      <c r="H39" s="975"/>
      <c r="I39" s="975"/>
      <c r="J39" s="886" t="s">
        <v>808</v>
      </c>
      <c r="K39" s="978"/>
      <c r="L39" s="44"/>
      <c r="M39" s="44"/>
      <c r="R39" s="44"/>
      <c r="U39" s="958"/>
      <c r="AA39" s="575"/>
      <c r="AB39" s="575"/>
      <c r="AC39" s="575"/>
      <c r="AD39" s="575"/>
      <c r="AE39" s="575"/>
    </row>
    <row r="40" s="38" customFormat="1" ht="24" customHeight="1" spans="1:32">
      <c r="A40" s="957"/>
      <c r="C40" s="44"/>
      <c r="D40" s="522"/>
      <c r="E40" s="966" t="s">
        <v>94</v>
      </c>
      <c r="F40" s="886" t="s">
        <v>809</v>
      </c>
      <c r="G40" s="127" t="s">
        <v>772</v>
      </c>
      <c r="H40" s="974"/>
      <c r="I40" s="974"/>
      <c r="J40" s="83" t="s">
        <v>773</v>
      </c>
      <c r="K40" s="978"/>
      <c r="L40" s="44"/>
      <c r="M40" s="44"/>
      <c r="R40" s="44"/>
      <c r="U40" s="958"/>
      <c r="AA40" s="575"/>
      <c r="AB40" s="575"/>
      <c r="AC40" s="575"/>
      <c r="AD40" s="575"/>
      <c r="AE40" s="575"/>
      <c r="AF40" s="38">
        <v>23</v>
      </c>
    </row>
    <row r="41" s="38" customFormat="1" ht="24" customHeight="1" spans="1:32">
      <c r="A41" s="957"/>
      <c r="C41" s="44"/>
      <c r="D41" s="522"/>
      <c r="E41" s="966" t="s">
        <v>810</v>
      </c>
      <c r="F41" s="887" t="s">
        <v>811</v>
      </c>
      <c r="G41" s="127" t="s">
        <v>772</v>
      </c>
      <c r="H41" s="975"/>
      <c r="I41" s="975"/>
      <c r="J41" s="886" t="s">
        <v>812</v>
      </c>
      <c r="K41" s="978"/>
      <c r="L41" s="44"/>
      <c r="M41" s="44"/>
      <c r="R41" s="44"/>
      <c r="U41" s="958"/>
      <c r="AA41" s="575"/>
      <c r="AB41" s="575"/>
      <c r="AC41" s="575"/>
      <c r="AD41" s="575"/>
      <c r="AE41" s="575"/>
      <c r="AF41" s="38">
        <v>23</v>
      </c>
    </row>
    <row r="42" s="38" customFormat="1" ht="24" customHeight="1" spans="1:32">
      <c r="A42" s="957"/>
      <c r="C42" s="44"/>
      <c r="D42" s="522"/>
      <c r="E42" s="966" t="s">
        <v>813</v>
      </c>
      <c r="F42" s="887" t="s">
        <v>814</v>
      </c>
      <c r="G42" s="127" t="s">
        <v>772</v>
      </c>
      <c r="H42" s="975"/>
      <c r="I42" s="975"/>
      <c r="J42" s="886" t="s">
        <v>815</v>
      </c>
      <c r="K42" s="978"/>
      <c r="L42" s="44"/>
      <c r="M42" s="44"/>
      <c r="R42" s="44"/>
      <c r="U42" s="958"/>
      <c r="AA42" s="575"/>
      <c r="AB42" s="575"/>
      <c r="AC42" s="575"/>
      <c r="AD42" s="575"/>
      <c r="AE42" s="575"/>
      <c r="AF42" s="38">
        <v>23</v>
      </c>
    </row>
    <row r="43" ht="11.55" customHeight="1" spans="4:32">
      <c r="D43" s="522"/>
      <c r="AF43" s="43">
        <v>11</v>
      </c>
    </row>
    <row r="44" ht="27.3" customHeight="1" spans="4:32">
      <c r="D44" s="522"/>
      <c r="E44" s="786" t="s">
        <v>816</v>
      </c>
      <c r="F44" s="120" t="s">
        <v>817</v>
      </c>
      <c r="G44" s="120"/>
      <c r="H44" s="789"/>
      <c r="I44" s="789"/>
      <c r="J44" s="789"/>
      <c r="AF44" s="43">
        <v>26</v>
      </c>
    </row>
    <row r="45" s="37" customFormat="1" ht="39.75" customHeight="1" spans="1:32">
      <c r="A45" s="957"/>
      <c r="B45" s="44"/>
      <c r="C45" s="44"/>
      <c r="F45" s="120" t="s">
        <v>818</v>
      </c>
      <c r="G45" s="120"/>
      <c r="H45" s="789"/>
      <c r="I45" s="789"/>
      <c r="J45" s="789"/>
      <c r="K45" s="38"/>
      <c r="L45" s="44"/>
      <c r="M45" s="44"/>
      <c r="N45" s="38"/>
      <c r="O45" s="38"/>
      <c r="P45" s="38"/>
      <c r="Q45" s="38"/>
      <c r="R45" s="44"/>
      <c r="S45" s="38"/>
      <c r="T45" s="38"/>
      <c r="U45" s="958"/>
      <c r="V45" s="38"/>
      <c r="W45" s="38"/>
      <c r="X45" s="38"/>
      <c r="Y45" s="38"/>
      <c r="Z45" s="38"/>
      <c r="AA45" s="575"/>
      <c r="AB45" s="976"/>
      <c r="AC45" s="976"/>
      <c r="AD45" s="976"/>
      <c r="AE45" s="976"/>
      <c r="AF45" s="37">
        <v>38</v>
      </c>
    </row>
    <row r="46" s="37" customFormat="1" ht="11.55" customHeight="1" spans="1:32">
      <c r="A46" s="957"/>
      <c r="B46" s="44"/>
      <c r="C46" s="44"/>
      <c r="K46" s="38"/>
      <c r="L46" s="44"/>
      <c r="M46" s="44"/>
      <c r="N46" s="38"/>
      <c r="O46" s="38"/>
      <c r="P46" s="38"/>
      <c r="Q46" s="38"/>
      <c r="R46" s="44"/>
      <c r="S46" s="38"/>
      <c r="T46" s="38"/>
      <c r="U46" s="958"/>
      <c r="V46" s="38"/>
      <c r="W46" s="38"/>
      <c r="X46" s="38"/>
      <c r="Y46" s="38"/>
      <c r="Z46" s="38"/>
      <c r="AA46" s="575"/>
      <c r="AB46" s="976"/>
      <c r="AC46" s="976"/>
      <c r="AD46" s="976"/>
      <c r="AE46" s="976"/>
      <c r="AF46" s="37">
        <v>11</v>
      </c>
    </row>
    <row r="47" s="37" customFormat="1" ht="11.55" customHeight="1" spans="1:32">
      <c r="A47" s="957"/>
      <c r="B47" s="44"/>
      <c r="C47" s="44"/>
      <c r="K47" s="38"/>
      <c r="L47" s="44"/>
      <c r="M47" s="44"/>
      <c r="N47" s="38"/>
      <c r="O47" s="38"/>
      <c r="P47" s="38"/>
      <c r="Q47" s="38"/>
      <c r="R47" s="44"/>
      <c r="S47" s="38"/>
      <c r="T47" s="38"/>
      <c r="U47" s="958"/>
      <c r="V47" s="38"/>
      <c r="W47" s="38"/>
      <c r="X47" s="38"/>
      <c r="Y47" s="38"/>
      <c r="Z47" s="38"/>
      <c r="AA47" s="575"/>
      <c r="AB47" s="976"/>
      <c r="AC47" s="976"/>
      <c r="AD47" s="976"/>
      <c r="AE47" s="976"/>
      <c r="AF47" s="37">
        <v>11</v>
      </c>
    </row>
    <row r="48" s="37" customFormat="1" ht="11.55" customHeight="1" spans="1:32">
      <c r="A48" s="957"/>
      <c r="B48" s="44"/>
      <c r="C48" s="44"/>
      <c r="H48" s="976"/>
      <c r="I48" s="976"/>
      <c r="K48" s="38"/>
      <c r="L48" s="44"/>
      <c r="M48" s="44"/>
      <c r="N48" s="38"/>
      <c r="O48" s="38"/>
      <c r="P48" s="38"/>
      <c r="Q48" s="38"/>
      <c r="R48" s="44"/>
      <c r="S48" s="38"/>
      <c r="T48" s="38"/>
      <c r="U48" s="958"/>
      <c r="V48" s="38"/>
      <c r="W48" s="38"/>
      <c r="X48" s="38"/>
      <c r="Y48" s="38"/>
      <c r="Z48" s="38"/>
      <c r="AA48" s="575"/>
      <c r="AB48" s="976"/>
      <c r="AC48" s="976"/>
      <c r="AD48" s="976"/>
      <c r="AE48" s="976"/>
      <c r="AF48" s="37">
        <v>11</v>
      </c>
    </row>
    <row r="49" s="37" customFormat="1" ht="11.55" customHeight="1" spans="1:32">
      <c r="A49" s="957"/>
      <c r="B49" s="44"/>
      <c r="C49" s="44"/>
      <c r="K49" s="38"/>
      <c r="L49" s="44"/>
      <c r="M49" s="44"/>
      <c r="N49" s="38"/>
      <c r="O49" s="38"/>
      <c r="P49" s="38"/>
      <c r="Q49" s="38"/>
      <c r="R49" s="44"/>
      <c r="S49" s="38"/>
      <c r="T49" s="38"/>
      <c r="U49" s="958"/>
      <c r="V49" s="38"/>
      <c r="W49" s="38"/>
      <c r="X49" s="38"/>
      <c r="Y49" s="38"/>
      <c r="Z49" s="38"/>
      <c r="AA49" s="575"/>
      <c r="AB49" s="976"/>
      <c r="AC49" s="976"/>
      <c r="AD49" s="976"/>
      <c r="AE49" s="976"/>
      <c r="AF49" s="37">
        <v>11</v>
      </c>
    </row>
    <row r="50" s="37" customFormat="1" ht="11.55" customHeight="1" spans="1:32">
      <c r="A50" s="957"/>
      <c r="B50" s="44"/>
      <c r="C50" s="44"/>
      <c r="K50" s="38"/>
      <c r="L50" s="44"/>
      <c r="M50" s="44"/>
      <c r="N50" s="38"/>
      <c r="O50" s="38"/>
      <c r="P50" s="38"/>
      <c r="Q50" s="38"/>
      <c r="R50" s="44"/>
      <c r="S50" s="38"/>
      <c r="T50" s="38"/>
      <c r="U50" s="958"/>
      <c r="V50" s="38"/>
      <c r="W50" s="38"/>
      <c r="X50" s="38"/>
      <c r="Y50" s="38"/>
      <c r="Z50" s="38"/>
      <c r="AA50" s="575"/>
      <c r="AB50" s="976"/>
      <c r="AC50" s="976"/>
      <c r="AD50" s="976"/>
      <c r="AE50" s="976"/>
      <c r="AF50" s="37">
        <v>11</v>
      </c>
    </row>
    <row r="51" s="37" customFormat="1" ht="11.55" customHeight="1" spans="1:32">
      <c r="A51" s="957"/>
      <c r="B51" s="44"/>
      <c r="C51" s="44"/>
      <c r="K51" s="38"/>
      <c r="L51" s="44"/>
      <c r="M51" s="44"/>
      <c r="N51" s="38"/>
      <c r="O51" s="38"/>
      <c r="P51" s="38"/>
      <c r="Q51" s="38"/>
      <c r="R51" s="44"/>
      <c r="S51" s="38"/>
      <c r="T51" s="38"/>
      <c r="U51" s="958"/>
      <c r="V51" s="38"/>
      <c r="W51" s="38"/>
      <c r="X51" s="38"/>
      <c r="Y51" s="38"/>
      <c r="Z51" s="38"/>
      <c r="AA51" s="575"/>
      <c r="AB51" s="976"/>
      <c r="AC51" s="976"/>
      <c r="AD51" s="976"/>
      <c r="AE51" s="976"/>
      <c r="AF51" s="37">
        <v>11</v>
      </c>
    </row>
    <row r="52" s="37" customFormat="1" ht="11.55" customHeight="1" spans="1:32">
      <c r="A52" s="957"/>
      <c r="B52" s="44"/>
      <c r="C52" s="44"/>
      <c r="K52" s="38"/>
      <c r="L52" s="44"/>
      <c r="M52" s="44"/>
      <c r="N52" s="38"/>
      <c r="O52" s="38"/>
      <c r="P52" s="38"/>
      <c r="Q52" s="38"/>
      <c r="R52" s="44"/>
      <c r="S52" s="38"/>
      <c r="T52" s="38"/>
      <c r="U52" s="958"/>
      <c r="V52" s="38"/>
      <c r="W52" s="38"/>
      <c r="X52" s="38"/>
      <c r="Y52" s="38"/>
      <c r="Z52" s="38"/>
      <c r="AA52" s="575"/>
      <c r="AB52" s="976"/>
      <c r="AC52" s="976"/>
      <c r="AD52" s="976"/>
      <c r="AE52" s="976"/>
      <c r="AF52" s="37">
        <v>11</v>
      </c>
    </row>
    <row r="53" s="37" customFormat="1" ht="11.55" customHeight="1" spans="1:32">
      <c r="A53" s="957"/>
      <c r="B53" s="44"/>
      <c r="C53" s="44"/>
      <c r="K53" s="38"/>
      <c r="L53" s="44"/>
      <c r="M53" s="44"/>
      <c r="N53" s="38"/>
      <c r="O53" s="38"/>
      <c r="P53" s="38"/>
      <c r="Q53" s="38"/>
      <c r="R53" s="44"/>
      <c r="S53" s="38"/>
      <c r="T53" s="38"/>
      <c r="U53" s="958"/>
      <c r="V53" s="38"/>
      <c r="W53" s="38"/>
      <c r="X53" s="38"/>
      <c r="Y53" s="38"/>
      <c r="Z53" s="38"/>
      <c r="AA53" s="575"/>
      <c r="AB53" s="976"/>
      <c r="AC53" s="976"/>
      <c r="AD53" s="976"/>
      <c r="AE53" s="976"/>
      <c r="AF53" s="37">
        <v>11</v>
      </c>
    </row>
    <row r="54" s="37" customFormat="1" ht="11.55" customHeight="1" spans="1:32">
      <c r="A54" s="957"/>
      <c r="B54" s="44"/>
      <c r="C54" s="44"/>
      <c r="K54" s="38"/>
      <c r="L54" s="44"/>
      <c r="M54" s="44"/>
      <c r="N54" s="38"/>
      <c r="O54" s="38"/>
      <c r="P54" s="38"/>
      <c r="Q54" s="38"/>
      <c r="R54" s="44"/>
      <c r="S54" s="38"/>
      <c r="T54" s="38"/>
      <c r="U54" s="958"/>
      <c r="V54" s="38"/>
      <c r="W54" s="38"/>
      <c r="X54" s="38"/>
      <c r="Y54" s="38"/>
      <c r="Z54" s="38"/>
      <c r="AA54" s="575"/>
      <c r="AB54" s="976"/>
      <c r="AC54" s="976"/>
      <c r="AD54" s="976"/>
      <c r="AE54" s="976"/>
      <c r="AF54" s="37">
        <v>11</v>
      </c>
    </row>
    <row r="55" s="37" customFormat="1" ht="11.55" customHeight="1" spans="1:32">
      <c r="A55" s="957"/>
      <c r="B55" s="44"/>
      <c r="C55" s="44"/>
      <c r="K55" s="38"/>
      <c r="L55" s="44"/>
      <c r="M55" s="44"/>
      <c r="N55" s="38"/>
      <c r="O55" s="38"/>
      <c r="P55" s="38"/>
      <c r="Q55" s="38"/>
      <c r="R55" s="44"/>
      <c r="S55" s="38"/>
      <c r="T55" s="38"/>
      <c r="U55" s="958"/>
      <c r="V55" s="38"/>
      <c r="W55" s="38"/>
      <c r="X55" s="38"/>
      <c r="Y55" s="38"/>
      <c r="Z55" s="38"/>
      <c r="AA55" s="575"/>
      <c r="AB55" s="976"/>
      <c r="AC55" s="976"/>
      <c r="AD55" s="976"/>
      <c r="AE55" s="976"/>
      <c r="AF55" s="37">
        <v>11</v>
      </c>
    </row>
    <row r="56" s="37" customFormat="1" ht="11.55" customHeight="1" spans="1:32">
      <c r="A56" s="957"/>
      <c r="B56" s="44"/>
      <c r="C56" s="44"/>
      <c r="K56" s="38"/>
      <c r="L56" s="44"/>
      <c r="M56" s="44"/>
      <c r="N56" s="38"/>
      <c r="O56" s="38"/>
      <c r="P56" s="38"/>
      <c r="Q56" s="38"/>
      <c r="R56" s="44"/>
      <c r="S56" s="38"/>
      <c r="T56" s="38"/>
      <c r="U56" s="958"/>
      <c r="V56" s="38"/>
      <c r="W56" s="38"/>
      <c r="X56" s="38"/>
      <c r="Y56" s="38"/>
      <c r="Z56" s="38"/>
      <c r="AA56" s="575"/>
      <c r="AB56" s="976"/>
      <c r="AC56" s="976"/>
      <c r="AD56" s="976"/>
      <c r="AE56" s="976"/>
      <c r="AF56" s="37">
        <v>11</v>
      </c>
    </row>
    <row r="57" s="37" customFormat="1" ht="11.55" customHeight="1" spans="1:32">
      <c r="A57" s="957"/>
      <c r="B57" s="44"/>
      <c r="C57" s="44"/>
      <c r="K57" s="38"/>
      <c r="L57" s="44"/>
      <c r="M57" s="44"/>
      <c r="N57" s="38"/>
      <c r="O57" s="38"/>
      <c r="P57" s="38"/>
      <c r="Q57" s="38"/>
      <c r="R57" s="44"/>
      <c r="S57" s="38"/>
      <c r="T57" s="38"/>
      <c r="U57" s="958"/>
      <c r="V57" s="38"/>
      <c r="W57" s="38"/>
      <c r="X57" s="38"/>
      <c r="Y57" s="38"/>
      <c r="Z57" s="38"/>
      <c r="AA57" s="575"/>
      <c r="AB57" s="976"/>
      <c r="AC57" s="976"/>
      <c r="AD57" s="976"/>
      <c r="AE57" s="976"/>
      <c r="AF57" s="37">
        <v>11</v>
      </c>
    </row>
    <row r="58" s="37" customFormat="1" ht="11.55" customHeight="1" spans="1:32">
      <c r="A58" s="957"/>
      <c r="B58" s="44"/>
      <c r="C58" s="44"/>
      <c r="K58" s="38"/>
      <c r="L58" s="44"/>
      <c r="M58" s="44"/>
      <c r="N58" s="38"/>
      <c r="O58" s="38"/>
      <c r="P58" s="38"/>
      <c r="Q58" s="38"/>
      <c r="R58" s="44"/>
      <c r="S58" s="38"/>
      <c r="T58" s="38"/>
      <c r="U58" s="958"/>
      <c r="V58" s="38"/>
      <c r="W58" s="38"/>
      <c r="X58" s="38"/>
      <c r="Y58" s="38"/>
      <c r="Z58" s="38"/>
      <c r="AA58" s="575"/>
      <c r="AB58" s="976"/>
      <c r="AC58" s="976"/>
      <c r="AD58" s="976"/>
      <c r="AE58" s="976"/>
      <c r="AF58" s="37">
        <v>11</v>
      </c>
    </row>
    <row r="59" s="37" customFormat="1" ht="11.55" customHeight="1" spans="1:32">
      <c r="A59" s="957"/>
      <c r="B59" s="44"/>
      <c r="C59" s="44"/>
      <c r="K59" s="38"/>
      <c r="L59" s="44"/>
      <c r="M59" s="44"/>
      <c r="N59" s="38"/>
      <c r="O59" s="38"/>
      <c r="P59" s="38"/>
      <c r="Q59" s="38"/>
      <c r="R59" s="44"/>
      <c r="S59" s="38"/>
      <c r="T59" s="38"/>
      <c r="U59" s="958"/>
      <c r="V59" s="38"/>
      <c r="W59" s="38"/>
      <c r="X59" s="38"/>
      <c r="Y59" s="38"/>
      <c r="Z59" s="38"/>
      <c r="AA59" s="575"/>
      <c r="AB59" s="976"/>
      <c r="AC59" s="976"/>
      <c r="AD59" s="976"/>
      <c r="AE59" s="976"/>
      <c r="AF59" s="37">
        <v>11</v>
      </c>
    </row>
    <row r="60" s="37" customFormat="1" ht="11.55" customHeight="1" spans="1:32">
      <c r="A60" s="957"/>
      <c r="B60" s="44"/>
      <c r="C60" s="44"/>
      <c r="K60" s="38"/>
      <c r="L60" s="44"/>
      <c r="M60" s="44"/>
      <c r="N60" s="38"/>
      <c r="O60" s="38"/>
      <c r="P60" s="38"/>
      <c r="Q60" s="38"/>
      <c r="R60" s="44"/>
      <c r="S60" s="38"/>
      <c r="T60" s="38"/>
      <c r="U60" s="958"/>
      <c r="V60" s="38"/>
      <c r="W60" s="38"/>
      <c r="X60" s="38"/>
      <c r="Y60" s="38"/>
      <c r="Z60" s="38"/>
      <c r="AA60" s="575"/>
      <c r="AB60" s="976"/>
      <c r="AC60" s="976"/>
      <c r="AD60" s="976"/>
      <c r="AE60" s="976"/>
      <c r="AF60" s="37">
        <v>11</v>
      </c>
    </row>
    <row r="61" s="37" customFormat="1" ht="11.55" customHeight="1" spans="1:32">
      <c r="A61" s="957"/>
      <c r="B61" s="44"/>
      <c r="C61" s="44"/>
      <c r="K61" s="38"/>
      <c r="L61" s="44"/>
      <c r="M61" s="44"/>
      <c r="N61" s="38"/>
      <c r="O61" s="38"/>
      <c r="P61" s="38"/>
      <c r="Q61" s="38"/>
      <c r="R61" s="44"/>
      <c r="S61" s="38"/>
      <c r="T61" s="38"/>
      <c r="U61" s="958"/>
      <c r="V61" s="38"/>
      <c r="W61" s="38"/>
      <c r="X61" s="38"/>
      <c r="Y61" s="38"/>
      <c r="Z61" s="38"/>
      <c r="AA61" s="575"/>
      <c r="AB61" s="976"/>
      <c r="AC61" s="976"/>
      <c r="AD61" s="976"/>
      <c r="AE61" s="976"/>
      <c r="AF61" s="37">
        <v>11</v>
      </c>
    </row>
    <row r="62" s="37" customFormat="1" ht="11.55" customHeight="1" spans="1:32">
      <c r="A62" s="957"/>
      <c r="B62" s="44"/>
      <c r="C62" s="44"/>
      <c r="K62" s="38"/>
      <c r="L62" s="44"/>
      <c r="M62" s="44"/>
      <c r="N62" s="38"/>
      <c r="O62" s="38"/>
      <c r="P62" s="38"/>
      <c r="Q62" s="38"/>
      <c r="R62" s="44"/>
      <c r="S62" s="38"/>
      <c r="T62" s="38"/>
      <c r="U62" s="958"/>
      <c r="V62" s="38"/>
      <c r="W62" s="38"/>
      <c r="X62" s="38"/>
      <c r="Y62" s="38"/>
      <c r="Z62" s="38"/>
      <c r="AA62" s="575"/>
      <c r="AB62" s="976"/>
      <c r="AC62" s="976"/>
      <c r="AD62" s="976"/>
      <c r="AE62" s="976"/>
      <c r="AF62" s="37">
        <v>11</v>
      </c>
    </row>
    <row r="63" s="37" customFormat="1" ht="11.55" customHeight="1" spans="1:32">
      <c r="A63" s="957"/>
      <c r="B63" s="44"/>
      <c r="C63" s="44"/>
      <c r="K63" s="38"/>
      <c r="L63" s="44"/>
      <c r="M63" s="44"/>
      <c r="N63" s="38"/>
      <c r="O63" s="38"/>
      <c r="P63" s="38"/>
      <c r="Q63" s="38"/>
      <c r="R63" s="44"/>
      <c r="S63" s="38"/>
      <c r="T63" s="38"/>
      <c r="U63" s="958"/>
      <c r="V63" s="38"/>
      <c r="W63" s="38"/>
      <c r="X63" s="38"/>
      <c r="Y63" s="38"/>
      <c r="Z63" s="38"/>
      <c r="AA63" s="575"/>
      <c r="AB63" s="976"/>
      <c r="AC63" s="976"/>
      <c r="AD63" s="976"/>
      <c r="AE63" s="976"/>
      <c r="AF63" s="37">
        <v>11</v>
      </c>
    </row>
    <row r="64" s="37" customFormat="1" ht="11.55" customHeight="1" spans="1:32">
      <c r="A64" s="957"/>
      <c r="B64" s="44"/>
      <c r="C64" s="44"/>
      <c r="K64" s="38"/>
      <c r="L64" s="44"/>
      <c r="M64" s="44"/>
      <c r="N64" s="38"/>
      <c r="O64" s="38"/>
      <c r="P64" s="38"/>
      <c r="Q64" s="38"/>
      <c r="R64" s="44"/>
      <c r="S64" s="38"/>
      <c r="T64" s="38"/>
      <c r="U64" s="958"/>
      <c r="V64" s="38"/>
      <c r="W64" s="38"/>
      <c r="X64" s="38"/>
      <c r="Y64" s="38"/>
      <c r="Z64" s="38"/>
      <c r="AA64" s="575"/>
      <c r="AB64" s="976"/>
      <c r="AC64" s="976"/>
      <c r="AD64" s="976"/>
      <c r="AE64" s="976"/>
      <c r="AF64" s="37">
        <v>11</v>
      </c>
    </row>
    <row r="65" s="37" customFormat="1" ht="11.55" customHeight="1" spans="1:32">
      <c r="A65" s="957"/>
      <c r="B65" s="44"/>
      <c r="C65" s="44"/>
      <c r="K65" s="38"/>
      <c r="L65" s="44"/>
      <c r="M65" s="44"/>
      <c r="N65" s="38"/>
      <c r="O65" s="38"/>
      <c r="P65" s="38"/>
      <c r="Q65" s="38"/>
      <c r="R65" s="44"/>
      <c r="S65" s="38"/>
      <c r="T65" s="38"/>
      <c r="U65" s="958"/>
      <c r="V65" s="38"/>
      <c r="W65" s="38"/>
      <c r="X65" s="38"/>
      <c r="Y65" s="38"/>
      <c r="Z65" s="38"/>
      <c r="AA65" s="575"/>
      <c r="AB65" s="976"/>
      <c r="AC65" s="976"/>
      <c r="AD65" s="976"/>
      <c r="AE65" s="976"/>
      <c r="AF65" s="37">
        <v>11</v>
      </c>
    </row>
    <row r="66" s="37" customFormat="1" ht="11.55" customHeight="1" spans="1:32">
      <c r="A66" s="957"/>
      <c r="B66" s="44"/>
      <c r="C66" s="44"/>
      <c r="K66" s="38"/>
      <c r="L66" s="44"/>
      <c r="M66" s="44"/>
      <c r="N66" s="38"/>
      <c r="O66" s="38"/>
      <c r="P66" s="38"/>
      <c r="Q66" s="38"/>
      <c r="R66" s="44"/>
      <c r="S66" s="38"/>
      <c r="T66" s="38"/>
      <c r="U66" s="958"/>
      <c r="V66" s="38"/>
      <c r="W66" s="38"/>
      <c r="X66" s="38"/>
      <c r="Y66" s="38"/>
      <c r="Z66" s="38"/>
      <c r="AA66" s="575"/>
      <c r="AB66" s="976"/>
      <c r="AC66" s="976"/>
      <c r="AD66" s="976"/>
      <c r="AE66" s="976"/>
      <c r="AF66" s="37">
        <v>11</v>
      </c>
    </row>
    <row r="67" s="37" customFormat="1" ht="11.55" customHeight="1" spans="1:32">
      <c r="A67" s="957"/>
      <c r="B67" s="44"/>
      <c r="C67" s="44"/>
      <c r="K67" s="38"/>
      <c r="L67" s="44"/>
      <c r="M67" s="44"/>
      <c r="N67" s="38"/>
      <c r="O67" s="38"/>
      <c r="P67" s="38"/>
      <c r="Q67" s="38"/>
      <c r="R67" s="44"/>
      <c r="S67" s="38"/>
      <c r="T67" s="38"/>
      <c r="U67" s="958"/>
      <c r="V67" s="38"/>
      <c r="W67" s="38"/>
      <c r="X67" s="38"/>
      <c r="Y67" s="38"/>
      <c r="Z67" s="38"/>
      <c r="AA67" s="575"/>
      <c r="AB67" s="976"/>
      <c r="AC67" s="976"/>
      <c r="AD67" s="976"/>
      <c r="AE67" s="976"/>
      <c r="AF67" s="37">
        <v>11</v>
      </c>
    </row>
    <row r="68" s="37" customFormat="1" ht="11.55" customHeight="1" spans="1:32">
      <c r="A68" s="957"/>
      <c r="B68" s="44"/>
      <c r="C68" s="44"/>
      <c r="K68" s="38"/>
      <c r="L68" s="44"/>
      <c r="M68" s="44"/>
      <c r="N68" s="38"/>
      <c r="O68" s="38"/>
      <c r="P68" s="38"/>
      <c r="Q68" s="38"/>
      <c r="R68" s="44"/>
      <c r="S68" s="38"/>
      <c r="T68" s="38"/>
      <c r="U68" s="958"/>
      <c r="V68" s="38"/>
      <c r="W68" s="38"/>
      <c r="X68" s="38"/>
      <c r="Y68" s="38"/>
      <c r="Z68" s="38"/>
      <c r="AA68" s="575"/>
      <c r="AB68" s="976"/>
      <c r="AC68" s="976"/>
      <c r="AD68" s="976"/>
      <c r="AE68" s="976"/>
      <c r="AF68" s="37">
        <v>11</v>
      </c>
    </row>
    <row r="69" s="37" customFormat="1" ht="11.55" customHeight="1" spans="1:32">
      <c r="A69" s="957"/>
      <c r="B69" s="44"/>
      <c r="C69" s="44"/>
      <c r="K69" s="38"/>
      <c r="L69" s="44"/>
      <c r="M69" s="44"/>
      <c r="N69" s="38"/>
      <c r="O69" s="38"/>
      <c r="P69" s="38"/>
      <c r="Q69" s="38"/>
      <c r="R69" s="44"/>
      <c r="S69" s="38"/>
      <c r="T69" s="38"/>
      <c r="U69" s="958"/>
      <c r="V69" s="38"/>
      <c r="W69" s="38"/>
      <c r="X69" s="38"/>
      <c r="Y69" s="38"/>
      <c r="Z69" s="38"/>
      <c r="AA69" s="575"/>
      <c r="AB69" s="976"/>
      <c r="AC69" s="976"/>
      <c r="AD69" s="976"/>
      <c r="AE69" s="976"/>
      <c r="AF69" s="37">
        <v>11</v>
      </c>
    </row>
    <row r="70" s="37" customFormat="1" ht="11.55" customHeight="1" spans="1:32">
      <c r="A70" s="957"/>
      <c r="B70" s="44"/>
      <c r="C70" s="44"/>
      <c r="K70" s="38"/>
      <c r="L70" s="44"/>
      <c r="M70" s="44"/>
      <c r="N70" s="38"/>
      <c r="O70" s="38"/>
      <c r="P70" s="38"/>
      <c r="Q70" s="38"/>
      <c r="R70" s="44"/>
      <c r="S70" s="38"/>
      <c r="T70" s="38"/>
      <c r="U70" s="958"/>
      <c r="V70" s="38"/>
      <c r="W70" s="38"/>
      <c r="X70" s="38"/>
      <c r="Y70" s="38"/>
      <c r="Z70" s="38"/>
      <c r="AA70" s="575"/>
      <c r="AB70" s="976"/>
      <c r="AC70" s="976"/>
      <c r="AD70" s="976"/>
      <c r="AE70" s="976"/>
      <c r="AF70" s="37">
        <v>11</v>
      </c>
    </row>
    <row r="71" s="37" customFormat="1" ht="11.55" customHeight="1" spans="1:32">
      <c r="A71" s="957"/>
      <c r="B71" s="44"/>
      <c r="C71" s="44"/>
      <c r="K71" s="38"/>
      <c r="L71" s="44"/>
      <c r="M71" s="44"/>
      <c r="N71" s="38"/>
      <c r="O71" s="38"/>
      <c r="P71" s="38"/>
      <c r="Q71" s="38"/>
      <c r="R71" s="44"/>
      <c r="S71" s="38"/>
      <c r="T71" s="38"/>
      <c r="U71" s="958"/>
      <c r="V71" s="38"/>
      <c r="W71" s="38"/>
      <c r="X71" s="38"/>
      <c r="Y71" s="38"/>
      <c r="Z71" s="38"/>
      <c r="AA71" s="575"/>
      <c r="AB71" s="976"/>
      <c r="AC71" s="976"/>
      <c r="AD71" s="976"/>
      <c r="AE71" s="976"/>
      <c r="AF71" s="37">
        <v>11</v>
      </c>
    </row>
    <row r="72" s="37" customFormat="1" ht="11.55" customHeight="1" spans="1:32">
      <c r="A72" s="957"/>
      <c r="B72" s="44"/>
      <c r="C72" s="44"/>
      <c r="K72" s="38"/>
      <c r="L72" s="44"/>
      <c r="M72" s="44"/>
      <c r="N72" s="38"/>
      <c r="O72" s="38"/>
      <c r="P72" s="38"/>
      <c r="Q72" s="38"/>
      <c r="R72" s="44"/>
      <c r="S72" s="38"/>
      <c r="T72" s="38"/>
      <c r="U72" s="958"/>
      <c r="V72" s="38"/>
      <c r="W72" s="38"/>
      <c r="X72" s="38"/>
      <c r="Y72" s="38"/>
      <c r="Z72" s="38"/>
      <c r="AA72" s="575"/>
      <c r="AB72" s="976"/>
      <c r="AC72" s="976"/>
      <c r="AD72" s="976"/>
      <c r="AE72" s="976"/>
      <c r="AF72" s="37">
        <v>11</v>
      </c>
    </row>
    <row r="73" s="37" customFormat="1" ht="11.55" customHeight="1" spans="1:32">
      <c r="A73" s="957"/>
      <c r="B73" s="44"/>
      <c r="C73" s="44"/>
      <c r="K73" s="38"/>
      <c r="L73" s="44"/>
      <c r="M73" s="44"/>
      <c r="N73" s="38"/>
      <c r="O73" s="38"/>
      <c r="P73" s="38"/>
      <c r="Q73" s="38"/>
      <c r="R73" s="44"/>
      <c r="S73" s="38"/>
      <c r="T73" s="38"/>
      <c r="U73" s="958"/>
      <c r="V73" s="38"/>
      <c r="W73" s="38"/>
      <c r="X73" s="38"/>
      <c r="Y73" s="38"/>
      <c r="Z73" s="38"/>
      <c r="AA73" s="575"/>
      <c r="AB73" s="976"/>
      <c r="AC73" s="976"/>
      <c r="AD73" s="976"/>
      <c r="AE73" s="976"/>
      <c r="AF73" s="37">
        <v>11</v>
      </c>
    </row>
    <row r="74" s="37" customFormat="1" ht="11.55" customHeight="1" spans="1:32">
      <c r="A74" s="957"/>
      <c r="B74" s="44"/>
      <c r="C74" s="44"/>
      <c r="K74" s="38"/>
      <c r="L74" s="44"/>
      <c r="M74" s="44"/>
      <c r="N74" s="38"/>
      <c r="O74" s="38"/>
      <c r="P74" s="38"/>
      <c r="Q74" s="38"/>
      <c r="R74" s="44"/>
      <c r="S74" s="38"/>
      <c r="T74" s="38"/>
      <c r="U74" s="958"/>
      <c r="V74" s="38"/>
      <c r="W74" s="38"/>
      <c r="X74" s="38"/>
      <c r="Y74" s="38"/>
      <c r="Z74" s="38"/>
      <c r="AA74" s="575"/>
      <c r="AB74" s="976"/>
      <c r="AC74" s="976"/>
      <c r="AD74" s="976"/>
      <c r="AE74" s="976"/>
      <c r="AF74" s="37">
        <v>11</v>
      </c>
    </row>
    <row r="75" s="37" customFormat="1" ht="11.55" customHeight="1" spans="1:32">
      <c r="A75" s="957"/>
      <c r="B75" s="44"/>
      <c r="C75" s="44"/>
      <c r="K75" s="38"/>
      <c r="L75" s="44"/>
      <c r="M75" s="44"/>
      <c r="N75" s="38"/>
      <c r="O75" s="38"/>
      <c r="P75" s="38"/>
      <c r="Q75" s="38"/>
      <c r="R75" s="44"/>
      <c r="S75" s="38"/>
      <c r="T75" s="38"/>
      <c r="U75" s="958"/>
      <c r="V75" s="38"/>
      <c r="W75" s="38"/>
      <c r="X75" s="38"/>
      <c r="Y75" s="38"/>
      <c r="Z75" s="38"/>
      <c r="AA75" s="575"/>
      <c r="AB75" s="976"/>
      <c r="AC75" s="976"/>
      <c r="AD75" s="976"/>
      <c r="AE75" s="976"/>
      <c r="AF75" s="37">
        <v>11</v>
      </c>
    </row>
    <row r="76" s="37" customFormat="1" ht="11.55" customHeight="1" spans="1:32">
      <c r="A76" s="957"/>
      <c r="B76" s="44"/>
      <c r="C76" s="44"/>
      <c r="K76" s="38"/>
      <c r="L76" s="44"/>
      <c r="M76" s="44"/>
      <c r="N76" s="38"/>
      <c r="O76" s="38"/>
      <c r="P76" s="38"/>
      <c r="Q76" s="38"/>
      <c r="R76" s="44"/>
      <c r="S76" s="38"/>
      <c r="T76" s="38"/>
      <c r="U76" s="958"/>
      <c r="V76" s="38"/>
      <c r="W76" s="38"/>
      <c r="X76" s="38"/>
      <c r="Y76" s="38"/>
      <c r="Z76" s="38"/>
      <c r="AA76" s="575"/>
      <c r="AB76" s="976"/>
      <c r="AC76" s="976"/>
      <c r="AD76" s="976"/>
      <c r="AE76" s="976"/>
      <c r="AF76" s="37">
        <v>11</v>
      </c>
    </row>
    <row r="77" s="37" customFormat="1" ht="11.55" customHeight="1" spans="1:32">
      <c r="A77" s="957"/>
      <c r="B77" s="44"/>
      <c r="C77" s="44"/>
      <c r="K77" s="38"/>
      <c r="L77" s="44"/>
      <c r="M77" s="44"/>
      <c r="N77" s="38"/>
      <c r="O77" s="38"/>
      <c r="P77" s="38"/>
      <c r="Q77" s="38"/>
      <c r="R77" s="44"/>
      <c r="S77" s="38"/>
      <c r="T77" s="38"/>
      <c r="U77" s="958"/>
      <c r="V77" s="38"/>
      <c r="W77" s="38"/>
      <c r="X77" s="38"/>
      <c r="Y77" s="38"/>
      <c r="Z77" s="38"/>
      <c r="AA77" s="575"/>
      <c r="AB77" s="976"/>
      <c r="AC77" s="976"/>
      <c r="AD77" s="976"/>
      <c r="AE77" s="976"/>
      <c r="AF77" s="37">
        <v>11</v>
      </c>
    </row>
    <row r="78" s="37" customFormat="1" ht="11.55" customHeight="1" spans="1:32">
      <c r="A78" s="957"/>
      <c r="B78" s="44"/>
      <c r="C78" s="44"/>
      <c r="K78" s="38"/>
      <c r="L78" s="44"/>
      <c r="M78" s="44"/>
      <c r="N78" s="38"/>
      <c r="O78" s="38"/>
      <c r="P78" s="38"/>
      <c r="Q78" s="38"/>
      <c r="R78" s="44"/>
      <c r="S78" s="38"/>
      <c r="T78" s="38"/>
      <c r="U78" s="958"/>
      <c r="V78" s="38"/>
      <c r="W78" s="38"/>
      <c r="X78" s="38"/>
      <c r="Y78" s="38"/>
      <c r="Z78" s="38"/>
      <c r="AA78" s="575"/>
      <c r="AB78" s="976"/>
      <c r="AC78" s="976"/>
      <c r="AD78" s="976"/>
      <c r="AE78" s="976"/>
      <c r="AF78" s="37">
        <v>11</v>
      </c>
    </row>
    <row r="79" s="37" customFormat="1" ht="11.55" customHeight="1" spans="1:32">
      <c r="A79" s="957"/>
      <c r="B79" s="44"/>
      <c r="C79" s="44"/>
      <c r="K79" s="38"/>
      <c r="L79" s="44"/>
      <c r="M79" s="44"/>
      <c r="N79" s="38"/>
      <c r="O79" s="38"/>
      <c r="P79" s="38"/>
      <c r="Q79" s="38"/>
      <c r="R79" s="44"/>
      <c r="S79" s="38"/>
      <c r="T79" s="38"/>
      <c r="U79" s="958"/>
      <c r="V79" s="38"/>
      <c r="W79" s="38"/>
      <c r="X79" s="38"/>
      <c r="Y79" s="38"/>
      <c r="Z79" s="38"/>
      <c r="AA79" s="575"/>
      <c r="AB79" s="976"/>
      <c r="AC79" s="976"/>
      <c r="AD79" s="976"/>
      <c r="AE79" s="976"/>
      <c r="AF79" s="37">
        <v>11</v>
      </c>
    </row>
    <row r="80" s="37" customFormat="1" ht="11.55" customHeight="1" spans="1:32">
      <c r="A80" s="957"/>
      <c r="B80" s="44"/>
      <c r="C80" s="44"/>
      <c r="K80" s="38"/>
      <c r="L80" s="44"/>
      <c r="M80" s="44"/>
      <c r="N80" s="38"/>
      <c r="O80" s="38"/>
      <c r="P80" s="38"/>
      <c r="Q80" s="38"/>
      <c r="R80" s="44"/>
      <c r="S80" s="38"/>
      <c r="T80" s="38"/>
      <c r="U80" s="958"/>
      <c r="V80" s="38"/>
      <c r="W80" s="38"/>
      <c r="X80" s="38"/>
      <c r="Y80" s="38"/>
      <c r="Z80" s="38"/>
      <c r="AA80" s="575"/>
      <c r="AB80" s="976"/>
      <c r="AC80" s="976"/>
      <c r="AD80" s="976"/>
      <c r="AE80" s="976"/>
      <c r="AF80" s="37">
        <v>11</v>
      </c>
    </row>
    <row r="81" s="37" customFormat="1" ht="11.55" customHeight="1" spans="1:32">
      <c r="A81" s="957"/>
      <c r="B81" s="44"/>
      <c r="C81" s="44"/>
      <c r="K81" s="38"/>
      <c r="L81" s="44"/>
      <c r="M81" s="44"/>
      <c r="N81" s="38"/>
      <c r="O81" s="38"/>
      <c r="P81" s="38"/>
      <c r="Q81" s="38"/>
      <c r="R81" s="44"/>
      <c r="S81" s="38"/>
      <c r="T81" s="38"/>
      <c r="U81" s="958"/>
      <c r="V81" s="38"/>
      <c r="W81" s="38"/>
      <c r="X81" s="38"/>
      <c r="Y81" s="38"/>
      <c r="Z81" s="38"/>
      <c r="AA81" s="575"/>
      <c r="AB81" s="976"/>
      <c r="AC81" s="976"/>
      <c r="AD81" s="976"/>
      <c r="AE81" s="976"/>
      <c r="AF81" s="37">
        <v>11</v>
      </c>
    </row>
    <row r="82" s="37" customFormat="1" ht="11.55" customHeight="1" spans="1:32">
      <c r="A82" s="957"/>
      <c r="B82" s="44"/>
      <c r="C82" s="44"/>
      <c r="K82" s="38"/>
      <c r="L82" s="44"/>
      <c r="M82" s="44"/>
      <c r="N82" s="38"/>
      <c r="O82" s="38"/>
      <c r="P82" s="38"/>
      <c r="Q82" s="38"/>
      <c r="R82" s="44"/>
      <c r="S82" s="38"/>
      <c r="T82" s="38"/>
      <c r="U82" s="958"/>
      <c r="V82" s="38"/>
      <c r="W82" s="38"/>
      <c r="X82" s="38"/>
      <c r="Y82" s="38"/>
      <c r="Z82" s="38"/>
      <c r="AA82" s="575"/>
      <c r="AB82" s="976"/>
      <c r="AC82" s="976"/>
      <c r="AD82" s="976"/>
      <c r="AE82" s="976"/>
      <c r="AF82" s="37">
        <v>11</v>
      </c>
    </row>
    <row r="83" s="37" customFormat="1" ht="11.55" customHeight="1" spans="1:32">
      <c r="A83" s="957"/>
      <c r="B83" s="44"/>
      <c r="C83" s="44"/>
      <c r="K83" s="38"/>
      <c r="L83" s="44"/>
      <c r="M83" s="44"/>
      <c r="N83" s="38"/>
      <c r="O83" s="38"/>
      <c r="P83" s="38"/>
      <c r="Q83" s="38"/>
      <c r="R83" s="44"/>
      <c r="S83" s="38"/>
      <c r="T83" s="38"/>
      <c r="U83" s="958"/>
      <c r="V83" s="38"/>
      <c r="W83" s="38"/>
      <c r="X83" s="38"/>
      <c r="Y83" s="38"/>
      <c r="Z83" s="38"/>
      <c r="AA83" s="575"/>
      <c r="AB83" s="976"/>
      <c r="AC83" s="976"/>
      <c r="AD83" s="976"/>
      <c r="AE83" s="976"/>
      <c r="AF83" s="37">
        <v>11</v>
      </c>
    </row>
    <row r="84" s="37" customFormat="1" ht="11.55" customHeight="1" spans="1:32">
      <c r="A84" s="957"/>
      <c r="B84" s="44"/>
      <c r="C84" s="44"/>
      <c r="K84" s="38"/>
      <c r="L84" s="44"/>
      <c r="M84" s="44"/>
      <c r="N84" s="38"/>
      <c r="O84" s="38"/>
      <c r="P84" s="38"/>
      <c r="Q84" s="38"/>
      <c r="R84" s="44"/>
      <c r="S84" s="38"/>
      <c r="T84" s="38"/>
      <c r="U84" s="958"/>
      <c r="V84" s="38"/>
      <c r="W84" s="38"/>
      <c r="X84" s="38"/>
      <c r="Y84" s="38"/>
      <c r="Z84" s="38"/>
      <c r="AA84" s="575"/>
      <c r="AB84" s="976"/>
      <c r="AC84" s="976"/>
      <c r="AD84" s="976"/>
      <c r="AE84" s="976"/>
      <c r="AF84" s="37">
        <v>11</v>
      </c>
    </row>
    <row r="85" s="37" customFormat="1" ht="11.55" customHeight="1" spans="1:32">
      <c r="A85" s="957"/>
      <c r="B85" s="44"/>
      <c r="C85" s="44"/>
      <c r="K85" s="38"/>
      <c r="L85" s="44"/>
      <c r="M85" s="44"/>
      <c r="N85" s="38"/>
      <c r="O85" s="38"/>
      <c r="P85" s="38"/>
      <c r="Q85" s="38"/>
      <c r="R85" s="44"/>
      <c r="S85" s="38"/>
      <c r="T85" s="38"/>
      <c r="U85" s="958"/>
      <c r="V85" s="38"/>
      <c r="W85" s="38"/>
      <c r="X85" s="38"/>
      <c r="Y85" s="38"/>
      <c r="Z85" s="38"/>
      <c r="AA85" s="575"/>
      <c r="AB85" s="976"/>
      <c r="AC85" s="976"/>
      <c r="AD85" s="976"/>
      <c r="AE85" s="976"/>
      <c r="AF85" s="37">
        <v>11</v>
      </c>
    </row>
    <row r="86" s="37" customFormat="1" ht="11.55" customHeight="1" spans="1:32">
      <c r="A86" s="957"/>
      <c r="B86" s="44"/>
      <c r="C86" s="44"/>
      <c r="K86" s="38"/>
      <c r="L86" s="44"/>
      <c r="M86" s="44"/>
      <c r="N86" s="38"/>
      <c r="O86" s="38"/>
      <c r="P86" s="38"/>
      <c r="Q86" s="38"/>
      <c r="R86" s="44"/>
      <c r="S86" s="38"/>
      <c r="T86" s="38"/>
      <c r="U86" s="958"/>
      <c r="V86" s="38"/>
      <c r="W86" s="38"/>
      <c r="X86" s="38"/>
      <c r="Y86" s="38"/>
      <c r="Z86" s="38"/>
      <c r="AA86" s="575"/>
      <c r="AB86" s="976"/>
      <c r="AC86" s="976"/>
      <c r="AD86" s="976"/>
      <c r="AE86" s="976"/>
      <c r="AF86" s="37">
        <v>11</v>
      </c>
    </row>
    <row r="87" s="37" customFormat="1" ht="11.55" customHeight="1" spans="1:32">
      <c r="A87" s="957"/>
      <c r="B87" s="44"/>
      <c r="C87" s="44"/>
      <c r="K87" s="38"/>
      <c r="L87" s="44"/>
      <c r="M87" s="44"/>
      <c r="N87" s="38"/>
      <c r="O87" s="38"/>
      <c r="P87" s="38"/>
      <c r="Q87" s="38"/>
      <c r="R87" s="44"/>
      <c r="S87" s="38"/>
      <c r="T87" s="38"/>
      <c r="U87" s="958"/>
      <c r="V87" s="38"/>
      <c r="W87" s="38"/>
      <c r="X87" s="38"/>
      <c r="Y87" s="38"/>
      <c r="Z87" s="38"/>
      <c r="AA87" s="575"/>
      <c r="AB87" s="976"/>
      <c r="AC87" s="976"/>
      <c r="AD87" s="976"/>
      <c r="AE87" s="976"/>
      <c r="AF87" s="37">
        <v>11</v>
      </c>
    </row>
    <row r="88" s="37" customFormat="1" ht="11.55" customHeight="1" spans="1:32">
      <c r="A88" s="957"/>
      <c r="B88" s="44"/>
      <c r="C88" s="44"/>
      <c r="K88" s="38"/>
      <c r="L88" s="44"/>
      <c r="M88" s="44"/>
      <c r="N88" s="38"/>
      <c r="O88" s="38"/>
      <c r="P88" s="38"/>
      <c r="Q88" s="38"/>
      <c r="R88" s="44"/>
      <c r="S88" s="38"/>
      <c r="T88" s="38"/>
      <c r="U88" s="958"/>
      <c r="V88" s="38"/>
      <c r="W88" s="38"/>
      <c r="X88" s="38"/>
      <c r="Y88" s="38"/>
      <c r="Z88" s="38"/>
      <c r="AA88" s="575"/>
      <c r="AB88" s="976"/>
      <c r="AC88" s="976"/>
      <c r="AD88" s="976"/>
      <c r="AE88" s="976"/>
      <c r="AF88" s="37">
        <v>11</v>
      </c>
    </row>
    <row r="89" s="37" customFormat="1" ht="11.55" customHeight="1" spans="1:32">
      <c r="A89" s="957"/>
      <c r="B89" s="44"/>
      <c r="C89" s="44"/>
      <c r="K89" s="38"/>
      <c r="L89" s="44"/>
      <c r="M89" s="44"/>
      <c r="N89" s="38"/>
      <c r="O89" s="38"/>
      <c r="P89" s="38"/>
      <c r="Q89" s="38"/>
      <c r="R89" s="44"/>
      <c r="S89" s="38"/>
      <c r="T89" s="38"/>
      <c r="U89" s="958"/>
      <c r="V89" s="38"/>
      <c r="W89" s="38"/>
      <c r="X89" s="38"/>
      <c r="Y89" s="38"/>
      <c r="Z89" s="38"/>
      <c r="AA89" s="575"/>
      <c r="AB89" s="976"/>
      <c r="AC89" s="976"/>
      <c r="AD89" s="976"/>
      <c r="AE89" s="976"/>
      <c r="AF89" s="37">
        <v>11</v>
      </c>
    </row>
    <row r="90" s="37" customFormat="1" ht="11.55" customHeight="1" spans="1:32">
      <c r="A90" s="957"/>
      <c r="B90" s="44"/>
      <c r="C90" s="44"/>
      <c r="K90" s="38"/>
      <c r="L90" s="44"/>
      <c r="M90" s="44"/>
      <c r="N90" s="38"/>
      <c r="O90" s="38"/>
      <c r="P90" s="38"/>
      <c r="Q90" s="38"/>
      <c r="R90" s="44"/>
      <c r="S90" s="38"/>
      <c r="T90" s="38"/>
      <c r="U90" s="958"/>
      <c r="V90" s="38"/>
      <c r="W90" s="38"/>
      <c r="X90" s="38"/>
      <c r="Y90" s="38"/>
      <c r="Z90" s="38"/>
      <c r="AA90" s="575"/>
      <c r="AB90" s="976"/>
      <c r="AC90" s="976"/>
      <c r="AD90" s="976"/>
      <c r="AE90" s="976"/>
      <c r="AF90" s="37">
        <v>11</v>
      </c>
    </row>
    <row r="91" s="37" customFormat="1" ht="11.55" customHeight="1" spans="1:32">
      <c r="A91" s="957"/>
      <c r="B91" s="44"/>
      <c r="C91" s="44"/>
      <c r="K91" s="38"/>
      <c r="L91" s="44"/>
      <c r="M91" s="44"/>
      <c r="N91" s="38"/>
      <c r="O91" s="38"/>
      <c r="P91" s="38"/>
      <c r="Q91" s="38"/>
      <c r="R91" s="44"/>
      <c r="S91" s="38"/>
      <c r="T91" s="38"/>
      <c r="U91" s="958"/>
      <c r="V91" s="38"/>
      <c r="W91" s="38"/>
      <c r="X91" s="38"/>
      <c r="Y91" s="38"/>
      <c r="Z91" s="38"/>
      <c r="AA91" s="575"/>
      <c r="AB91" s="976"/>
      <c r="AC91" s="976"/>
      <c r="AD91" s="976"/>
      <c r="AE91" s="976"/>
      <c r="AF91" s="37">
        <v>11</v>
      </c>
    </row>
    <row r="92" s="37" customFormat="1" ht="11.55" customHeight="1" spans="1:32">
      <c r="A92" s="957"/>
      <c r="B92" s="44"/>
      <c r="C92" s="44"/>
      <c r="K92" s="38"/>
      <c r="L92" s="44"/>
      <c r="M92" s="44"/>
      <c r="N92" s="38"/>
      <c r="O92" s="38"/>
      <c r="P92" s="38"/>
      <c r="Q92" s="38"/>
      <c r="R92" s="44"/>
      <c r="S92" s="38"/>
      <c r="T92" s="38"/>
      <c r="U92" s="958"/>
      <c r="V92" s="38"/>
      <c r="W92" s="38"/>
      <c r="X92" s="38"/>
      <c r="Y92" s="38"/>
      <c r="Z92" s="38"/>
      <c r="AA92" s="575"/>
      <c r="AB92" s="976"/>
      <c r="AC92" s="976"/>
      <c r="AD92" s="976"/>
      <c r="AE92" s="976"/>
      <c r="AF92" s="37">
        <v>11</v>
      </c>
    </row>
    <row r="93" s="37" customFormat="1" ht="11.55" customHeight="1" spans="1:32">
      <c r="A93" s="957"/>
      <c r="B93" s="44"/>
      <c r="C93" s="44"/>
      <c r="K93" s="38"/>
      <c r="L93" s="44"/>
      <c r="M93" s="44"/>
      <c r="N93" s="38"/>
      <c r="O93" s="38"/>
      <c r="P93" s="38"/>
      <c r="Q93" s="38"/>
      <c r="R93" s="44"/>
      <c r="S93" s="38"/>
      <c r="T93" s="38"/>
      <c r="U93" s="958"/>
      <c r="V93" s="38"/>
      <c r="W93" s="38"/>
      <c r="X93" s="38"/>
      <c r="Y93" s="38"/>
      <c r="Z93" s="38"/>
      <c r="AA93" s="575"/>
      <c r="AB93" s="976"/>
      <c r="AC93" s="976"/>
      <c r="AD93" s="976"/>
      <c r="AE93" s="976"/>
      <c r="AF93" s="37">
        <v>11</v>
      </c>
    </row>
    <row r="94" s="37" customFormat="1" ht="11.55" customHeight="1" spans="1:32">
      <c r="A94" s="957"/>
      <c r="B94" s="44"/>
      <c r="C94" s="44"/>
      <c r="K94" s="38"/>
      <c r="L94" s="44"/>
      <c r="M94" s="44"/>
      <c r="N94" s="38"/>
      <c r="O94" s="38"/>
      <c r="P94" s="38"/>
      <c r="Q94" s="38"/>
      <c r="R94" s="44"/>
      <c r="S94" s="38"/>
      <c r="T94" s="38"/>
      <c r="U94" s="958"/>
      <c r="V94" s="38"/>
      <c r="W94" s="38"/>
      <c r="X94" s="38"/>
      <c r="Y94" s="38"/>
      <c r="Z94" s="38"/>
      <c r="AA94" s="575"/>
      <c r="AB94" s="976"/>
      <c r="AC94" s="976"/>
      <c r="AD94" s="976"/>
      <c r="AE94" s="976"/>
      <c r="AF94" s="37">
        <v>11</v>
      </c>
    </row>
    <row r="95" s="37" customFormat="1" ht="11.55" customHeight="1" spans="1:32">
      <c r="A95" s="957"/>
      <c r="B95" s="44"/>
      <c r="C95" s="44"/>
      <c r="K95" s="38"/>
      <c r="L95" s="44"/>
      <c r="M95" s="44"/>
      <c r="N95" s="38"/>
      <c r="O95" s="38"/>
      <c r="P95" s="38"/>
      <c r="Q95" s="38"/>
      <c r="R95" s="44"/>
      <c r="S95" s="38"/>
      <c r="T95" s="38"/>
      <c r="U95" s="958"/>
      <c r="V95" s="38"/>
      <c r="W95" s="38"/>
      <c r="X95" s="38"/>
      <c r="Y95" s="38"/>
      <c r="Z95" s="38"/>
      <c r="AA95" s="575"/>
      <c r="AB95" s="976"/>
      <c r="AC95" s="976"/>
      <c r="AD95" s="976"/>
      <c r="AE95" s="976"/>
      <c r="AF95" s="37">
        <v>11</v>
      </c>
    </row>
    <row r="96" s="37" customFormat="1" ht="11.55" customHeight="1" spans="1:32">
      <c r="A96" s="957"/>
      <c r="B96" s="44"/>
      <c r="C96" s="44"/>
      <c r="K96" s="38"/>
      <c r="L96" s="44"/>
      <c r="M96" s="44"/>
      <c r="N96" s="38"/>
      <c r="O96" s="38"/>
      <c r="P96" s="38"/>
      <c r="Q96" s="38"/>
      <c r="R96" s="44"/>
      <c r="S96" s="38"/>
      <c r="T96" s="38"/>
      <c r="U96" s="958"/>
      <c r="V96" s="38"/>
      <c r="W96" s="38"/>
      <c r="X96" s="38"/>
      <c r="Y96" s="38"/>
      <c r="Z96" s="38"/>
      <c r="AA96" s="575"/>
      <c r="AB96" s="976"/>
      <c r="AC96" s="976"/>
      <c r="AD96" s="976"/>
      <c r="AE96" s="976"/>
      <c r="AF96" s="37">
        <v>11</v>
      </c>
    </row>
    <row r="97" s="37" customFormat="1" ht="11.55" customHeight="1" spans="1:32">
      <c r="A97" s="957"/>
      <c r="B97" s="44"/>
      <c r="C97" s="44"/>
      <c r="K97" s="38"/>
      <c r="L97" s="44"/>
      <c r="M97" s="44"/>
      <c r="N97" s="38"/>
      <c r="O97" s="38"/>
      <c r="P97" s="38"/>
      <c r="Q97" s="38"/>
      <c r="R97" s="44"/>
      <c r="S97" s="38"/>
      <c r="T97" s="38"/>
      <c r="U97" s="958"/>
      <c r="V97" s="38"/>
      <c r="W97" s="38"/>
      <c r="X97" s="38"/>
      <c r="Y97" s="38"/>
      <c r="Z97" s="38"/>
      <c r="AA97" s="575"/>
      <c r="AB97" s="976"/>
      <c r="AC97" s="976"/>
      <c r="AD97" s="976"/>
      <c r="AE97" s="976"/>
      <c r="AF97" s="37">
        <v>11</v>
      </c>
    </row>
    <row r="98" s="37" customFormat="1" ht="11.55" customHeight="1" spans="1:32">
      <c r="A98" s="957"/>
      <c r="B98" s="44"/>
      <c r="C98" s="44"/>
      <c r="K98" s="38"/>
      <c r="L98" s="44"/>
      <c r="M98" s="44"/>
      <c r="N98" s="38"/>
      <c r="O98" s="38"/>
      <c r="P98" s="38"/>
      <c r="Q98" s="38"/>
      <c r="R98" s="44"/>
      <c r="S98" s="38"/>
      <c r="T98" s="38"/>
      <c r="U98" s="958"/>
      <c r="V98" s="38"/>
      <c r="W98" s="38"/>
      <c r="X98" s="38"/>
      <c r="Y98" s="38"/>
      <c r="Z98" s="38"/>
      <c r="AA98" s="575"/>
      <c r="AB98" s="976"/>
      <c r="AC98" s="976"/>
      <c r="AD98" s="976"/>
      <c r="AE98" s="976"/>
      <c r="AF98" s="37">
        <v>11</v>
      </c>
    </row>
    <row r="99" s="37" customFormat="1" ht="11.55" customHeight="1" spans="1:32">
      <c r="A99" s="957"/>
      <c r="B99" s="44"/>
      <c r="C99" s="44"/>
      <c r="K99" s="38"/>
      <c r="L99" s="44"/>
      <c r="M99" s="44"/>
      <c r="N99" s="38"/>
      <c r="O99" s="38"/>
      <c r="P99" s="38"/>
      <c r="Q99" s="38"/>
      <c r="R99" s="44"/>
      <c r="S99" s="38"/>
      <c r="T99" s="38"/>
      <c r="U99" s="958"/>
      <c r="V99" s="38"/>
      <c r="W99" s="38"/>
      <c r="X99" s="38"/>
      <c r="Y99" s="38"/>
      <c r="Z99" s="38"/>
      <c r="AA99" s="575"/>
      <c r="AB99" s="976"/>
      <c r="AC99" s="976"/>
      <c r="AD99" s="976"/>
      <c r="AE99" s="976"/>
      <c r="AF99" s="37">
        <v>11</v>
      </c>
    </row>
    <row r="100" s="37" customFormat="1" ht="11.55" customHeight="1" spans="1:32">
      <c r="A100" s="957"/>
      <c r="B100" s="44"/>
      <c r="C100" s="44"/>
      <c r="K100" s="38"/>
      <c r="L100" s="44"/>
      <c r="M100" s="44"/>
      <c r="N100" s="38"/>
      <c r="O100" s="38"/>
      <c r="P100" s="38"/>
      <c r="Q100" s="38"/>
      <c r="R100" s="44"/>
      <c r="S100" s="38"/>
      <c r="T100" s="38"/>
      <c r="U100" s="958"/>
      <c r="V100" s="38"/>
      <c r="W100" s="38"/>
      <c r="X100" s="38"/>
      <c r="Y100" s="38"/>
      <c r="Z100" s="38"/>
      <c r="AA100" s="575"/>
      <c r="AB100" s="976"/>
      <c r="AC100" s="976"/>
      <c r="AD100" s="976"/>
      <c r="AE100" s="976"/>
      <c r="AF100" s="37">
        <v>11</v>
      </c>
    </row>
    <row r="101" s="37" customFormat="1" ht="11.55" customHeight="1" spans="1:32">
      <c r="A101" s="957"/>
      <c r="B101" s="44"/>
      <c r="C101" s="44"/>
      <c r="K101" s="38"/>
      <c r="L101" s="44"/>
      <c r="M101" s="44"/>
      <c r="N101" s="38"/>
      <c r="O101" s="38"/>
      <c r="P101" s="38"/>
      <c r="Q101" s="38"/>
      <c r="R101" s="44"/>
      <c r="S101" s="38"/>
      <c r="T101" s="38"/>
      <c r="U101" s="958"/>
      <c r="V101" s="38"/>
      <c r="W101" s="38"/>
      <c r="X101" s="38"/>
      <c r="Y101" s="38"/>
      <c r="Z101" s="38"/>
      <c r="AA101" s="575"/>
      <c r="AB101" s="976"/>
      <c r="AC101" s="976"/>
      <c r="AD101" s="976"/>
      <c r="AE101" s="976"/>
      <c r="AF101" s="37">
        <v>11</v>
      </c>
    </row>
    <row r="102" s="37" customFormat="1" ht="11.55" customHeight="1" spans="1:32">
      <c r="A102" s="957"/>
      <c r="B102" s="44"/>
      <c r="C102" s="44"/>
      <c r="K102" s="38"/>
      <c r="L102" s="44"/>
      <c r="M102" s="44"/>
      <c r="N102" s="38"/>
      <c r="O102" s="38"/>
      <c r="P102" s="38"/>
      <c r="Q102" s="38"/>
      <c r="R102" s="44"/>
      <c r="S102" s="38"/>
      <c r="T102" s="38"/>
      <c r="U102" s="958"/>
      <c r="V102" s="38"/>
      <c r="W102" s="38"/>
      <c r="X102" s="38"/>
      <c r="Y102" s="38"/>
      <c r="Z102" s="38"/>
      <c r="AA102" s="575"/>
      <c r="AB102" s="976"/>
      <c r="AC102" s="976"/>
      <c r="AD102" s="976"/>
      <c r="AE102" s="976"/>
      <c r="AF102" s="37">
        <v>11</v>
      </c>
    </row>
    <row r="103" s="37" customFormat="1" ht="11.55" customHeight="1" spans="1:32">
      <c r="A103" s="957"/>
      <c r="B103" s="44"/>
      <c r="C103" s="44"/>
      <c r="K103" s="38"/>
      <c r="L103" s="44"/>
      <c r="M103" s="44"/>
      <c r="N103" s="38"/>
      <c r="O103" s="38"/>
      <c r="P103" s="38"/>
      <c r="Q103" s="38"/>
      <c r="R103" s="44"/>
      <c r="S103" s="38"/>
      <c r="T103" s="38"/>
      <c r="U103" s="958"/>
      <c r="V103" s="38"/>
      <c r="W103" s="38"/>
      <c r="X103" s="38"/>
      <c r="Y103" s="38"/>
      <c r="Z103" s="38"/>
      <c r="AA103" s="575"/>
      <c r="AB103" s="976"/>
      <c r="AC103" s="976"/>
      <c r="AD103" s="976"/>
      <c r="AE103" s="976"/>
      <c r="AF103" s="37">
        <v>11</v>
      </c>
    </row>
    <row r="104" s="37" customFormat="1" ht="11.55" customHeight="1" spans="1:32">
      <c r="A104" s="957"/>
      <c r="B104" s="44"/>
      <c r="C104" s="44"/>
      <c r="K104" s="38"/>
      <c r="L104" s="44"/>
      <c r="M104" s="44"/>
      <c r="N104" s="38"/>
      <c r="O104" s="38"/>
      <c r="P104" s="38"/>
      <c r="Q104" s="38"/>
      <c r="R104" s="44"/>
      <c r="S104" s="38"/>
      <c r="T104" s="38"/>
      <c r="U104" s="958"/>
      <c r="V104" s="38"/>
      <c r="W104" s="38"/>
      <c r="X104" s="38"/>
      <c r="Y104" s="38"/>
      <c r="Z104" s="38"/>
      <c r="AA104" s="575"/>
      <c r="AB104" s="976"/>
      <c r="AC104" s="976"/>
      <c r="AD104" s="976"/>
      <c r="AE104" s="976"/>
      <c r="AF104" s="37">
        <v>11</v>
      </c>
    </row>
    <row r="105" s="37" customFormat="1" ht="11.55" customHeight="1" spans="1:32">
      <c r="A105" s="957"/>
      <c r="B105" s="44"/>
      <c r="C105" s="44"/>
      <c r="K105" s="38"/>
      <c r="L105" s="44"/>
      <c r="M105" s="44"/>
      <c r="N105" s="38"/>
      <c r="O105" s="38"/>
      <c r="P105" s="38"/>
      <c r="Q105" s="38"/>
      <c r="R105" s="44"/>
      <c r="S105" s="38"/>
      <c r="T105" s="38"/>
      <c r="U105" s="958"/>
      <c r="V105" s="38"/>
      <c r="W105" s="38"/>
      <c r="X105" s="38"/>
      <c r="Y105" s="38"/>
      <c r="Z105" s="38"/>
      <c r="AA105" s="575"/>
      <c r="AB105" s="976"/>
      <c r="AC105" s="976"/>
      <c r="AD105" s="976"/>
      <c r="AE105" s="976"/>
      <c r="AF105" s="37">
        <v>11</v>
      </c>
    </row>
    <row r="106" s="37" customFormat="1" ht="11.55" customHeight="1" spans="1:32">
      <c r="A106" s="957"/>
      <c r="B106" s="44"/>
      <c r="C106" s="44"/>
      <c r="K106" s="38"/>
      <c r="L106" s="44"/>
      <c r="M106" s="44"/>
      <c r="N106" s="38"/>
      <c r="O106" s="38"/>
      <c r="P106" s="38"/>
      <c r="Q106" s="38"/>
      <c r="R106" s="44"/>
      <c r="S106" s="38"/>
      <c r="T106" s="38"/>
      <c r="U106" s="958"/>
      <c r="V106" s="38"/>
      <c r="W106" s="38"/>
      <c r="X106" s="38"/>
      <c r="Y106" s="38"/>
      <c r="Z106" s="38"/>
      <c r="AA106" s="575"/>
      <c r="AB106" s="976"/>
      <c r="AC106" s="976"/>
      <c r="AD106" s="976"/>
      <c r="AE106" s="976"/>
      <c r="AF106" s="37">
        <v>11</v>
      </c>
    </row>
    <row r="107" s="37" customFormat="1" ht="11.55" customHeight="1" spans="1:32">
      <c r="A107" s="957"/>
      <c r="B107" s="44"/>
      <c r="C107" s="44"/>
      <c r="K107" s="38"/>
      <c r="L107" s="44"/>
      <c r="M107" s="44"/>
      <c r="N107" s="38"/>
      <c r="O107" s="38"/>
      <c r="P107" s="38"/>
      <c r="Q107" s="38"/>
      <c r="R107" s="44"/>
      <c r="S107" s="38"/>
      <c r="T107" s="38"/>
      <c r="U107" s="958"/>
      <c r="V107" s="38"/>
      <c r="W107" s="38"/>
      <c r="X107" s="38"/>
      <c r="Y107" s="38"/>
      <c r="Z107" s="38"/>
      <c r="AA107" s="575"/>
      <c r="AB107" s="976"/>
      <c r="AC107" s="976"/>
      <c r="AD107" s="976"/>
      <c r="AE107" s="976"/>
      <c r="AF107" s="37">
        <v>11</v>
      </c>
    </row>
    <row r="108" s="37" customFormat="1" ht="11.55" customHeight="1" spans="1:32">
      <c r="A108" s="957"/>
      <c r="B108" s="44"/>
      <c r="C108" s="44"/>
      <c r="K108" s="38"/>
      <c r="L108" s="44"/>
      <c r="M108" s="44"/>
      <c r="N108" s="38"/>
      <c r="O108" s="38"/>
      <c r="P108" s="38"/>
      <c r="Q108" s="38"/>
      <c r="R108" s="44"/>
      <c r="S108" s="38"/>
      <c r="T108" s="38"/>
      <c r="U108" s="958"/>
      <c r="V108" s="38"/>
      <c r="W108" s="38"/>
      <c r="X108" s="38"/>
      <c r="Y108" s="38"/>
      <c r="Z108" s="38"/>
      <c r="AA108" s="575"/>
      <c r="AB108" s="976"/>
      <c r="AC108" s="976"/>
      <c r="AD108" s="976"/>
      <c r="AE108" s="976"/>
      <c r="AF108" s="37">
        <v>11</v>
      </c>
    </row>
    <row r="109" s="37" customFormat="1" ht="11.55" customHeight="1" spans="1:32">
      <c r="A109" s="957"/>
      <c r="B109" s="44"/>
      <c r="C109" s="44"/>
      <c r="K109" s="38"/>
      <c r="L109" s="44"/>
      <c r="M109" s="44"/>
      <c r="N109" s="38"/>
      <c r="O109" s="38"/>
      <c r="P109" s="38"/>
      <c r="Q109" s="38"/>
      <c r="R109" s="44"/>
      <c r="S109" s="38"/>
      <c r="T109" s="38"/>
      <c r="U109" s="958"/>
      <c r="V109" s="38"/>
      <c r="W109" s="38"/>
      <c r="X109" s="38"/>
      <c r="Y109" s="38"/>
      <c r="Z109" s="38"/>
      <c r="AA109" s="575"/>
      <c r="AB109" s="976"/>
      <c r="AC109" s="976"/>
      <c r="AD109" s="976"/>
      <c r="AE109" s="976"/>
      <c r="AF109" s="37">
        <v>11</v>
      </c>
    </row>
    <row r="110" s="37" customFormat="1" ht="11.55" customHeight="1" spans="1:32">
      <c r="A110" s="957"/>
      <c r="B110" s="44"/>
      <c r="C110" s="44"/>
      <c r="K110" s="38"/>
      <c r="L110" s="44"/>
      <c r="M110" s="44"/>
      <c r="N110" s="38"/>
      <c r="O110" s="38"/>
      <c r="P110" s="38"/>
      <c r="Q110" s="38"/>
      <c r="R110" s="44"/>
      <c r="S110" s="38"/>
      <c r="T110" s="38"/>
      <c r="U110" s="958"/>
      <c r="V110" s="38"/>
      <c r="W110" s="38"/>
      <c r="X110" s="38"/>
      <c r="Y110" s="38"/>
      <c r="Z110" s="38"/>
      <c r="AA110" s="575"/>
      <c r="AB110" s="976"/>
      <c r="AC110" s="976"/>
      <c r="AD110" s="976"/>
      <c r="AE110" s="976"/>
      <c r="AF110" s="37">
        <v>11</v>
      </c>
    </row>
    <row r="111" s="37" customFormat="1" ht="11.55" customHeight="1" spans="1:32">
      <c r="A111" s="957"/>
      <c r="B111" s="44"/>
      <c r="C111" s="44"/>
      <c r="K111" s="38"/>
      <c r="L111" s="44"/>
      <c r="M111" s="44"/>
      <c r="N111" s="38"/>
      <c r="O111" s="38"/>
      <c r="P111" s="38"/>
      <c r="Q111" s="38"/>
      <c r="R111" s="44"/>
      <c r="S111" s="38"/>
      <c r="T111" s="38"/>
      <c r="U111" s="958"/>
      <c r="V111" s="38"/>
      <c r="W111" s="38"/>
      <c r="X111" s="38"/>
      <c r="Y111" s="38"/>
      <c r="Z111" s="38"/>
      <c r="AA111" s="575"/>
      <c r="AB111" s="976"/>
      <c r="AC111" s="976"/>
      <c r="AD111" s="976"/>
      <c r="AE111" s="976"/>
      <c r="AF111" s="37">
        <v>11</v>
      </c>
    </row>
    <row r="112" s="37" customFormat="1" ht="11.55" customHeight="1" spans="1:32">
      <c r="A112" s="957"/>
      <c r="B112" s="44"/>
      <c r="C112" s="44"/>
      <c r="K112" s="38"/>
      <c r="L112" s="44"/>
      <c r="M112" s="44"/>
      <c r="N112" s="38"/>
      <c r="O112" s="38"/>
      <c r="P112" s="38"/>
      <c r="Q112" s="38"/>
      <c r="R112" s="44"/>
      <c r="S112" s="38"/>
      <c r="T112" s="38"/>
      <c r="U112" s="958"/>
      <c r="V112" s="38"/>
      <c r="W112" s="38"/>
      <c r="X112" s="38"/>
      <c r="Y112" s="38"/>
      <c r="Z112" s="38"/>
      <c r="AA112" s="575"/>
      <c r="AB112" s="976"/>
      <c r="AC112" s="976"/>
      <c r="AD112" s="976"/>
      <c r="AE112" s="976"/>
      <c r="AF112" s="37">
        <v>11</v>
      </c>
    </row>
    <row r="113" s="37" customFormat="1" ht="11.55" customHeight="1" spans="1:32">
      <c r="A113" s="957"/>
      <c r="B113" s="44"/>
      <c r="C113" s="44"/>
      <c r="K113" s="38"/>
      <c r="L113" s="44"/>
      <c r="M113" s="44"/>
      <c r="N113" s="38"/>
      <c r="O113" s="38"/>
      <c r="P113" s="38"/>
      <c r="Q113" s="38"/>
      <c r="R113" s="44"/>
      <c r="S113" s="38"/>
      <c r="T113" s="38"/>
      <c r="U113" s="958"/>
      <c r="V113" s="38"/>
      <c r="W113" s="38"/>
      <c r="X113" s="38"/>
      <c r="Y113" s="38"/>
      <c r="Z113" s="38"/>
      <c r="AA113" s="575"/>
      <c r="AB113" s="976"/>
      <c r="AC113" s="976"/>
      <c r="AD113" s="976"/>
      <c r="AE113" s="976"/>
      <c r="AF113" s="37">
        <v>11</v>
      </c>
    </row>
    <row r="114" s="37" customFormat="1" ht="11.55" customHeight="1" spans="1:32">
      <c r="A114" s="957"/>
      <c r="B114" s="44"/>
      <c r="C114" s="44"/>
      <c r="K114" s="38"/>
      <c r="L114" s="44"/>
      <c r="M114" s="44"/>
      <c r="N114" s="38"/>
      <c r="O114" s="38"/>
      <c r="P114" s="38"/>
      <c r="Q114" s="38"/>
      <c r="R114" s="44"/>
      <c r="S114" s="38"/>
      <c r="T114" s="38"/>
      <c r="U114" s="958"/>
      <c r="V114" s="38"/>
      <c r="W114" s="38"/>
      <c r="X114" s="38"/>
      <c r="Y114" s="38"/>
      <c r="Z114" s="38"/>
      <c r="AA114" s="575"/>
      <c r="AB114" s="976"/>
      <c r="AC114" s="976"/>
      <c r="AD114" s="976"/>
      <c r="AE114" s="976"/>
      <c r="AF114" s="37">
        <v>11</v>
      </c>
    </row>
    <row r="115" s="37" customFormat="1" ht="11.55" customHeight="1" spans="1:32">
      <c r="A115" s="957"/>
      <c r="B115" s="44"/>
      <c r="C115" s="44"/>
      <c r="K115" s="38"/>
      <c r="L115" s="44"/>
      <c r="M115" s="44"/>
      <c r="N115" s="38"/>
      <c r="O115" s="38"/>
      <c r="P115" s="38"/>
      <c r="Q115" s="38"/>
      <c r="R115" s="44"/>
      <c r="S115" s="38"/>
      <c r="T115" s="38"/>
      <c r="U115" s="958"/>
      <c r="V115" s="38"/>
      <c r="W115" s="38"/>
      <c r="X115" s="38"/>
      <c r="Y115" s="38"/>
      <c r="Z115" s="38"/>
      <c r="AA115" s="575"/>
      <c r="AB115" s="976"/>
      <c r="AC115" s="976"/>
      <c r="AD115" s="976"/>
      <c r="AE115" s="976"/>
      <c r="AF115" s="37">
        <v>11</v>
      </c>
    </row>
    <row r="116" s="37" customFormat="1" ht="11.55" customHeight="1" spans="1:32">
      <c r="A116" s="957"/>
      <c r="B116" s="44"/>
      <c r="C116" s="44"/>
      <c r="K116" s="38"/>
      <c r="L116" s="44"/>
      <c r="M116" s="44"/>
      <c r="N116" s="38"/>
      <c r="O116" s="38"/>
      <c r="P116" s="38"/>
      <c r="Q116" s="38"/>
      <c r="R116" s="44"/>
      <c r="S116" s="38"/>
      <c r="T116" s="38"/>
      <c r="U116" s="958"/>
      <c r="V116" s="38"/>
      <c r="W116" s="38"/>
      <c r="X116" s="38"/>
      <c r="Y116" s="38"/>
      <c r="Z116" s="38"/>
      <c r="AA116" s="575"/>
      <c r="AB116" s="976"/>
      <c r="AC116" s="976"/>
      <c r="AD116" s="976"/>
      <c r="AE116" s="976"/>
      <c r="AF116" s="37">
        <v>11</v>
      </c>
    </row>
    <row r="117" s="37" customFormat="1" ht="11.55" customHeight="1" spans="1:32">
      <c r="A117" s="957"/>
      <c r="B117" s="44"/>
      <c r="C117" s="44"/>
      <c r="K117" s="38"/>
      <c r="L117" s="44"/>
      <c r="M117" s="44"/>
      <c r="N117" s="38"/>
      <c r="O117" s="38"/>
      <c r="P117" s="38"/>
      <c r="Q117" s="38"/>
      <c r="R117" s="44"/>
      <c r="S117" s="38"/>
      <c r="T117" s="38"/>
      <c r="U117" s="958"/>
      <c r="V117" s="38"/>
      <c r="W117" s="38"/>
      <c r="X117" s="38"/>
      <c r="Y117" s="38"/>
      <c r="Z117" s="38"/>
      <c r="AA117" s="575"/>
      <c r="AB117" s="976"/>
      <c r="AC117" s="976"/>
      <c r="AD117" s="976"/>
      <c r="AE117" s="976"/>
      <c r="AF117" s="37">
        <v>11</v>
      </c>
    </row>
    <row r="118" s="37" customFormat="1" ht="11.55" customHeight="1" spans="1:32">
      <c r="A118" s="957"/>
      <c r="B118" s="44"/>
      <c r="C118" s="44"/>
      <c r="K118" s="38"/>
      <c r="L118" s="44"/>
      <c r="M118" s="44"/>
      <c r="N118" s="38"/>
      <c r="O118" s="38"/>
      <c r="P118" s="38"/>
      <c r="Q118" s="38"/>
      <c r="R118" s="44"/>
      <c r="S118" s="38"/>
      <c r="T118" s="38"/>
      <c r="U118" s="958"/>
      <c r="V118" s="38"/>
      <c r="W118" s="38"/>
      <c r="X118" s="38"/>
      <c r="Y118" s="38"/>
      <c r="Z118" s="38"/>
      <c r="AA118" s="575"/>
      <c r="AB118" s="976"/>
      <c r="AC118" s="976"/>
      <c r="AD118" s="976"/>
      <c r="AE118" s="976"/>
      <c r="AF118" s="37">
        <v>11</v>
      </c>
    </row>
    <row r="119" s="37" customFormat="1" ht="11.55" customHeight="1" spans="1:32">
      <c r="A119" s="957"/>
      <c r="B119" s="44"/>
      <c r="C119" s="44"/>
      <c r="K119" s="38"/>
      <c r="L119" s="44"/>
      <c r="M119" s="44"/>
      <c r="N119" s="38"/>
      <c r="O119" s="38"/>
      <c r="P119" s="38"/>
      <c r="Q119" s="38"/>
      <c r="R119" s="44"/>
      <c r="S119" s="38"/>
      <c r="T119" s="38"/>
      <c r="U119" s="958"/>
      <c r="V119" s="38"/>
      <c r="W119" s="38"/>
      <c r="X119" s="38"/>
      <c r="Y119" s="38"/>
      <c r="Z119" s="38"/>
      <c r="AA119" s="575"/>
      <c r="AB119" s="976"/>
      <c r="AC119" s="976"/>
      <c r="AD119" s="976"/>
      <c r="AE119" s="976"/>
      <c r="AF119" s="37">
        <v>11</v>
      </c>
    </row>
    <row r="120" s="37" customFormat="1" ht="11.55" customHeight="1" spans="1:32">
      <c r="A120" s="957"/>
      <c r="B120" s="44"/>
      <c r="C120" s="44"/>
      <c r="K120" s="38"/>
      <c r="L120" s="44"/>
      <c r="M120" s="44"/>
      <c r="N120" s="38"/>
      <c r="O120" s="38"/>
      <c r="P120" s="38"/>
      <c r="Q120" s="38"/>
      <c r="R120" s="44"/>
      <c r="S120" s="38"/>
      <c r="T120" s="38"/>
      <c r="U120" s="958"/>
      <c r="V120" s="38"/>
      <c r="W120" s="38"/>
      <c r="X120" s="38"/>
      <c r="Y120" s="38"/>
      <c r="Z120" s="38"/>
      <c r="AA120" s="575"/>
      <c r="AB120" s="976"/>
      <c r="AC120" s="976"/>
      <c r="AD120" s="976"/>
      <c r="AE120" s="976"/>
      <c r="AF120" s="37">
        <v>11</v>
      </c>
    </row>
    <row r="121" s="37" customFormat="1" ht="11.55" customHeight="1" spans="1:32">
      <c r="A121" s="957"/>
      <c r="B121" s="44"/>
      <c r="C121" s="44"/>
      <c r="K121" s="38"/>
      <c r="L121" s="44"/>
      <c r="M121" s="44"/>
      <c r="N121" s="38"/>
      <c r="O121" s="38"/>
      <c r="P121" s="38"/>
      <c r="Q121" s="38"/>
      <c r="R121" s="44"/>
      <c r="S121" s="38"/>
      <c r="T121" s="38"/>
      <c r="U121" s="958"/>
      <c r="V121" s="38"/>
      <c r="W121" s="38"/>
      <c r="X121" s="38"/>
      <c r="Y121" s="38"/>
      <c r="Z121" s="38"/>
      <c r="AA121" s="575"/>
      <c r="AB121" s="976"/>
      <c r="AC121" s="976"/>
      <c r="AD121" s="976"/>
      <c r="AE121" s="976"/>
      <c r="AF121" s="37">
        <v>11</v>
      </c>
    </row>
    <row r="122" s="37" customFormat="1" ht="11.55" customHeight="1" spans="1:32">
      <c r="A122" s="957"/>
      <c r="B122" s="44"/>
      <c r="C122" s="44"/>
      <c r="K122" s="38"/>
      <c r="L122" s="44"/>
      <c r="M122" s="44"/>
      <c r="N122" s="38"/>
      <c r="O122" s="38"/>
      <c r="P122" s="38"/>
      <c r="Q122" s="38"/>
      <c r="R122" s="44"/>
      <c r="S122" s="38"/>
      <c r="T122" s="38"/>
      <c r="U122" s="958"/>
      <c r="V122" s="38"/>
      <c r="W122" s="38"/>
      <c r="X122" s="38"/>
      <c r="Y122" s="38"/>
      <c r="Z122" s="38"/>
      <c r="AA122" s="575"/>
      <c r="AB122" s="976"/>
      <c r="AC122" s="976"/>
      <c r="AD122" s="976"/>
      <c r="AE122" s="976"/>
      <c r="AF122" s="37">
        <v>11</v>
      </c>
    </row>
    <row r="123" s="37" customFormat="1" ht="11.55" customHeight="1" spans="1:32">
      <c r="A123" s="957"/>
      <c r="B123" s="44"/>
      <c r="C123" s="44"/>
      <c r="K123" s="38"/>
      <c r="L123" s="44"/>
      <c r="M123" s="44"/>
      <c r="N123" s="38"/>
      <c r="O123" s="38"/>
      <c r="P123" s="38"/>
      <c r="Q123" s="38"/>
      <c r="R123" s="44"/>
      <c r="S123" s="38"/>
      <c r="T123" s="38"/>
      <c r="U123" s="958"/>
      <c r="V123" s="38"/>
      <c r="W123" s="38"/>
      <c r="X123" s="38"/>
      <c r="Y123" s="38"/>
      <c r="Z123" s="38"/>
      <c r="AA123" s="575"/>
      <c r="AB123" s="976"/>
      <c r="AC123" s="976"/>
      <c r="AD123" s="976"/>
      <c r="AE123" s="976"/>
      <c r="AF123" s="37">
        <v>11</v>
      </c>
    </row>
    <row r="124" s="37" customFormat="1" ht="11.55" customHeight="1" spans="1:32">
      <c r="A124" s="957"/>
      <c r="B124" s="44"/>
      <c r="C124" s="44"/>
      <c r="K124" s="38"/>
      <c r="L124" s="44"/>
      <c r="M124" s="44"/>
      <c r="N124" s="38"/>
      <c r="O124" s="38"/>
      <c r="P124" s="38"/>
      <c r="Q124" s="38"/>
      <c r="R124" s="44"/>
      <c r="S124" s="38"/>
      <c r="T124" s="38"/>
      <c r="U124" s="958"/>
      <c r="V124" s="38"/>
      <c r="W124" s="38"/>
      <c r="X124" s="38"/>
      <c r="Y124" s="38"/>
      <c r="Z124" s="38"/>
      <c r="AA124" s="575"/>
      <c r="AB124" s="976"/>
      <c r="AC124" s="976"/>
      <c r="AD124" s="976"/>
      <c r="AE124" s="976"/>
      <c r="AF124" s="37">
        <v>11</v>
      </c>
    </row>
    <row r="125" s="37" customFormat="1" ht="11.55" customHeight="1" spans="1:32">
      <c r="A125" s="957"/>
      <c r="B125" s="44"/>
      <c r="C125" s="44"/>
      <c r="K125" s="38"/>
      <c r="L125" s="44"/>
      <c r="M125" s="44"/>
      <c r="N125" s="38"/>
      <c r="O125" s="38"/>
      <c r="P125" s="38"/>
      <c r="Q125" s="38"/>
      <c r="R125" s="44"/>
      <c r="S125" s="38"/>
      <c r="T125" s="38"/>
      <c r="U125" s="958"/>
      <c r="V125" s="38"/>
      <c r="W125" s="38"/>
      <c r="X125" s="38"/>
      <c r="Y125" s="38"/>
      <c r="Z125" s="38"/>
      <c r="AA125" s="575"/>
      <c r="AB125" s="976"/>
      <c r="AC125" s="976"/>
      <c r="AD125" s="976"/>
      <c r="AE125" s="976"/>
      <c r="AF125" s="37">
        <v>11</v>
      </c>
    </row>
    <row r="126" s="37" customFormat="1" ht="11.55" customHeight="1" spans="1:32">
      <c r="A126" s="957"/>
      <c r="B126" s="44"/>
      <c r="C126" s="44"/>
      <c r="K126" s="38"/>
      <c r="L126" s="44"/>
      <c r="M126" s="44"/>
      <c r="N126" s="38"/>
      <c r="O126" s="38"/>
      <c r="P126" s="38"/>
      <c r="Q126" s="38"/>
      <c r="R126" s="44"/>
      <c r="S126" s="38"/>
      <c r="T126" s="38"/>
      <c r="U126" s="958"/>
      <c r="V126" s="38"/>
      <c r="W126" s="38"/>
      <c r="X126" s="38"/>
      <c r="Y126" s="38"/>
      <c r="Z126" s="38"/>
      <c r="AA126" s="575"/>
      <c r="AB126" s="976"/>
      <c r="AC126" s="976"/>
      <c r="AD126" s="976"/>
      <c r="AE126" s="976"/>
      <c r="AF126" s="37">
        <v>11</v>
      </c>
    </row>
    <row r="127" s="37" customFormat="1" ht="11.55" customHeight="1" spans="1:32">
      <c r="A127" s="957"/>
      <c r="B127" s="44"/>
      <c r="C127" s="44"/>
      <c r="K127" s="38"/>
      <c r="L127" s="44"/>
      <c r="M127" s="44"/>
      <c r="N127" s="38"/>
      <c r="O127" s="38"/>
      <c r="P127" s="38"/>
      <c r="Q127" s="38"/>
      <c r="R127" s="44"/>
      <c r="S127" s="38"/>
      <c r="T127" s="38"/>
      <c r="U127" s="958"/>
      <c r="V127" s="38"/>
      <c r="W127" s="38"/>
      <c r="X127" s="38"/>
      <c r="Y127" s="38"/>
      <c r="Z127" s="38"/>
      <c r="AA127" s="575"/>
      <c r="AB127" s="976"/>
      <c r="AC127" s="976"/>
      <c r="AD127" s="976"/>
      <c r="AE127" s="976"/>
      <c r="AF127" s="37">
        <v>11</v>
      </c>
    </row>
    <row r="128" s="37" customFormat="1" ht="11.55" customHeight="1" spans="1:32">
      <c r="A128" s="957"/>
      <c r="B128" s="44"/>
      <c r="C128" s="44"/>
      <c r="K128" s="38"/>
      <c r="L128" s="44"/>
      <c r="M128" s="44"/>
      <c r="N128" s="38"/>
      <c r="O128" s="38"/>
      <c r="P128" s="38"/>
      <c r="Q128" s="38"/>
      <c r="R128" s="44"/>
      <c r="S128" s="38"/>
      <c r="T128" s="38"/>
      <c r="U128" s="958"/>
      <c r="V128" s="38"/>
      <c r="W128" s="38"/>
      <c r="X128" s="38"/>
      <c r="Y128" s="38"/>
      <c r="Z128" s="38"/>
      <c r="AA128" s="575"/>
      <c r="AB128" s="976"/>
      <c r="AC128" s="976"/>
      <c r="AD128" s="976"/>
      <c r="AE128" s="976"/>
      <c r="AF128" s="37">
        <v>11</v>
      </c>
    </row>
    <row r="129" s="37" customFormat="1" ht="11.55" customHeight="1" spans="1:32">
      <c r="A129" s="957"/>
      <c r="B129" s="44"/>
      <c r="C129" s="44"/>
      <c r="K129" s="38"/>
      <c r="L129" s="44"/>
      <c r="M129" s="44"/>
      <c r="N129" s="38"/>
      <c r="O129" s="38"/>
      <c r="P129" s="38"/>
      <c r="Q129" s="38"/>
      <c r="R129" s="44"/>
      <c r="S129" s="38"/>
      <c r="T129" s="38"/>
      <c r="U129" s="958"/>
      <c r="V129" s="38"/>
      <c r="W129" s="38"/>
      <c r="X129" s="38"/>
      <c r="Y129" s="38"/>
      <c r="Z129" s="38"/>
      <c r="AA129" s="575"/>
      <c r="AB129" s="976"/>
      <c r="AC129" s="976"/>
      <c r="AD129" s="976"/>
      <c r="AE129" s="976"/>
      <c r="AF129" s="37">
        <v>11</v>
      </c>
    </row>
    <row r="130" s="37" customFormat="1" ht="11.55" customHeight="1" spans="1:32">
      <c r="A130" s="957"/>
      <c r="B130" s="44"/>
      <c r="C130" s="44"/>
      <c r="K130" s="38"/>
      <c r="L130" s="44"/>
      <c r="M130" s="44"/>
      <c r="N130" s="38"/>
      <c r="O130" s="38"/>
      <c r="P130" s="38"/>
      <c r="Q130" s="38"/>
      <c r="R130" s="44"/>
      <c r="S130" s="38"/>
      <c r="T130" s="38"/>
      <c r="U130" s="958"/>
      <c r="V130" s="38"/>
      <c r="W130" s="38"/>
      <c r="X130" s="38"/>
      <c r="Y130" s="38"/>
      <c r="Z130" s="38"/>
      <c r="AA130" s="575"/>
      <c r="AB130" s="976"/>
      <c r="AC130" s="976"/>
      <c r="AD130" s="976"/>
      <c r="AE130" s="976"/>
      <c r="AF130" s="37">
        <v>11</v>
      </c>
    </row>
    <row r="131" s="37" customFormat="1" ht="11.55" customHeight="1" spans="1:32">
      <c r="A131" s="957"/>
      <c r="B131" s="44"/>
      <c r="C131" s="44"/>
      <c r="K131" s="38"/>
      <c r="L131" s="44"/>
      <c r="M131" s="44"/>
      <c r="N131" s="38"/>
      <c r="O131" s="38"/>
      <c r="P131" s="38"/>
      <c r="Q131" s="38"/>
      <c r="R131" s="44"/>
      <c r="S131" s="38"/>
      <c r="T131" s="38"/>
      <c r="U131" s="958"/>
      <c r="V131" s="38"/>
      <c r="W131" s="38"/>
      <c r="X131" s="38"/>
      <c r="Y131" s="38"/>
      <c r="Z131" s="38"/>
      <c r="AA131" s="575"/>
      <c r="AB131" s="976"/>
      <c r="AC131" s="976"/>
      <c r="AD131" s="976"/>
      <c r="AE131" s="976"/>
      <c r="AF131" s="37">
        <v>11</v>
      </c>
    </row>
    <row r="132" s="37" customFormat="1" ht="11.55" customHeight="1" spans="1:32">
      <c r="A132" s="957"/>
      <c r="B132" s="44"/>
      <c r="C132" s="44"/>
      <c r="K132" s="38"/>
      <c r="L132" s="44"/>
      <c r="M132" s="44"/>
      <c r="N132" s="38"/>
      <c r="O132" s="38"/>
      <c r="P132" s="38"/>
      <c r="Q132" s="38"/>
      <c r="R132" s="44"/>
      <c r="S132" s="38"/>
      <c r="T132" s="38"/>
      <c r="U132" s="958"/>
      <c r="V132" s="38"/>
      <c r="W132" s="38"/>
      <c r="X132" s="38"/>
      <c r="Y132" s="38"/>
      <c r="Z132" s="38"/>
      <c r="AA132" s="575"/>
      <c r="AB132" s="976"/>
      <c r="AC132" s="976"/>
      <c r="AD132" s="976"/>
      <c r="AE132" s="976"/>
      <c r="AF132" s="37">
        <v>11</v>
      </c>
    </row>
    <row r="133" s="37" customFormat="1" ht="11.55" customHeight="1" spans="1:32">
      <c r="A133" s="957"/>
      <c r="B133" s="44"/>
      <c r="C133" s="44"/>
      <c r="K133" s="38"/>
      <c r="L133" s="44"/>
      <c r="M133" s="44"/>
      <c r="N133" s="38"/>
      <c r="O133" s="38"/>
      <c r="P133" s="38"/>
      <c r="Q133" s="38"/>
      <c r="R133" s="44"/>
      <c r="S133" s="38"/>
      <c r="T133" s="38"/>
      <c r="U133" s="958"/>
      <c r="V133" s="38"/>
      <c r="W133" s="38"/>
      <c r="X133" s="38"/>
      <c r="Y133" s="38"/>
      <c r="Z133" s="38"/>
      <c r="AA133" s="575"/>
      <c r="AB133" s="976"/>
      <c r="AC133" s="976"/>
      <c r="AD133" s="976"/>
      <c r="AE133" s="976"/>
      <c r="AF133" s="37">
        <v>11</v>
      </c>
    </row>
    <row r="134" s="37" customFormat="1" ht="11.55" customHeight="1" spans="1:32">
      <c r="A134" s="957"/>
      <c r="B134" s="44"/>
      <c r="C134" s="44"/>
      <c r="K134" s="38"/>
      <c r="L134" s="44"/>
      <c r="M134" s="44"/>
      <c r="N134" s="38"/>
      <c r="O134" s="38"/>
      <c r="P134" s="38"/>
      <c r="Q134" s="38"/>
      <c r="R134" s="44"/>
      <c r="S134" s="38"/>
      <c r="T134" s="38"/>
      <c r="U134" s="958"/>
      <c r="V134" s="38"/>
      <c r="W134" s="38"/>
      <c r="X134" s="38"/>
      <c r="Y134" s="38"/>
      <c r="Z134" s="38"/>
      <c r="AA134" s="575"/>
      <c r="AB134" s="976"/>
      <c r="AC134" s="976"/>
      <c r="AD134" s="976"/>
      <c r="AE134" s="976"/>
      <c r="AF134" s="37">
        <v>11</v>
      </c>
    </row>
    <row r="135" s="37" customFormat="1" ht="11.55" customHeight="1" spans="1:32">
      <c r="A135" s="957"/>
      <c r="B135" s="44"/>
      <c r="C135" s="44"/>
      <c r="K135" s="38"/>
      <c r="L135" s="44"/>
      <c r="M135" s="44"/>
      <c r="N135" s="38"/>
      <c r="O135" s="38"/>
      <c r="P135" s="38"/>
      <c r="Q135" s="38"/>
      <c r="R135" s="44"/>
      <c r="S135" s="38"/>
      <c r="T135" s="38"/>
      <c r="U135" s="958"/>
      <c r="V135" s="38"/>
      <c r="W135" s="38"/>
      <c r="X135" s="38"/>
      <c r="Y135" s="38"/>
      <c r="Z135" s="38"/>
      <c r="AA135" s="575"/>
      <c r="AB135" s="976"/>
      <c r="AC135" s="976"/>
      <c r="AD135" s="976"/>
      <c r="AE135" s="976"/>
      <c r="AF135" s="37">
        <v>11</v>
      </c>
    </row>
    <row r="136" s="37" customFormat="1" ht="11.55" customHeight="1" spans="1:32">
      <c r="A136" s="957"/>
      <c r="B136" s="44"/>
      <c r="C136" s="44"/>
      <c r="K136" s="38"/>
      <c r="L136" s="44"/>
      <c r="M136" s="44"/>
      <c r="N136" s="38"/>
      <c r="O136" s="38"/>
      <c r="P136" s="38"/>
      <c r="Q136" s="38"/>
      <c r="R136" s="44"/>
      <c r="S136" s="38"/>
      <c r="T136" s="38"/>
      <c r="U136" s="958"/>
      <c r="V136" s="38"/>
      <c r="W136" s="38"/>
      <c r="X136" s="38"/>
      <c r="Y136" s="38"/>
      <c r="Z136" s="38"/>
      <c r="AA136" s="575"/>
      <c r="AB136" s="976"/>
      <c r="AC136" s="976"/>
      <c r="AD136" s="976"/>
      <c r="AE136" s="976"/>
      <c r="AF136" s="37">
        <v>11</v>
      </c>
    </row>
    <row r="137" s="37" customFormat="1" ht="11.55" customHeight="1" spans="1:32">
      <c r="A137" s="957"/>
      <c r="B137" s="44"/>
      <c r="C137" s="44"/>
      <c r="K137" s="38"/>
      <c r="L137" s="44"/>
      <c r="M137" s="44"/>
      <c r="N137" s="38"/>
      <c r="O137" s="38"/>
      <c r="P137" s="38"/>
      <c r="Q137" s="38"/>
      <c r="R137" s="44"/>
      <c r="S137" s="38"/>
      <c r="T137" s="38"/>
      <c r="U137" s="958"/>
      <c r="V137" s="38"/>
      <c r="W137" s="38"/>
      <c r="X137" s="38"/>
      <c r="Y137" s="38"/>
      <c r="Z137" s="38"/>
      <c r="AA137" s="575"/>
      <c r="AB137" s="976"/>
      <c r="AC137" s="976"/>
      <c r="AD137" s="976"/>
      <c r="AE137" s="976"/>
      <c r="AF137" s="37">
        <v>11</v>
      </c>
    </row>
    <row r="138" s="37" customFormat="1" ht="11.55" customHeight="1" spans="1:32">
      <c r="A138" s="957"/>
      <c r="B138" s="44"/>
      <c r="C138" s="44"/>
      <c r="K138" s="38"/>
      <c r="L138" s="44"/>
      <c r="M138" s="44"/>
      <c r="N138" s="38"/>
      <c r="O138" s="38"/>
      <c r="P138" s="38"/>
      <c r="Q138" s="38"/>
      <c r="R138" s="44"/>
      <c r="S138" s="38"/>
      <c r="T138" s="38"/>
      <c r="U138" s="958"/>
      <c r="V138" s="38"/>
      <c r="W138" s="38"/>
      <c r="X138" s="38"/>
      <c r="Y138" s="38"/>
      <c r="Z138" s="38"/>
      <c r="AA138" s="575"/>
      <c r="AB138" s="976"/>
      <c r="AC138" s="976"/>
      <c r="AD138" s="976"/>
      <c r="AE138" s="976"/>
      <c r="AF138" s="37">
        <v>11</v>
      </c>
    </row>
    <row r="139" s="37" customFormat="1" ht="11.55" customHeight="1" spans="1:32">
      <c r="A139" s="957"/>
      <c r="B139" s="44"/>
      <c r="C139" s="44"/>
      <c r="K139" s="38"/>
      <c r="L139" s="44"/>
      <c r="M139" s="44"/>
      <c r="N139" s="38"/>
      <c r="O139" s="38"/>
      <c r="P139" s="38"/>
      <c r="Q139" s="38"/>
      <c r="R139" s="44"/>
      <c r="S139" s="38"/>
      <c r="T139" s="38"/>
      <c r="U139" s="958"/>
      <c r="V139" s="38"/>
      <c r="W139" s="38"/>
      <c r="X139" s="38"/>
      <c r="Y139" s="38"/>
      <c r="Z139" s="38"/>
      <c r="AA139" s="575"/>
      <c r="AB139" s="976"/>
      <c r="AC139" s="976"/>
      <c r="AD139" s="976"/>
      <c r="AE139" s="976"/>
      <c r="AF139" s="37">
        <v>11</v>
      </c>
    </row>
    <row r="140" s="37" customFormat="1" ht="11.55" customHeight="1" spans="1:32">
      <c r="A140" s="957"/>
      <c r="B140" s="44"/>
      <c r="C140" s="44"/>
      <c r="K140" s="38"/>
      <c r="L140" s="44"/>
      <c r="M140" s="44"/>
      <c r="N140" s="38"/>
      <c r="O140" s="38"/>
      <c r="P140" s="38"/>
      <c r="Q140" s="38"/>
      <c r="R140" s="44"/>
      <c r="S140" s="38"/>
      <c r="T140" s="38"/>
      <c r="U140" s="958"/>
      <c r="V140" s="38"/>
      <c r="W140" s="38"/>
      <c r="X140" s="38"/>
      <c r="Y140" s="38"/>
      <c r="Z140" s="38"/>
      <c r="AA140" s="575"/>
      <c r="AB140" s="976"/>
      <c r="AC140" s="976"/>
      <c r="AD140" s="976"/>
      <c r="AE140" s="976"/>
      <c r="AF140" s="37">
        <v>11</v>
      </c>
    </row>
    <row r="141" s="37" customFormat="1" ht="11.55" customHeight="1" spans="1:32">
      <c r="A141" s="957"/>
      <c r="B141" s="44"/>
      <c r="C141" s="44"/>
      <c r="K141" s="38"/>
      <c r="L141" s="44"/>
      <c r="M141" s="44"/>
      <c r="N141" s="38"/>
      <c r="O141" s="38"/>
      <c r="P141" s="38"/>
      <c r="Q141" s="38"/>
      <c r="R141" s="44"/>
      <c r="S141" s="38"/>
      <c r="T141" s="38"/>
      <c r="U141" s="958"/>
      <c r="V141" s="38"/>
      <c r="W141" s="38"/>
      <c r="X141" s="38"/>
      <c r="Y141" s="38"/>
      <c r="Z141" s="38"/>
      <c r="AA141" s="575"/>
      <c r="AB141" s="976"/>
      <c r="AC141" s="976"/>
      <c r="AD141" s="976"/>
      <c r="AE141" s="976"/>
      <c r="AF141" s="37">
        <v>11</v>
      </c>
    </row>
    <row r="142" s="37" customFormat="1" ht="11.55" customHeight="1" spans="1:32">
      <c r="A142" s="957"/>
      <c r="B142" s="44"/>
      <c r="C142" s="44"/>
      <c r="K142" s="38"/>
      <c r="L142" s="44"/>
      <c r="M142" s="44"/>
      <c r="N142" s="38"/>
      <c r="O142" s="38"/>
      <c r="P142" s="38"/>
      <c r="Q142" s="38"/>
      <c r="R142" s="44"/>
      <c r="S142" s="38"/>
      <c r="T142" s="38"/>
      <c r="U142" s="958"/>
      <c r="V142" s="38"/>
      <c r="W142" s="38"/>
      <c r="X142" s="38"/>
      <c r="Y142" s="38"/>
      <c r="Z142" s="38"/>
      <c r="AA142" s="575"/>
      <c r="AB142" s="976"/>
      <c r="AC142" s="976"/>
      <c r="AD142" s="976"/>
      <c r="AE142" s="976"/>
      <c r="AF142" s="37">
        <v>11</v>
      </c>
    </row>
    <row r="143" s="37" customFormat="1" ht="11.55" customHeight="1" spans="1:32">
      <c r="A143" s="957"/>
      <c r="B143" s="44"/>
      <c r="C143" s="44"/>
      <c r="K143" s="38"/>
      <c r="L143" s="44"/>
      <c r="M143" s="44"/>
      <c r="N143" s="38"/>
      <c r="O143" s="38"/>
      <c r="P143" s="38"/>
      <c r="Q143" s="38"/>
      <c r="R143" s="44"/>
      <c r="S143" s="38"/>
      <c r="T143" s="38"/>
      <c r="U143" s="958"/>
      <c r="V143" s="38"/>
      <c r="W143" s="38"/>
      <c r="X143" s="38"/>
      <c r="Y143" s="38"/>
      <c r="Z143" s="38"/>
      <c r="AA143" s="575"/>
      <c r="AB143" s="976"/>
      <c r="AC143" s="976"/>
      <c r="AD143" s="976"/>
      <c r="AE143" s="976"/>
      <c r="AF143" s="37">
        <v>11</v>
      </c>
    </row>
    <row r="144" s="37" customFormat="1" ht="11.55" customHeight="1" spans="1:32">
      <c r="A144" s="957"/>
      <c r="B144" s="44"/>
      <c r="C144" s="44"/>
      <c r="K144" s="38"/>
      <c r="L144" s="44"/>
      <c r="M144" s="44"/>
      <c r="N144" s="38"/>
      <c r="O144" s="38"/>
      <c r="P144" s="38"/>
      <c r="Q144" s="38"/>
      <c r="R144" s="44"/>
      <c r="S144" s="38"/>
      <c r="T144" s="38"/>
      <c r="U144" s="958"/>
      <c r="V144" s="38"/>
      <c r="W144" s="38"/>
      <c r="X144" s="38"/>
      <c r="Y144" s="38"/>
      <c r="Z144" s="38"/>
      <c r="AA144" s="575"/>
      <c r="AB144" s="976"/>
      <c r="AC144" s="976"/>
      <c r="AD144" s="976"/>
      <c r="AE144" s="976"/>
      <c r="AF144" s="37">
        <v>11</v>
      </c>
    </row>
    <row r="145" s="37" customFormat="1" ht="11.55" customHeight="1" spans="1:32">
      <c r="A145" s="957"/>
      <c r="B145" s="44"/>
      <c r="C145" s="44"/>
      <c r="K145" s="38"/>
      <c r="L145" s="44"/>
      <c r="M145" s="44"/>
      <c r="N145" s="38"/>
      <c r="O145" s="38"/>
      <c r="P145" s="38"/>
      <c r="Q145" s="38"/>
      <c r="R145" s="44"/>
      <c r="S145" s="38"/>
      <c r="T145" s="38"/>
      <c r="U145" s="958"/>
      <c r="V145" s="38"/>
      <c r="W145" s="38"/>
      <c r="X145" s="38"/>
      <c r="Y145" s="38"/>
      <c r="Z145" s="38"/>
      <c r="AA145" s="575"/>
      <c r="AB145" s="976"/>
      <c r="AC145" s="976"/>
      <c r="AD145" s="976"/>
      <c r="AE145" s="976"/>
      <c r="AF145" s="37">
        <v>11</v>
      </c>
    </row>
    <row r="146" s="37" customFormat="1" ht="11.55" customHeight="1" spans="1:32">
      <c r="A146" s="957"/>
      <c r="B146" s="44"/>
      <c r="C146" s="44"/>
      <c r="K146" s="38"/>
      <c r="L146" s="44"/>
      <c r="M146" s="44"/>
      <c r="N146" s="38"/>
      <c r="O146" s="38"/>
      <c r="P146" s="38"/>
      <c r="Q146" s="38"/>
      <c r="R146" s="44"/>
      <c r="S146" s="38"/>
      <c r="T146" s="38"/>
      <c r="U146" s="958"/>
      <c r="V146" s="38"/>
      <c r="W146" s="38"/>
      <c r="X146" s="38"/>
      <c r="Y146" s="38"/>
      <c r="Z146" s="38"/>
      <c r="AA146" s="575"/>
      <c r="AB146" s="976"/>
      <c r="AC146" s="976"/>
      <c r="AD146" s="976"/>
      <c r="AE146" s="976"/>
      <c r="AF146" s="37">
        <v>11</v>
      </c>
    </row>
    <row r="147" s="37" customFormat="1" ht="11.55" customHeight="1" spans="1:32">
      <c r="A147" s="957"/>
      <c r="B147" s="44"/>
      <c r="C147" s="44"/>
      <c r="K147" s="38"/>
      <c r="L147" s="44"/>
      <c r="M147" s="44"/>
      <c r="N147" s="38"/>
      <c r="O147" s="38"/>
      <c r="P147" s="38"/>
      <c r="Q147" s="38"/>
      <c r="R147" s="44"/>
      <c r="S147" s="38"/>
      <c r="T147" s="38"/>
      <c r="U147" s="958"/>
      <c r="V147" s="38"/>
      <c r="W147" s="38"/>
      <c r="X147" s="38"/>
      <c r="Y147" s="38"/>
      <c r="Z147" s="38"/>
      <c r="AA147" s="575"/>
      <c r="AB147" s="976"/>
      <c r="AC147" s="976"/>
      <c r="AD147" s="976"/>
      <c r="AE147" s="976"/>
      <c r="AF147" s="37">
        <v>11</v>
      </c>
    </row>
    <row r="148" s="37" customFormat="1" ht="11.55" customHeight="1" spans="1:32">
      <c r="A148" s="957"/>
      <c r="B148" s="44"/>
      <c r="C148" s="44"/>
      <c r="K148" s="38"/>
      <c r="L148" s="44"/>
      <c r="M148" s="44"/>
      <c r="N148" s="38"/>
      <c r="O148" s="38"/>
      <c r="P148" s="38"/>
      <c r="Q148" s="38"/>
      <c r="R148" s="44"/>
      <c r="S148" s="38"/>
      <c r="T148" s="38"/>
      <c r="U148" s="958"/>
      <c r="V148" s="38"/>
      <c r="W148" s="38"/>
      <c r="X148" s="38"/>
      <c r="Y148" s="38"/>
      <c r="Z148" s="38"/>
      <c r="AA148" s="575"/>
      <c r="AB148" s="976"/>
      <c r="AC148" s="976"/>
      <c r="AD148" s="976"/>
      <c r="AE148" s="976"/>
      <c r="AF148" s="37">
        <v>11</v>
      </c>
    </row>
    <row r="149" s="37" customFormat="1" ht="11.55" customHeight="1" spans="1:32">
      <c r="A149" s="957"/>
      <c r="B149" s="44"/>
      <c r="C149" s="44"/>
      <c r="K149" s="38"/>
      <c r="L149" s="44"/>
      <c r="M149" s="44"/>
      <c r="N149" s="38"/>
      <c r="O149" s="38"/>
      <c r="P149" s="38"/>
      <c r="Q149" s="38"/>
      <c r="R149" s="44"/>
      <c r="S149" s="38"/>
      <c r="T149" s="38"/>
      <c r="U149" s="958"/>
      <c r="V149" s="38"/>
      <c r="W149" s="38"/>
      <c r="X149" s="38"/>
      <c r="Y149" s="38"/>
      <c r="Z149" s="38"/>
      <c r="AA149" s="575"/>
      <c r="AB149" s="976"/>
      <c r="AC149" s="976"/>
      <c r="AD149" s="976"/>
      <c r="AE149" s="976"/>
      <c r="AF149" s="37">
        <v>11</v>
      </c>
    </row>
    <row r="150" s="37" customFormat="1" ht="11.55" customHeight="1" spans="1:32">
      <c r="A150" s="957"/>
      <c r="B150" s="44"/>
      <c r="C150" s="44"/>
      <c r="K150" s="38"/>
      <c r="L150" s="44"/>
      <c r="M150" s="44"/>
      <c r="N150" s="38"/>
      <c r="O150" s="38"/>
      <c r="P150" s="38"/>
      <c r="Q150" s="38"/>
      <c r="R150" s="44"/>
      <c r="S150" s="38"/>
      <c r="T150" s="38"/>
      <c r="U150" s="958"/>
      <c r="V150" s="38"/>
      <c r="W150" s="38"/>
      <c r="X150" s="38"/>
      <c r="Y150" s="38"/>
      <c r="Z150" s="38"/>
      <c r="AA150" s="575"/>
      <c r="AB150" s="976"/>
      <c r="AC150" s="976"/>
      <c r="AD150" s="976"/>
      <c r="AE150" s="976"/>
      <c r="AF150" s="37">
        <v>11</v>
      </c>
    </row>
    <row r="151" s="37" customFormat="1" ht="11.55" customHeight="1" spans="1:32">
      <c r="A151" s="957"/>
      <c r="B151" s="44"/>
      <c r="C151" s="44"/>
      <c r="K151" s="38"/>
      <c r="L151" s="44"/>
      <c r="M151" s="44"/>
      <c r="N151" s="38"/>
      <c r="O151" s="38"/>
      <c r="P151" s="38"/>
      <c r="Q151" s="38"/>
      <c r="R151" s="44"/>
      <c r="S151" s="38"/>
      <c r="T151" s="38"/>
      <c r="U151" s="958"/>
      <c r="V151" s="38"/>
      <c r="W151" s="38"/>
      <c r="X151" s="38"/>
      <c r="Y151" s="38"/>
      <c r="Z151" s="38"/>
      <c r="AA151" s="575"/>
      <c r="AB151" s="976"/>
      <c r="AC151" s="976"/>
      <c r="AD151" s="976"/>
      <c r="AE151" s="976"/>
      <c r="AF151" s="37">
        <v>11</v>
      </c>
    </row>
    <row r="152" s="37" customFormat="1" ht="11.55" customHeight="1" spans="1:32">
      <c r="A152" s="957"/>
      <c r="B152" s="44"/>
      <c r="C152" s="44"/>
      <c r="K152" s="38"/>
      <c r="L152" s="44"/>
      <c r="M152" s="44"/>
      <c r="N152" s="38"/>
      <c r="O152" s="38"/>
      <c r="P152" s="38"/>
      <c r="Q152" s="38"/>
      <c r="R152" s="44"/>
      <c r="S152" s="38"/>
      <c r="T152" s="38"/>
      <c r="U152" s="958"/>
      <c r="V152" s="38"/>
      <c r="W152" s="38"/>
      <c r="X152" s="38"/>
      <c r="Y152" s="38"/>
      <c r="Z152" s="38"/>
      <c r="AA152" s="575"/>
      <c r="AB152" s="976"/>
      <c r="AC152" s="976"/>
      <c r="AD152" s="976"/>
      <c r="AE152" s="976"/>
      <c r="AF152" s="37">
        <v>11</v>
      </c>
    </row>
    <row r="153" s="37" customFormat="1" ht="11.55" customHeight="1" spans="1:32">
      <c r="A153" s="957"/>
      <c r="B153" s="44"/>
      <c r="C153" s="44"/>
      <c r="K153" s="38"/>
      <c r="L153" s="44"/>
      <c r="M153" s="44"/>
      <c r="N153" s="38"/>
      <c r="O153" s="38"/>
      <c r="P153" s="38"/>
      <c r="Q153" s="38"/>
      <c r="R153" s="44"/>
      <c r="S153" s="38"/>
      <c r="T153" s="38"/>
      <c r="U153" s="958"/>
      <c r="V153" s="38"/>
      <c r="W153" s="38"/>
      <c r="X153" s="38"/>
      <c r="Y153" s="38"/>
      <c r="Z153" s="38"/>
      <c r="AA153" s="575"/>
      <c r="AB153" s="976"/>
      <c r="AC153" s="976"/>
      <c r="AD153" s="976"/>
      <c r="AE153" s="976"/>
      <c r="AF153" s="37">
        <v>11</v>
      </c>
    </row>
    <row r="154" s="37" customFormat="1" ht="11.55" customHeight="1" spans="1:32">
      <c r="A154" s="957"/>
      <c r="B154" s="44"/>
      <c r="C154" s="44"/>
      <c r="K154" s="38"/>
      <c r="L154" s="44"/>
      <c r="M154" s="44"/>
      <c r="N154" s="38"/>
      <c r="O154" s="38"/>
      <c r="P154" s="38"/>
      <c r="Q154" s="38"/>
      <c r="R154" s="44"/>
      <c r="S154" s="38"/>
      <c r="T154" s="38"/>
      <c r="U154" s="958"/>
      <c r="V154" s="38"/>
      <c r="W154" s="38"/>
      <c r="X154" s="38"/>
      <c r="Y154" s="38"/>
      <c r="Z154" s="38"/>
      <c r="AA154" s="575"/>
      <c r="AB154" s="976"/>
      <c r="AC154" s="976"/>
      <c r="AD154" s="976"/>
      <c r="AE154" s="976"/>
      <c r="AF154" s="37">
        <v>11</v>
      </c>
    </row>
    <row r="155" s="37" customFormat="1" ht="11.55" customHeight="1" spans="1:32">
      <c r="A155" s="957"/>
      <c r="B155" s="44"/>
      <c r="C155" s="44"/>
      <c r="K155" s="38"/>
      <c r="L155" s="44"/>
      <c r="M155" s="44"/>
      <c r="N155" s="38"/>
      <c r="O155" s="38"/>
      <c r="P155" s="38"/>
      <c r="Q155" s="38"/>
      <c r="R155" s="44"/>
      <c r="S155" s="38"/>
      <c r="T155" s="38"/>
      <c r="U155" s="958"/>
      <c r="V155" s="38"/>
      <c r="W155" s="38"/>
      <c r="X155" s="38"/>
      <c r="Y155" s="38"/>
      <c r="Z155" s="38"/>
      <c r="AA155" s="575"/>
      <c r="AB155" s="976"/>
      <c r="AC155" s="976"/>
      <c r="AD155" s="976"/>
      <c r="AE155" s="976"/>
      <c r="AF155" s="37">
        <v>11</v>
      </c>
    </row>
    <row r="156" s="37" customFormat="1" ht="11.55" customHeight="1" spans="1:32">
      <c r="A156" s="957"/>
      <c r="B156" s="44"/>
      <c r="C156" s="44"/>
      <c r="K156" s="38"/>
      <c r="L156" s="44"/>
      <c r="M156" s="44"/>
      <c r="N156" s="38"/>
      <c r="O156" s="38"/>
      <c r="P156" s="38"/>
      <c r="Q156" s="38"/>
      <c r="R156" s="44"/>
      <c r="S156" s="38"/>
      <c r="T156" s="38"/>
      <c r="U156" s="958"/>
      <c r="V156" s="38"/>
      <c r="W156" s="38"/>
      <c r="X156" s="38"/>
      <c r="Y156" s="38"/>
      <c r="Z156" s="38"/>
      <c r="AA156" s="575"/>
      <c r="AB156" s="976"/>
      <c r="AC156" s="976"/>
      <c r="AD156" s="976"/>
      <c r="AE156" s="976"/>
      <c r="AF156" s="37">
        <v>11</v>
      </c>
    </row>
    <row r="157" s="37" customFormat="1" ht="11.55" customHeight="1" spans="1:32">
      <c r="A157" s="957"/>
      <c r="B157" s="44"/>
      <c r="C157" s="44"/>
      <c r="K157" s="38"/>
      <c r="L157" s="44"/>
      <c r="M157" s="44"/>
      <c r="N157" s="38"/>
      <c r="O157" s="38"/>
      <c r="P157" s="38"/>
      <c r="Q157" s="38"/>
      <c r="R157" s="44"/>
      <c r="S157" s="38"/>
      <c r="T157" s="38"/>
      <c r="U157" s="958"/>
      <c r="V157" s="38"/>
      <c r="W157" s="38"/>
      <c r="X157" s="38"/>
      <c r="Y157" s="38"/>
      <c r="Z157" s="38"/>
      <c r="AA157" s="575"/>
      <c r="AB157" s="976"/>
      <c r="AC157" s="976"/>
      <c r="AD157" s="976"/>
      <c r="AE157" s="976"/>
      <c r="AF157" s="37">
        <v>11</v>
      </c>
    </row>
    <row r="158" s="37" customFormat="1" ht="11.55" customHeight="1" spans="1:32">
      <c r="A158" s="957"/>
      <c r="B158" s="44"/>
      <c r="C158" s="44"/>
      <c r="K158" s="38"/>
      <c r="L158" s="44"/>
      <c r="M158" s="44"/>
      <c r="N158" s="38"/>
      <c r="O158" s="38"/>
      <c r="P158" s="38"/>
      <c r="Q158" s="38"/>
      <c r="R158" s="44"/>
      <c r="S158" s="38"/>
      <c r="T158" s="38"/>
      <c r="U158" s="958"/>
      <c r="V158" s="38"/>
      <c r="W158" s="38"/>
      <c r="X158" s="38"/>
      <c r="Y158" s="38"/>
      <c r="Z158" s="38"/>
      <c r="AA158" s="575"/>
      <c r="AB158" s="976"/>
      <c r="AC158" s="976"/>
      <c r="AD158" s="976"/>
      <c r="AE158" s="976"/>
      <c r="AF158" s="37">
        <v>11</v>
      </c>
    </row>
    <row r="159" s="37" customFormat="1" ht="11.55" customHeight="1" spans="1:32">
      <c r="A159" s="957"/>
      <c r="B159" s="44"/>
      <c r="C159" s="44"/>
      <c r="K159" s="38"/>
      <c r="L159" s="44"/>
      <c r="M159" s="44"/>
      <c r="N159" s="38"/>
      <c r="O159" s="38"/>
      <c r="P159" s="38"/>
      <c r="Q159" s="38"/>
      <c r="R159" s="44"/>
      <c r="S159" s="38"/>
      <c r="T159" s="38"/>
      <c r="U159" s="958"/>
      <c r="V159" s="38"/>
      <c r="W159" s="38"/>
      <c r="X159" s="38"/>
      <c r="Y159" s="38"/>
      <c r="Z159" s="38"/>
      <c r="AA159" s="575"/>
      <c r="AB159" s="976"/>
      <c r="AC159" s="976"/>
      <c r="AD159" s="976"/>
      <c r="AE159" s="976"/>
      <c r="AF159" s="37">
        <v>11</v>
      </c>
    </row>
    <row r="160" s="37" customFormat="1" ht="11.55" customHeight="1" spans="1:32">
      <c r="A160" s="957"/>
      <c r="B160" s="44"/>
      <c r="C160" s="44"/>
      <c r="K160" s="38"/>
      <c r="L160" s="44"/>
      <c r="M160" s="44"/>
      <c r="N160" s="38"/>
      <c r="O160" s="38"/>
      <c r="P160" s="38"/>
      <c r="Q160" s="38"/>
      <c r="R160" s="44"/>
      <c r="S160" s="38"/>
      <c r="T160" s="38"/>
      <c r="U160" s="958"/>
      <c r="V160" s="38"/>
      <c r="W160" s="38"/>
      <c r="X160" s="38"/>
      <c r="Y160" s="38"/>
      <c r="Z160" s="38"/>
      <c r="AA160" s="575"/>
      <c r="AB160" s="976"/>
      <c r="AC160" s="976"/>
      <c r="AD160" s="976"/>
      <c r="AE160" s="976"/>
      <c r="AF160" s="37">
        <v>11</v>
      </c>
    </row>
    <row r="161" s="37" customFormat="1" ht="11.55" customHeight="1" spans="1:32">
      <c r="A161" s="957"/>
      <c r="B161" s="44"/>
      <c r="C161" s="44"/>
      <c r="K161" s="38"/>
      <c r="L161" s="44"/>
      <c r="M161" s="44"/>
      <c r="N161" s="38"/>
      <c r="O161" s="38"/>
      <c r="P161" s="38"/>
      <c r="Q161" s="38"/>
      <c r="R161" s="44"/>
      <c r="S161" s="38"/>
      <c r="T161" s="38"/>
      <c r="U161" s="958"/>
      <c r="V161" s="38"/>
      <c r="W161" s="38"/>
      <c r="X161" s="38"/>
      <c r="Y161" s="38"/>
      <c r="Z161" s="38"/>
      <c r="AA161" s="575"/>
      <c r="AB161" s="976"/>
      <c r="AC161" s="976"/>
      <c r="AD161" s="976"/>
      <c r="AE161" s="976"/>
      <c r="AF161" s="37">
        <v>11</v>
      </c>
    </row>
    <row r="162" s="37" customFormat="1" ht="11.55" customHeight="1" spans="1:32">
      <c r="A162" s="957"/>
      <c r="B162" s="44"/>
      <c r="C162" s="44"/>
      <c r="K162" s="38"/>
      <c r="L162" s="44"/>
      <c r="M162" s="44"/>
      <c r="N162" s="38"/>
      <c r="O162" s="38"/>
      <c r="P162" s="38"/>
      <c r="Q162" s="38"/>
      <c r="R162" s="44"/>
      <c r="S162" s="38"/>
      <c r="T162" s="38"/>
      <c r="U162" s="958"/>
      <c r="V162" s="38"/>
      <c r="W162" s="38"/>
      <c r="X162" s="38"/>
      <c r="Y162" s="38"/>
      <c r="Z162" s="38"/>
      <c r="AA162" s="575"/>
      <c r="AB162" s="976"/>
      <c r="AC162" s="976"/>
      <c r="AD162" s="976"/>
      <c r="AE162" s="976"/>
      <c r="AF162" s="37">
        <v>11</v>
      </c>
    </row>
    <row r="163" s="37" customFormat="1" ht="11.55" customHeight="1" spans="1:32">
      <c r="A163" s="957"/>
      <c r="B163" s="44"/>
      <c r="C163" s="44"/>
      <c r="K163" s="38"/>
      <c r="L163" s="44"/>
      <c r="M163" s="44"/>
      <c r="N163" s="38"/>
      <c r="O163" s="38"/>
      <c r="P163" s="38"/>
      <c r="Q163" s="38"/>
      <c r="R163" s="44"/>
      <c r="S163" s="38"/>
      <c r="T163" s="38"/>
      <c r="U163" s="958"/>
      <c r="V163" s="38"/>
      <c r="W163" s="38"/>
      <c r="X163" s="38"/>
      <c r="Y163" s="38"/>
      <c r="Z163" s="38"/>
      <c r="AA163" s="575"/>
      <c r="AB163" s="976"/>
      <c r="AC163" s="976"/>
      <c r="AD163" s="976"/>
      <c r="AE163" s="976"/>
      <c r="AF163" s="37">
        <v>11</v>
      </c>
    </row>
    <row r="164" s="37" customFormat="1" ht="11.55" customHeight="1" spans="1:32">
      <c r="A164" s="957"/>
      <c r="B164" s="44"/>
      <c r="C164" s="44"/>
      <c r="K164" s="38"/>
      <c r="L164" s="44"/>
      <c r="M164" s="44"/>
      <c r="N164" s="38"/>
      <c r="O164" s="38"/>
      <c r="P164" s="38"/>
      <c r="Q164" s="38"/>
      <c r="R164" s="44"/>
      <c r="S164" s="38"/>
      <c r="T164" s="38"/>
      <c r="U164" s="958"/>
      <c r="V164" s="38"/>
      <c r="W164" s="38"/>
      <c r="X164" s="38"/>
      <c r="Y164" s="38"/>
      <c r="Z164" s="38"/>
      <c r="AA164" s="575"/>
      <c r="AB164" s="976"/>
      <c r="AC164" s="976"/>
      <c r="AD164" s="976"/>
      <c r="AE164" s="976"/>
      <c r="AF164" s="37">
        <v>11</v>
      </c>
    </row>
    <row r="165" s="37" customFormat="1" ht="11.55" customHeight="1" spans="1:32">
      <c r="A165" s="957"/>
      <c r="B165" s="44"/>
      <c r="C165" s="44"/>
      <c r="K165" s="38"/>
      <c r="L165" s="44"/>
      <c r="M165" s="44"/>
      <c r="N165" s="38"/>
      <c r="O165" s="38"/>
      <c r="P165" s="38"/>
      <c r="Q165" s="38"/>
      <c r="R165" s="44"/>
      <c r="S165" s="38"/>
      <c r="T165" s="38"/>
      <c r="U165" s="958"/>
      <c r="V165" s="38"/>
      <c r="W165" s="38"/>
      <c r="X165" s="38"/>
      <c r="Y165" s="38"/>
      <c r="Z165" s="38"/>
      <c r="AA165" s="575"/>
      <c r="AB165" s="976"/>
      <c r="AC165" s="976"/>
      <c r="AD165" s="976"/>
      <c r="AE165" s="976"/>
      <c r="AF165" s="37">
        <v>11</v>
      </c>
    </row>
    <row r="166" s="37" customFormat="1" ht="11.55" customHeight="1" spans="1:32">
      <c r="A166" s="957"/>
      <c r="B166" s="44"/>
      <c r="C166" s="44"/>
      <c r="K166" s="38"/>
      <c r="L166" s="44"/>
      <c r="M166" s="44"/>
      <c r="N166" s="38"/>
      <c r="O166" s="38"/>
      <c r="P166" s="38"/>
      <c r="Q166" s="38"/>
      <c r="R166" s="44"/>
      <c r="S166" s="38"/>
      <c r="T166" s="38"/>
      <c r="U166" s="958"/>
      <c r="V166" s="38"/>
      <c r="W166" s="38"/>
      <c r="X166" s="38"/>
      <c r="Y166" s="38"/>
      <c r="Z166" s="38"/>
      <c r="AA166" s="575"/>
      <c r="AB166" s="976"/>
      <c r="AC166" s="976"/>
      <c r="AD166" s="976"/>
      <c r="AE166" s="976"/>
      <c r="AF166" s="37">
        <v>11</v>
      </c>
    </row>
    <row r="167" s="37" customFormat="1" ht="11.55" customHeight="1" spans="1:32">
      <c r="A167" s="957"/>
      <c r="B167" s="44"/>
      <c r="C167" s="44"/>
      <c r="K167" s="38"/>
      <c r="L167" s="44"/>
      <c r="M167" s="44"/>
      <c r="N167" s="38"/>
      <c r="O167" s="38"/>
      <c r="P167" s="38"/>
      <c r="Q167" s="38"/>
      <c r="R167" s="44"/>
      <c r="S167" s="38"/>
      <c r="T167" s="38"/>
      <c r="U167" s="958"/>
      <c r="V167" s="38"/>
      <c r="W167" s="38"/>
      <c r="X167" s="38"/>
      <c r="Y167" s="38"/>
      <c r="Z167" s="38"/>
      <c r="AA167" s="575"/>
      <c r="AB167" s="976"/>
      <c r="AC167" s="976"/>
      <c r="AD167" s="976"/>
      <c r="AE167" s="976"/>
      <c r="AF167" s="37">
        <v>11</v>
      </c>
    </row>
    <row r="168" s="37" customFormat="1" ht="11.55" customHeight="1" spans="1:32">
      <c r="A168" s="957"/>
      <c r="B168" s="44"/>
      <c r="C168" s="44"/>
      <c r="K168" s="38"/>
      <c r="L168" s="44"/>
      <c r="M168" s="44"/>
      <c r="N168" s="38"/>
      <c r="O168" s="38"/>
      <c r="P168" s="38"/>
      <c r="Q168" s="38"/>
      <c r="R168" s="44"/>
      <c r="S168" s="38"/>
      <c r="T168" s="38"/>
      <c r="U168" s="958"/>
      <c r="V168" s="38"/>
      <c r="W168" s="38"/>
      <c r="X168" s="38"/>
      <c r="Y168" s="38"/>
      <c r="Z168" s="38"/>
      <c r="AA168" s="575"/>
      <c r="AB168" s="976"/>
      <c r="AC168" s="976"/>
      <c r="AD168" s="976"/>
      <c r="AE168" s="976"/>
      <c r="AF168" s="37">
        <v>11</v>
      </c>
    </row>
    <row r="169" s="37" customFormat="1" ht="11.55" customHeight="1" spans="1:32">
      <c r="A169" s="957"/>
      <c r="B169" s="44"/>
      <c r="C169" s="44"/>
      <c r="K169" s="38"/>
      <c r="L169" s="44"/>
      <c r="M169" s="44"/>
      <c r="N169" s="38"/>
      <c r="O169" s="38"/>
      <c r="P169" s="38"/>
      <c r="Q169" s="38"/>
      <c r="R169" s="44"/>
      <c r="S169" s="38"/>
      <c r="T169" s="38"/>
      <c r="U169" s="958"/>
      <c r="V169" s="38"/>
      <c r="W169" s="38"/>
      <c r="X169" s="38"/>
      <c r="Y169" s="38"/>
      <c r="Z169" s="38"/>
      <c r="AA169" s="575"/>
      <c r="AB169" s="976"/>
      <c r="AC169" s="976"/>
      <c r="AD169" s="976"/>
      <c r="AE169" s="976"/>
      <c r="AF169" s="37">
        <v>11</v>
      </c>
    </row>
    <row r="170" s="37" customFormat="1" ht="11.55" customHeight="1" spans="1:32">
      <c r="A170" s="957"/>
      <c r="B170" s="44"/>
      <c r="C170" s="44"/>
      <c r="K170" s="38"/>
      <c r="L170" s="44"/>
      <c r="M170" s="44"/>
      <c r="N170" s="38"/>
      <c r="O170" s="38"/>
      <c r="P170" s="38"/>
      <c r="Q170" s="38"/>
      <c r="R170" s="44"/>
      <c r="S170" s="38"/>
      <c r="T170" s="38"/>
      <c r="U170" s="958"/>
      <c r="V170" s="38"/>
      <c r="W170" s="38"/>
      <c r="X170" s="38"/>
      <c r="Y170" s="38"/>
      <c r="Z170" s="38"/>
      <c r="AA170" s="575"/>
      <c r="AB170" s="976"/>
      <c r="AC170" s="976"/>
      <c r="AD170" s="976"/>
      <c r="AE170" s="976"/>
      <c r="AF170" s="37">
        <v>11</v>
      </c>
    </row>
    <row r="171" s="37" customFormat="1" ht="11.55" customHeight="1" spans="1:32">
      <c r="A171" s="957"/>
      <c r="B171" s="44"/>
      <c r="C171" s="44"/>
      <c r="K171" s="38"/>
      <c r="L171" s="44"/>
      <c r="M171" s="44"/>
      <c r="N171" s="38"/>
      <c r="O171" s="38"/>
      <c r="P171" s="38"/>
      <c r="Q171" s="38"/>
      <c r="R171" s="44"/>
      <c r="S171" s="38"/>
      <c r="T171" s="38"/>
      <c r="U171" s="958"/>
      <c r="V171" s="38"/>
      <c r="W171" s="38"/>
      <c r="X171" s="38"/>
      <c r="Y171" s="38"/>
      <c r="Z171" s="38"/>
      <c r="AA171" s="575"/>
      <c r="AB171" s="976"/>
      <c r="AC171" s="976"/>
      <c r="AD171" s="976"/>
      <c r="AE171" s="976"/>
      <c r="AF171" s="37">
        <v>11</v>
      </c>
    </row>
    <row r="172" s="37" customFormat="1" ht="11.55" customHeight="1" spans="1:32">
      <c r="A172" s="957"/>
      <c r="B172" s="44"/>
      <c r="C172" s="44"/>
      <c r="K172" s="38"/>
      <c r="L172" s="44"/>
      <c r="M172" s="44"/>
      <c r="N172" s="38"/>
      <c r="O172" s="38"/>
      <c r="P172" s="38"/>
      <c r="Q172" s="38"/>
      <c r="R172" s="44"/>
      <c r="S172" s="38"/>
      <c r="T172" s="38"/>
      <c r="U172" s="958"/>
      <c r="V172" s="38"/>
      <c r="W172" s="38"/>
      <c r="X172" s="38"/>
      <c r="Y172" s="38"/>
      <c r="Z172" s="38"/>
      <c r="AA172" s="575"/>
      <c r="AB172" s="976"/>
      <c r="AC172" s="976"/>
      <c r="AD172" s="976"/>
      <c r="AE172" s="976"/>
      <c r="AF172" s="37">
        <v>11</v>
      </c>
    </row>
    <row r="173" s="37" customFormat="1" ht="11.55" customHeight="1" spans="1:32">
      <c r="A173" s="957"/>
      <c r="B173" s="44"/>
      <c r="C173" s="44"/>
      <c r="K173" s="38"/>
      <c r="L173" s="44"/>
      <c r="M173" s="44"/>
      <c r="N173" s="38"/>
      <c r="O173" s="38"/>
      <c r="P173" s="38"/>
      <c r="Q173" s="38"/>
      <c r="R173" s="44"/>
      <c r="S173" s="38"/>
      <c r="T173" s="38"/>
      <c r="U173" s="958"/>
      <c r="V173" s="38"/>
      <c r="W173" s="38"/>
      <c r="X173" s="38"/>
      <c r="Y173" s="38"/>
      <c r="Z173" s="38"/>
      <c r="AA173" s="575"/>
      <c r="AB173" s="976"/>
      <c r="AC173" s="976"/>
      <c r="AD173" s="976"/>
      <c r="AE173" s="976"/>
      <c r="AF173" s="37">
        <v>11</v>
      </c>
    </row>
    <row r="174" s="37" customFormat="1" ht="11.55" customHeight="1" spans="1:32">
      <c r="A174" s="957"/>
      <c r="B174" s="44"/>
      <c r="C174" s="44"/>
      <c r="K174" s="38"/>
      <c r="L174" s="44"/>
      <c r="M174" s="44"/>
      <c r="N174" s="38"/>
      <c r="O174" s="38"/>
      <c r="P174" s="38"/>
      <c r="Q174" s="38"/>
      <c r="R174" s="44"/>
      <c r="S174" s="38"/>
      <c r="T174" s="38"/>
      <c r="U174" s="958"/>
      <c r="V174" s="38"/>
      <c r="W174" s="38"/>
      <c r="X174" s="38"/>
      <c r="Y174" s="38"/>
      <c r="Z174" s="38"/>
      <c r="AA174" s="575"/>
      <c r="AB174" s="976"/>
      <c r="AC174" s="976"/>
      <c r="AD174" s="976"/>
      <c r="AE174" s="976"/>
      <c r="AF174" s="37">
        <v>11</v>
      </c>
    </row>
    <row r="175" s="37" customFormat="1" ht="11.55" customHeight="1" spans="1:32">
      <c r="A175" s="957"/>
      <c r="B175" s="44"/>
      <c r="C175" s="44"/>
      <c r="K175" s="38"/>
      <c r="L175" s="44"/>
      <c r="M175" s="44"/>
      <c r="N175" s="38"/>
      <c r="O175" s="38"/>
      <c r="P175" s="38"/>
      <c r="Q175" s="38"/>
      <c r="R175" s="44"/>
      <c r="S175" s="38"/>
      <c r="T175" s="38"/>
      <c r="U175" s="958"/>
      <c r="V175" s="38"/>
      <c r="W175" s="38"/>
      <c r="X175" s="38"/>
      <c r="Y175" s="38"/>
      <c r="Z175" s="38"/>
      <c r="AA175" s="575"/>
      <c r="AB175" s="976"/>
      <c r="AC175" s="976"/>
      <c r="AD175" s="976"/>
      <c r="AE175" s="976"/>
      <c r="AF175" s="37">
        <v>11</v>
      </c>
    </row>
    <row r="176" s="37" customFormat="1" ht="11.55" customHeight="1" spans="1:32">
      <c r="A176" s="957"/>
      <c r="B176" s="44"/>
      <c r="C176" s="44"/>
      <c r="K176" s="38"/>
      <c r="L176" s="44"/>
      <c r="M176" s="44"/>
      <c r="N176" s="38"/>
      <c r="O176" s="38"/>
      <c r="P176" s="38"/>
      <c r="Q176" s="38"/>
      <c r="R176" s="44"/>
      <c r="S176" s="38"/>
      <c r="T176" s="38"/>
      <c r="U176" s="958"/>
      <c r="V176" s="38"/>
      <c r="W176" s="38"/>
      <c r="X176" s="38"/>
      <c r="Y176" s="38"/>
      <c r="Z176" s="38"/>
      <c r="AA176" s="575"/>
      <c r="AB176" s="976"/>
      <c r="AC176" s="976"/>
      <c r="AD176" s="976"/>
      <c r="AE176" s="976"/>
      <c r="AF176" s="37">
        <v>11</v>
      </c>
    </row>
    <row r="177" s="37" customFormat="1" ht="11.55" customHeight="1" spans="1:32">
      <c r="A177" s="957"/>
      <c r="B177" s="44"/>
      <c r="C177" s="44"/>
      <c r="K177" s="38"/>
      <c r="L177" s="44"/>
      <c r="M177" s="44"/>
      <c r="N177" s="38"/>
      <c r="O177" s="38"/>
      <c r="P177" s="38"/>
      <c r="Q177" s="38"/>
      <c r="R177" s="44"/>
      <c r="S177" s="38"/>
      <c r="T177" s="38"/>
      <c r="U177" s="958"/>
      <c r="V177" s="38"/>
      <c r="W177" s="38"/>
      <c r="X177" s="38"/>
      <c r="Y177" s="38"/>
      <c r="Z177" s="38"/>
      <c r="AA177" s="575"/>
      <c r="AB177" s="976"/>
      <c r="AC177" s="976"/>
      <c r="AD177" s="976"/>
      <c r="AE177" s="976"/>
      <c r="AF177" s="37">
        <v>11</v>
      </c>
    </row>
    <row r="178" s="37" customFormat="1" ht="11.55" customHeight="1" spans="1:32">
      <c r="A178" s="957"/>
      <c r="B178" s="44"/>
      <c r="C178" s="44"/>
      <c r="K178" s="38"/>
      <c r="L178" s="44"/>
      <c r="M178" s="44"/>
      <c r="N178" s="38"/>
      <c r="O178" s="38"/>
      <c r="P178" s="38"/>
      <c r="Q178" s="38"/>
      <c r="R178" s="44"/>
      <c r="S178" s="38"/>
      <c r="T178" s="38"/>
      <c r="U178" s="958"/>
      <c r="V178" s="38"/>
      <c r="W178" s="38"/>
      <c r="X178" s="38"/>
      <c r="Y178" s="38"/>
      <c r="Z178" s="38"/>
      <c r="AA178" s="575"/>
      <c r="AB178" s="976"/>
      <c r="AC178" s="976"/>
      <c r="AD178" s="976"/>
      <c r="AE178" s="976"/>
      <c r="AF178" s="37">
        <v>11</v>
      </c>
    </row>
    <row r="179" s="37" customFormat="1" ht="11.55" customHeight="1" spans="1:32">
      <c r="A179" s="957"/>
      <c r="B179" s="44"/>
      <c r="C179" s="44"/>
      <c r="K179" s="38"/>
      <c r="L179" s="44"/>
      <c r="M179" s="44"/>
      <c r="N179" s="38"/>
      <c r="O179" s="38"/>
      <c r="P179" s="38"/>
      <c r="Q179" s="38"/>
      <c r="R179" s="44"/>
      <c r="S179" s="38"/>
      <c r="T179" s="38"/>
      <c r="U179" s="958"/>
      <c r="V179" s="38"/>
      <c r="W179" s="38"/>
      <c r="X179" s="38"/>
      <c r="Y179" s="38"/>
      <c r="Z179" s="38"/>
      <c r="AA179" s="575"/>
      <c r="AB179" s="976"/>
      <c r="AC179" s="976"/>
      <c r="AD179" s="976"/>
      <c r="AE179" s="976"/>
      <c r="AF179" s="37">
        <v>11</v>
      </c>
    </row>
    <row r="180" s="37" customFormat="1" ht="11.55" customHeight="1" spans="1:32">
      <c r="A180" s="957"/>
      <c r="B180" s="44"/>
      <c r="C180" s="44"/>
      <c r="K180" s="38"/>
      <c r="L180" s="44"/>
      <c r="M180" s="44"/>
      <c r="N180" s="38"/>
      <c r="O180" s="38"/>
      <c r="P180" s="38"/>
      <c r="Q180" s="38"/>
      <c r="R180" s="44"/>
      <c r="S180" s="38"/>
      <c r="T180" s="38"/>
      <c r="U180" s="958"/>
      <c r="V180" s="38"/>
      <c r="W180" s="38"/>
      <c r="X180" s="38"/>
      <c r="Y180" s="38"/>
      <c r="Z180" s="38"/>
      <c r="AA180" s="575"/>
      <c r="AB180" s="976"/>
      <c r="AC180" s="976"/>
      <c r="AD180" s="976"/>
      <c r="AE180" s="976"/>
      <c r="AF180" s="37">
        <v>11</v>
      </c>
    </row>
    <row r="181" s="37" customFormat="1" ht="11.55" customHeight="1" spans="1:32">
      <c r="A181" s="957"/>
      <c r="B181" s="44"/>
      <c r="C181" s="44"/>
      <c r="K181" s="38"/>
      <c r="L181" s="44"/>
      <c r="M181" s="44"/>
      <c r="N181" s="38"/>
      <c r="O181" s="38"/>
      <c r="P181" s="38"/>
      <c r="Q181" s="38"/>
      <c r="R181" s="44"/>
      <c r="S181" s="38"/>
      <c r="T181" s="38"/>
      <c r="U181" s="958"/>
      <c r="V181" s="38"/>
      <c r="W181" s="38"/>
      <c r="X181" s="38"/>
      <c r="Y181" s="38"/>
      <c r="Z181" s="38"/>
      <c r="AA181" s="575"/>
      <c r="AB181" s="976"/>
      <c r="AC181" s="976"/>
      <c r="AD181" s="976"/>
      <c r="AE181" s="976"/>
      <c r="AF181" s="37">
        <v>11</v>
      </c>
    </row>
    <row r="182" s="37" customFormat="1" ht="11.55" customHeight="1" spans="1:32">
      <c r="A182" s="957"/>
      <c r="B182" s="44"/>
      <c r="C182" s="44"/>
      <c r="K182" s="38"/>
      <c r="L182" s="44"/>
      <c r="M182" s="44"/>
      <c r="N182" s="38"/>
      <c r="O182" s="38"/>
      <c r="P182" s="38"/>
      <c r="Q182" s="38"/>
      <c r="R182" s="44"/>
      <c r="S182" s="38"/>
      <c r="T182" s="38"/>
      <c r="U182" s="958"/>
      <c r="V182" s="38"/>
      <c r="W182" s="38"/>
      <c r="X182" s="38"/>
      <c r="Y182" s="38"/>
      <c r="Z182" s="38"/>
      <c r="AA182" s="575"/>
      <c r="AB182" s="976"/>
      <c r="AC182" s="976"/>
      <c r="AD182" s="976"/>
      <c r="AE182" s="976"/>
      <c r="AF182" s="37">
        <v>11</v>
      </c>
    </row>
    <row r="183" s="37" customFormat="1" ht="11.55" customHeight="1" spans="1:32">
      <c r="A183" s="957"/>
      <c r="B183" s="44"/>
      <c r="C183" s="44"/>
      <c r="K183" s="38"/>
      <c r="L183" s="44"/>
      <c r="M183" s="44"/>
      <c r="N183" s="38"/>
      <c r="O183" s="38"/>
      <c r="P183" s="38"/>
      <c r="Q183" s="38"/>
      <c r="R183" s="44"/>
      <c r="S183" s="38"/>
      <c r="T183" s="38"/>
      <c r="U183" s="958"/>
      <c r="V183" s="38"/>
      <c r="W183" s="38"/>
      <c r="X183" s="38"/>
      <c r="Y183" s="38"/>
      <c r="Z183" s="38"/>
      <c r="AA183" s="575"/>
      <c r="AB183" s="976"/>
      <c r="AC183" s="976"/>
      <c r="AD183" s="976"/>
      <c r="AE183" s="976"/>
      <c r="AF183" s="37">
        <v>11</v>
      </c>
    </row>
    <row r="184" s="37" customFormat="1" ht="11.55" customHeight="1" spans="1:32">
      <c r="A184" s="957"/>
      <c r="B184" s="44"/>
      <c r="C184" s="44"/>
      <c r="K184" s="38"/>
      <c r="L184" s="44"/>
      <c r="M184" s="44"/>
      <c r="N184" s="38"/>
      <c r="O184" s="38"/>
      <c r="P184" s="38"/>
      <c r="Q184" s="38"/>
      <c r="R184" s="44"/>
      <c r="S184" s="38"/>
      <c r="T184" s="38"/>
      <c r="U184" s="958"/>
      <c r="V184" s="38"/>
      <c r="W184" s="38"/>
      <c r="X184" s="38"/>
      <c r="Y184" s="38"/>
      <c r="Z184" s="38"/>
      <c r="AA184" s="575"/>
      <c r="AB184" s="976"/>
      <c r="AC184" s="976"/>
      <c r="AD184" s="976"/>
      <c r="AE184" s="976"/>
      <c r="AF184" s="37">
        <v>11</v>
      </c>
    </row>
    <row r="185" s="37" customFormat="1" ht="11.55" customHeight="1" spans="1:32">
      <c r="A185" s="957"/>
      <c r="B185" s="44"/>
      <c r="C185" s="44"/>
      <c r="K185" s="38"/>
      <c r="L185" s="44"/>
      <c r="M185" s="44"/>
      <c r="N185" s="38"/>
      <c r="O185" s="38"/>
      <c r="P185" s="38"/>
      <c r="Q185" s="38"/>
      <c r="R185" s="44"/>
      <c r="S185" s="38"/>
      <c r="T185" s="38"/>
      <c r="U185" s="958"/>
      <c r="V185" s="38"/>
      <c r="W185" s="38"/>
      <c r="X185" s="38"/>
      <c r="Y185" s="38"/>
      <c r="Z185" s="38"/>
      <c r="AA185" s="575"/>
      <c r="AB185" s="976"/>
      <c r="AC185" s="976"/>
      <c r="AD185" s="976"/>
      <c r="AE185" s="976"/>
      <c r="AF185" s="37">
        <v>11</v>
      </c>
    </row>
    <row r="186" s="37" customFormat="1" ht="11.55" customHeight="1" spans="1:32">
      <c r="A186" s="957"/>
      <c r="B186" s="44"/>
      <c r="C186" s="44"/>
      <c r="K186" s="38"/>
      <c r="L186" s="44"/>
      <c r="M186" s="44"/>
      <c r="N186" s="38"/>
      <c r="O186" s="38"/>
      <c r="P186" s="38"/>
      <c r="Q186" s="38"/>
      <c r="R186" s="44"/>
      <c r="S186" s="38"/>
      <c r="T186" s="38"/>
      <c r="U186" s="958"/>
      <c r="V186" s="38"/>
      <c r="W186" s="38"/>
      <c r="X186" s="38"/>
      <c r="Y186" s="38"/>
      <c r="Z186" s="38"/>
      <c r="AA186" s="575"/>
      <c r="AB186" s="976"/>
      <c r="AC186" s="976"/>
      <c r="AD186" s="976"/>
      <c r="AE186" s="976"/>
      <c r="AF186" s="37">
        <v>11</v>
      </c>
    </row>
    <row r="187" s="37" customFormat="1" ht="11.55" customHeight="1" spans="1:32">
      <c r="A187" s="957"/>
      <c r="B187" s="44"/>
      <c r="C187" s="44"/>
      <c r="K187" s="38"/>
      <c r="L187" s="44"/>
      <c r="M187" s="44"/>
      <c r="N187" s="38"/>
      <c r="O187" s="38"/>
      <c r="P187" s="38"/>
      <c r="Q187" s="38"/>
      <c r="R187" s="44"/>
      <c r="S187" s="38"/>
      <c r="T187" s="38"/>
      <c r="U187" s="958"/>
      <c r="V187" s="38"/>
      <c r="W187" s="38"/>
      <c r="X187" s="38"/>
      <c r="Y187" s="38"/>
      <c r="Z187" s="38"/>
      <c r="AA187" s="575"/>
      <c r="AB187" s="976"/>
      <c r="AC187" s="976"/>
      <c r="AD187" s="976"/>
      <c r="AE187" s="976"/>
      <c r="AF187" s="37">
        <v>11</v>
      </c>
    </row>
    <row r="188" s="37" customFormat="1" ht="11.55" customHeight="1" spans="1:32">
      <c r="A188" s="957"/>
      <c r="B188" s="44"/>
      <c r="C188" s="44"/>
      <c r="K188" s="38"/>
      <c r="L188" s="44"/>
      <c r="M188" s="44"/>
      <c r="N188" s="38"/>
      <c r="O188" s="38"/>
      <c r="P188" s="38"/>
      <c r="Q188" s="38"/>
      <c r="R188" s="44"/>
      <c r="S188" s="38"/>
      <c r="T188" s="38"/>
      <c r="U188" s="958"/>
      <c r="V188" s="38"/>
      <c r="W188" s="38"/>
      <c r="X188" s="38"/>
      <c r="Y188" s="38"/>
      <c r="Z188" s="38"/>
      <c r="AA188" s="575"/>
      <c r="AB188" s="976"/>
      <c r="AC188" s="976"/>
      <c r="AD188" s="976"/>
      <c r="AE188" s="976"/>
      <c r="AF188" s="37">
        <v>11</v>
      </c>
    </row>
    <row r="189" s="37" customFormat="1" ht="11.55" customHeight="1" spans="1:32">
      <c r="A189" s="957"/>
      <c r="B189" s="44"/>
      <c r="C189" s="44"/>
      <c r="K189" s="38"/>
      <c r="L189" s="44"/>
      <c r="M189" s="44"/>
      <c r="N189" s="38"/>
      <c r="O189" s="38"/>
      <c r="P189" s="38"/>
      <c r="Q189" s="38"/>
      <c r="R189" s="44"/>
      <c r="S189" s="38"/>
      <c r="T189" s="38"/>
      <c r="U189" s="958"/>
      <c r="V189" s="38"/>
      <c r="W189" s="38"/>
      <c r="X189" s="38"/>
      <c r="Y189" s="38"/>
      <c r="Z189" s="38"/>
      <c r="AA189" s="575"/>
      <c r="AB189" s="976"/>
      <c r="AC189" s="976"/>
      <c r="AD189" s="976"/>
      <c r="AE189" s="976"/>
      <c r="AF189" s="37">
        <v>11</v>
      </c>
    </row>
    <row r="190" s="37" customFormat="1" ht="11.55" customHeight="1" spans="1:32">
      <c r="A190" s="957"/>
      <c r="B190" s="44"/>
      <c r="C190" s="44"/>
      <c r="K190" s="38"/>
      <c r="L190" s="44"/>
      <c r="M190" s="44"/>
      <c r="N190" s="38"/>
      <c r="O190" s="38"/>
      <c r="P190" s="38"/>
      <c r="Q190" s="38"/>
      <c r="R190" s="44"/>
      <c r="S190" s="38"/>
      <c r="T190" s="38"/>
      <c r="U190" s="958"/>
      <c r="V190" s="38"/>
      <c r="W190" s="38"/>
      <c r="X190" s="38"/>
      <c r="Y190" s="38"/>
      <c r="Z190" s="38"/>
      <c r="AA190" s="575"/>
      <c r="AB190" s="976"/>
      <c r="AC190" s="976"/>
      <c r="AD190" s="976"/>
      <c r="AE190" s="976"/>
      <c r="AF190" s="37">
        <v>11</v>
      </c>
    </row>
    <row r="191" s="37" customFormat="1" ht="11.55" customHeight="1" spans="1:32">
      <c r="A191" s="957"/>
      <c r="B191" s="44"/>
      <c r="C191" s="44"/>
      <c r="K191" s="38"/>
      <c r="L191" s="44"/>
      <c r="M191" s="44"/>
      <c r="N191" s="38"/>
      <c r="O191" s="38"/>
      <c r="P191" s="38"/>
      <c r="Q191" s="38"/>
      <c r="R191" s="44"/>
      <c r="S191" s="38"/>
      <c r="T191" s="38"/>
      <c r="U191" s="958"/>
      <c r="V191" s="38"/>
      <c r="W191" s="38"/>
      <c r="X191" s="38"/>
      <c r="Y191" s="38"/>
      <c r="Z191" s="38"/>
      <c r="AA191" s="575"/>
      <c r="AB191" s="976"/>
      <c r="AC191" s="976"/>
      <c r="AD191" s="976"/>
      <c r="AE191" s="976"/>
      <c r="AF191" s="37">
        <v>11</v>
      </c>
    </row>
    <row r="192" s="37" customFormat="1" ht="11.55" customHeight="1" spans="1:32">
      <c r="A192" s="957"/>
      <c r="B192" s="44"/>
      <c r="C192" s="44"/>
      <c r="K192" s="38"/>
      <c r="L192" s="44"/>
      <c r="M192" s="44"/>
      <c r="N192" s="38"/>
      <c r="O192" s="38"/>
      <c r="P192" s="38"/>
      <c r="Q192" s="38"/>
      <c r="R192" s="44"/>
      <c r="S192" s="38"/>
      <c r="T192" s="38"/>
      <c r="U192" s="958"/>
      <c r="V192" s="38"/>
      <c r="W192" s="38"/>
      <c r="X192" s="38"/>
      <c r="Y192" s="38"/>
      <c r="Z192" s="38"/>
      <c r="AA192" s="575"/>
      <c r="AB192" s="976"/>
      <c r="AC192" s="976"/>
      <c r="AD192" s="976"/>
      <c r="AE192" s="976"/>
      <c r="AF192" s="37">
        <v>11</v>
      </c>
    </row>
    <row r="193" s="37" customFormat="1" ht="11.55" customHeight="1" spans="1:32">
      <c r="A193" s="957"/>
      <c r="B193" s="44"/>
      <c r="C193" s="44"/>
      <c r="K193" s="38"/>
      <c r="L193" s="44"/>
      <c r="M193" s="44"/>
      <c r="N193" s="38"/>
      <c r="O193" s="38"/>
      <c r="P193" s="38"/>
      <c r="Q193" s="38"/>
      <c r="R193" s="44"/>
      <c r="S193" s="38"/>
      <c r="T193" s="38"/>
      <c r="U193" s="958"/>
      <c r="V193" s="38"/>
      <c r="W193" s="38"/>
      <c r="X193" s="38"/>
      <c r="Y193" s="38"/>
      <c r="Z193" s="38"/>
      <c r="AA193" s="575"/>
      <c r="AB193" s="976"/>
      <c r="AC193" s="976"/>
      <c r="AD193" s="976"/>
      <c r="AE193" s="976"/>
      <c r="AF193" s="37">
        <v>11</v>
      </c>
    </row>
    <row r="194" s="37" customFormat="1" ht="11.55" customHeight="1" spans="1:32">
      <c r="A194" s="957"/>
      <c r="B194" s="44"/>
      <c r="C194" s="44"/>
      <c r="K194" s="38"/>
      <c r="L194" s="44"/>
      <c r="M194" s="44"/>
      <c r="N194" s="38"/>
      <c r="O194" s="38"/>
      <c r="P194" s="38"/>
      <c r="Q194" s="38"/>
      <c r="R194" s="44"/>
      <c r="S194" s="38"/>
      <c r="T194" s="38"/>
      <c r="U194" s="958"/>
      <c r="V194" s="38"/>
      <c r="W194" s="38"/>
      <c r="X194" s="38"/>
      <c r="Y194" s="38"/>
      <c r="Z194" s="38"/>
      <c r="AA194" s="575"/>
      <c r="AB194" s="976"/>
      <c r="AC194" s="976"/>
      <c r="AD194" s="976"/>
      <c r="AE194" s="976"/>
      <c r="AF194" s="37">
        <v>11</v>
      </c>
    </row>
    <row r="195" s="37" customFormat="1" ht="11.55" customHeight="1" spans="1:32">
      <c r="A195" s="957"/>
      <c r="B195" s="44"/>
      <c r="C195" s="44"/>
      <c r="K195" s="38"/>
      <c r="L195" s="44"/>
      <c r="M195" s="44"/>
      <c r="N195" s="38"/>
      <c r="O195" s="38"/>
      <c r="P195" s="38"/>
      <c r="Q195" s="38"/>
      <c r="R195" s="44"/>
      <c r="S195" s="38"/>
      <c r="T195" s="38"/>
      <c r="U195" s="958"/>
      <c r="V195" s="38"/>
      <c r="W195" s="38"/>
      <c r="X195" s="38"/>
      <c r="Y195" s="38"/>
      <c r="Z195" s="38"/>
      <c r="AA195" s="575"/>
      <c r="AB195" s="976"/>
      <c r="AC195" s="976"/>
      <c r="AD195" s="976"/>
      <c r="AE195" s="976"/>
      <c r="AF195" s="37">
        <v>11</v>
      </c>
    </row>
    <row r="196" s="37" customFormat="1" ht="11.55" customHeight="1" spans="1:32">
      <c r="A196" s="957"/>
      <c r="B196" s="44"/>
      <c r="C196" s="44"/>
      <c r="K196" s="38"/>
      <c r="L196" s="44"/>
      <c r="M196" s="44"/>
      <c r="N196" s="38"/>
      <c r="O196" s="38"/>
      <c r="P196" s="38"/>
      <c r="Q196" s="38"/>
      <c r="R196" s="44"/>
      <c r="S196" s="38"/>
      <c r="T196" s="38"/>
      <c r="U196" s="958"/>
      <c r="V196" s="38"/>
      <c r="W196" s="38"/>
      <c r="X196" s="38"/>
      <c r="Y196" s="38"/>
      <c r="Z196" s="38"/>
      <c r="AA196" s="575"/>
      <c r="AB196" s="976"/>
      <c r="AC196" s="976"/>
      <c r="AD196" s="976"/>
      <c r="AE196" s="976"/>
      <c r="AF196" s="37">
        <v>11</v>
      </c>
    </row>
    <row r="197" s="37" customFormat="1" ht="11.55" customHeight="1" spans="1:32">
      <c r="A197" s="957"/>
      <c r="B197" s="44"/>
      <c r="C197" s="44"/>
      <c r="K197" s="38"/>
      <c r="L197" s="44"/>
      <c r="M197" s="44"/>
      <c r="N197" s="38"/>
      <c r="O197" s="38"/>
      <c r="P197" s="38"/>
      <c r="Q197" s="38"/>
      <c r="R197" s="44"/>
      <c r="S197" s="38"/>
      <c r="T197" s="38"/>
      <c r="U197" s="958"/>
      <c r="V197" s="38"/>
      <c r="W197" s="38"/>
      <c r="X197" s="38"/>
      <c r="Y197" s="38"/>
      <c r="Z197" s="38"/>
      <c r="AA197" s="575"/>
      <c r="AB197" s="976"/>
      <c r="AC197" s="976"/>
      <c r="AD197" s="976"/>
      <c r="AE197" s="976"/>
      <c r="AF197" s="37">
        <v>11</v>
      </c>
    </row>
    <row r="198" s="37" customFormat="1" ht="11.55" customHeight="1" spans="1:32">
      <c r="A198" s="957"/>
      <c r="B198" s="44"/>
      <c r="C198" s="44"/>
      <c r="K198" s="38"/>
      <c r="L198" s="44"/>
      <c r="M198" s="44"/>
      <c r="N198" s="38"/>
      <c r="O198" s="38"/>
      <c r="P198" s="38"/>
      <c r="Q198" s="38"/>
      <c r="R198" s="44"/>
      <c r="S198" s="38"/>
      <c r="T198" s="38"/>
      <c r="U198" s="958"/>
      <c r="V198" s="38"/>
      <c r="W198" s="38"/>
      <c r="X198" s="38"/>
      <c r="Y198" s="38"/>
      <c r="Z198" s="38"/>
      <c r="AA198" s="575"/>
      <c r="AB198" s="976"/>
      <c r="AC198" s="976"/>
      <c r="AD198" s="976"/>
      <c r="AE198" s="976"/>
      <c r="AF198" s="37">
        <v>11</v>
      </c>
    </row>
    <row r="199" s="37" customFormat="1" ht="11.55" customHeight="1" spans="1:32">
      <c r="A199" s="957"/>
      <c r="B199" s="44"/>
      <c r="C199" s="44"/>
      <c r="K199" s="38"/>
      <c r="L199" s="44"/>
      <c r="M199" s="44"/>
      <c r="N199" s="38"/>
      <c r="O199" s="38"/>
      <c r="P199" s="38"/>
      <c r="Q199" s="38"/>
      <c r="R199" s="44"/>
      <c r="S199" s="38"/>
      <c r="T199" s="38"/>
      <c r="U199" s="958"/>
      <c r="V199" s="38"/>
      <c r="W199" s="38"/>
      <c r="X199" s="38"/>
      <c r="Y199" s="38"/>
      <c r="Z199" s="38"/>
      <c r="AA199" s="575"/>
      <c r="AB199" s="976"/>
      <c r="AC199" s="976"/>
      <c r="AD199" s="976"/>
      <c r="AE199" s="976"/>
      <c r="AF199" s="37">
        <v>11</v>
      </c>
    </row>
    <row r="200" s="37" customFormat="1" ht="11.55" customHeight="1" spans="1:32">
      <c r="A200" s="957"/>
      <c r="B200" s="44"/>
      <c r="C200" s="44"/>
      <c r="K200" s="38"/>
      <c r="L200" s="44"/>
      <c r="M200" s="44"/>
      <c r="N200" s="38"/>
      <c r="O200" s="38"/>
      <c r="P200" s="38"/>
      <c r="Q200" s="38"/>
      <c r="R200" s="44"/>
      <c r="S200" s="38"/>
      <c r="T200" s="38"/>
      <c r="U200" s="958"/>
      <c r="V200" s="38"/>
      <c r="W200" s="38"/>
      <c r="X200" s="38"/>
      <c r="Y200" s="38"/>
      <c r="Z200" s="38"/>
      <c r="AA200" s="575"/>
      <c r="AB200" s="976"/>
      <c r="AC200" s="976"/>
      <c r="AD200" s="976"/>
      <c r="AE200" s="976"/>
      <c r="AF200" s="37">
        <v>11</v>
      </c>
    </row>
    <row r="201" ht="11.55" customHeight="1" spans="32:32">
      <c r="AF201" s="43">
        <v>11</v>
      </c>
    </row>
    <row r="202" ht="11.55" customHeight="1" spans="32:32">
      <c r="AF202" s="43">
        <v>11</v>
      </c>
    </row>
    <row r="203" ht="11.55" customHeight="1" spans="32:32">
      <c r="AF203" s="43">
        <v>11</v>
      </c>
    </row>
    <row r="204" ht="11.55" customHeight="1" spans="1:32">
      <c r="A204" s="980"/>
      <c r="B204" s="43"/>
      <c r="K204" s="43"/>
      <c r="N204" s="43"/>
      <c r="O204" s="43"/>
      <c r="P204" s="43"/>
      <c r="Q204" s="43"/>
      <c r="S204" s="43"/>
      <c r="T204" s="43"/>
      <c r="U204" s="43"/>
      <c r="V204" s="43"/>
      <c r="W204" s="43"/>
      <c r="X204" s="43"/>
      <c r="Y204" s="43"/>
      <c r="Z204" s="43"/>
      <c r="AA204" s="43"/>
      <c r="AB204" s="43"/>
      <c r="AC204" s="43"/>
      <c r="AD204" s="43"/>
      <c r="AE204" s="43"/>
      <c r="AF204" s="43">
        <v>11</v>
      </c>
    </row>
    <row r="205" ht="11.55" customHeight="1" spans="1:32">
      <c r="A205" s="980"/>
      <c r="B205" s="43"/>
      <c r="K205" s="43"/>
      <c r="N205" s="43"/>
      <c r="O205" s="43"/>
      <c r="P205" s="43"/>
      <c r="Q205" s="43"/>
      <c r="S205" s="43"/>
      <c r="T205" s="43"/>
      <c r="U205" s="43"/>
      <c r="V205" s="43"/>
      <c r="W205" s="43"/>
      <c r="X205" s="43"/>
      <c r="Y205" s="43"/>
      <c r="Z205" s="43"/>
      <c r="AA205" s="43"/>
      <c r="AB205" s="43"/>
      <c r="AC205" s="43"/>
      <c r="AD205" s="43"/>
      <c r="AE205" s="43"/>
      <c r="AF205" s="43">
        <v>11</v>
      </c>
    </row>
    <row r="206" ht="11.55" customHeight="1" spans="1:32">
      <c r="A206" s="980"/>
      <c r="B206" s="43"/>
      <c r="K206" s="43"/>
      <c r="N206" s="43"/>
      <c r="O206" s="43"/>
      <c r="P206" s="43"/>
      <c r="Q206" s="43"/>
      <c r="S206" s="43"/>
      <c r="T206" s="43"/>
      <c r="U206" s="43"/>
      <c r="V206" s="43"/>
      <c r="W206" s="43"/>
      <c r="X206" s="43"/>
      <c r="Y206" s="43"/>
      <c r="Z206" s="43"/>
      <c r="AA206" s="43"/>
      <c r="AB206" s="43"/>
      <c r="AC206" s="43"/>
      <c r="AD206" s="43"/>
      <c r="AE206" s="43"/>
      <c r="AF206" s="43">
        <v>11</v>
      </c>
    </row>
    <row r="207" ht="11.55" customHeight="1" spans="1:32">
      <c r="A207" s="980"/>
      <c r="B207" s="43"/>
      <c r="K207" s="43"/>
      <c r="N207" s="43"/>
      <c r="O207" s="43"/>
      <c r="P207" s="43"/>
      <c r="Q207" s="43"/>
      <c r="S207" s="43"/>
      <c r="T207" s="43"/>
      <c r="U207" s="43"/>
      <c r="V207" s="43"/>
      <c r="W207" s="43"/>
      <c r="X207" s="43"/>
      <c r="Y207" s="43"/>
      <c r="Z207" s="43"/>
      <c r="AA207" s="43"/>
      <c r="AB207" s="43"/>
      <c r="AC207" s="43"/>
      <c r="AD207" s="43"/>
      <c r="AE207" s="43"/>
      <c r="AF207" s="43">
        <v>11</v>
      </c>
    </row>
    <row r="208" ht="11.55" customHeight="1" spans="1:32">
      <c r="A208" s="980"/>
      <c r="B208" s="43"/>
      <c r="K208" s="43"/>
      <c r="N208" s="43"/>
      <c r="O208" s="43"/>
      <c r="P208" s="43"/>
      <c r="Q208" s="43"/>
      <c r="S208" s="43"/>
      <c r="T208" s="43"/>
      <c r="U208" s="43"/>
      <c r="V208" s="43"/>
      <c r="W208" s="43"/>
      <c r="X208" s="43"/>
      <c r="Y208" s="43"/>
      <c r="Z208" s="43"/>
      <c r="AA208" s="43"/>
      <c r="AB208" s="43"/>
      <c r="AC208" s="43"/>
      <c r="AD208" s="43"/>
      <c r="AE208" s="43"/>
      <c r="AF208" s="43">
        <v>11</v>
      </c>
    </row>
    <row r="209" ht="11.55" customHeight="1" spans="1:32">
      <c r="A209" s="980"/>
      <c r="B209" s="43"/>
      <c r="K209" s="43"/>
      <c r="N209" s="43"/>
      <c r="O209" s="43"/>
      <c r="P209" s="43"/>
      <c r="Q209" s="43"/>
      <c r="S209" s="43"/>
      <c r="T209" s="43"/>
      <c r="U209" s="43"/>
      <c r="V209" s="43"/>
      <c r="W209" s="43"/>
      <c r="X209" s="43"/>
      <c r="Y209" s="43"/>
      <c r="Z209" s="43"/>
      <c r="AA209" s="43"/>
      <c r="AB209" s="43"/>
      <c r="AC209" s="43"/>
      <c r="AD209" s="43"/>
      <c r="AE209" s="43"/>
      <c r="AF209" s="43">
        <v>11</v>
      </c>
    </row>
    <row r="210" ht="11.55" customHeight="1" spans="1:32">
      <c r="A210" s="980"/>
      <c r="B210" s="43"/>
      <c r="K210" s="43"/>
      <c r="N210" s="43"/>
      <c r="O210" s="43"/>
      <c r="P210" s="43"/>
      <c r="Q210" s="43"/>
      <c r="S210" s="43"/>
      <c r="T210" s="43"/>
      <c r="U210" s="43"/>
      <c r="V210" s="43"/>
      <c r="W210" s="43"/>
      <c r="X210" s="43"/>
      <c r="Y210" s="43"/>
      <c r="Z210" s="43"/>
      <c r="AA210" s="43"/>
      <c r="AB210" s="43"/>
      <c r="AC210" s="43"/>
      <c r="AD210" s="43"/>
      <c r="AE210" s="43"/>
      <c r="AF210" s="43">
        <v>11</v>
      </c>
    </row>
    <row r="211" ht="11.55" customHeight="1" spans="1:32">
      <c r="A211" s="980"/>
      <c r="B211" s="43"/>
      <c r="K211" s="43"/>
      <c r="N211" s="43"/>
      <c r="O211" s="43"/>
      <c r="P211" s="43"/>
      <c r="Q211" s="43"/>
      <c r="S211" s="43"/>
      <c r="T211" s="43"/>
      <c r="U211" s="43"/>
      <c r="V211" s="43"/>
      <c r="W211" s="43"/>
      <c r="X211" s="43"/>
      <c r="Y211" s="43"/>
      <c r="Z211" s="43"/>
      <c r="AA211" s="43"/>
      <c r="AB211" s="43"/>
      <c r="AC211" s="43"/>
      <c r="AD211" s="43"/>
      <c r="AE211" s="43"/>
      <c r="AF211" s="43">
        <v>11</v>
      </c>
    </row>
    <row r="212" ht="11.55" customHeight="1" spans="1:32">
      <c r="A212" s="980"/>
      <c r="B212" s="43"/>
      <c r="K212" s="43"/>
      <c r="N212" s="43"/>
      <c r="O212" s="43"/>
      <c r="P212" s="43"/>
      <c r="Q212" s="43"/>
      <c r="S212" s="43"/>
      <c r="T212" s="43"/>
      <c r="U212" s="43"/>
      <c r="V212" s="43"/>
      <c r="W212" s="43"/>
      <c r="X212" s="43"/>
      <c r="Y212" s="43"/>
      <c r="Z212" s="43"/>
      <c r="AA212" s="43"/>
      <c r="AB212" s="43"/>
      <c r="AC212" s="43"/>
      <c r="AD212" s="43"/>
      <c r="AE212" s="43"/>
      <c r="AF212" s="43">
        <v>11</v>
      </c>
    </row>
    <row r="213" ht="11.55" customHeight="1" spans="1:32">
      <c r="A213" s="980"/>
      <c r="B213" s="43"/>
      <c r="K213" s="43"/>
      <c r="N213" s="43"/>
      <c r="O213" s="43"/>
      <c r="P213" s="43"/>
      <c r="Q213" s="43"/>
      <c r="S213" s="43"/>
      <c r="T213" s="43"/>
      <c r="U213" s="43"/>
      <c r="V213" s="43"/>
      <c r="W213" s="43"/>
      <c r="X213" s="43"/>
      <c r="Y213" s="43"/>
      <c r="Z213" s="43"/>
      <c r="AA213" s="43"/>
      <c r="AB213" s="43"/>
      <c r="AC213" s="43"/>
      <c r="AD213" s="43"/>
      <c r="AE213" s="43"/>
      <c r="AF213" s="43">
        <v>11</v>
      </c>
    </row>
    <row r="214" ht="11.55" customHeight="1" spans="1:32">
      <c r="A214" s="980"/>
      <c r="B214" s="43"/>
      <c r="K214" s="43"/>
      <c r="N214" s="43"/>
      <c r="O214" s="43"/>
      <c r="P214" s="43"/>
      <c r="Q214" s="43"/>
      <c r="S214" s="43"/>
      <c r="T214" s="43"/>
      <c r="U214" s="43"/>
      <c r="V214" s="43"/>
      <c r="W214" s="43"/>
      <c r="X214" s="43"/>
      <c r="Y214" s="43"/>
      <c r="Z214" s="43"/>
      <c r="AA214" s="43"/>
      <c r="AB214" s="43"/>
      <c r="AC214" s="43"/>
      <c r="AD214" s="43"/>
      <c r="AE214" s="43"/>
      <c r="AF214" s="43">
        <v>11</v>
      </c>
    </row>
    <row r="215" hidden="1" customHeight="1" spans="1:32">
      <c r="A215" s="957" t="s">
        <v>83</v>
      </c>
      <c r="B215" s="38">
        <v>0</v>
      </c>
      <c r="C215" s="44">
        <v>0</v>
      </c>
      <c r="D215" s="43">
        <v>3</v>
      </c>
      <c r="E215" s="43">
        <v>7</v>
      </c>
      <c r="F215" s="43">
        <v>54</v>
      </c>
      <c r="G215" s="43">
        <v>10</v>
      </c>
      <c r="H215" s="43">
        <v>0</v>
      </c>
      <c r="I215" s="43">
        <v>40</v>
      </c>
      <c r="J215" s="43">
        <v>102</v>
      </c>
      <c r="K215" s="38">
        <v>9</v>
      </c>
      <c r="L215" s="44">
        <v>5</v>
      </c>
      <c r="M215" s="44">
        <v>3</v>
      </c>
      <c r="N215" s="38">
        <v>3</v>
      </c>
      <c r="O215" s="38">
        <v>3</v>
      </c>
      <c r="P215" s="38">
        <v>3</v>
      </c>
      <c r="Q215" s="38">
        <v>3</v>
      </c>
      <c r="R215" s="44">
        <v>10</v>
      </c>
      <c r="S215" s="38">
        <v>34</v>
      </c>
      <c r="T215" s="38">
        <v>9</v>
      </c>
      <c r="U215" s="958">
        <v>8</v>
      </c>
      <c r="V215" s="38">
        <v>8</v>
      </c>
      <c r="W215" s="38">
        <v>8</v>
      </c>
      <c r="X215" s="38">
        <v>8</v>
      </c>
      <c r="Y215" s="38">
        <v>8</v>
      </c>
      <c r="Z215" s="38">
        <v>8</v>
      </c>
      <c r="AA215" s="575">
        <v>8</v>
      </c>
      <c r="AB215" s="575">
        <v>8</v>
      </c>
      <c r="AC215" s="575">
        <v>8</v>
      </c>
      <c r="AD215" s="575">
        <v>8</v>
      </c>
      <c r="AE215" s="575">
        <v>8</v>
      </c>
      <c r="AF215" s="43">
        <v>11</v>
      </c>
    </row>
  </sheetData>
  <sheetProtection formatColumns="0" formatRows="0" insertRows="0" deleteColumns="0" deleteRows="0" sort="0" autoFilter="0"/>
  <mergeCells count="9">
    <mergeCell ref="E6:I6"/>
    <mergeCell ref="E7:I7"/>
    <mergeCell ref="F10:G10"/>
    <mergeCell ref="F11:G11"/>
    <mergeCell ref="F12:G12"/>
    <mergeCell ref="E13:G13"/>
    <mergeCell ref="F44:G44"/>
    <mergeCell ref="F45:G45"/>
    <mergeCell ref="J10:J14"/>
  </mergeCells>
  <dataValidations count="5">
    <dataValidation type="decimal" operator="between" allowBlank="1" showErrorMessage="1" errorTitle="Ошибка" error="Допускается ввод только неотрицательных чисел!" sqref="H2:I2 H15:I15 H30:I30 H32:I32 H17:I27 H38:I39 H41:I4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operator="between"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operator="between"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paperSize="1"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X102"/>
  <sheetViews>
    <sheetView showGridLines="0" zoomScale="90" zoomScaleNormal="90" workbookViewId="0">
      <pane xSplit="8" ySplit="11" topLeftCell="I12" activePane="bottomRight" state="frozen"/>
      <selection/>
      <selection pane="topRight"/>
      <selection pane="bottomLeft"/>
      <selection pane="bottomRight" activeCell="A1" sqref="A1"/>
    </sheetView>
  </sheetViews>
  <sheetFormatPr defaultColWidth="10.5714285714286" defaultRowHeight="11.25" customHeight="1"/>
  <cols>
    <col min="1" max="1" width="9.14285714285714" style="297" hidden="1" customWidth="1"/>
    <col min="2" max="2" width="3.57142857142857" style="44" hidden="1" customWidth="1"/>
    <col min="3" max="3" width="3" style="43" customWidth="1"/>
    <col min="4" max="4" width="7" style="43" customWidth="1"/>
    <col min="5" max="5" width="69" style="43" customWidth="1"/>
    <col min="6" max="6" width="10" style="43" customWidth="1"/>
    <col min="7" max="8" width="44" style="43" hidden="1" customWidth="1"/>
    <col min="9" max="9" width="44" style="43" customWidth="1"/>
    <col min="10" max="10" width="43" style="43" customWidth="1"/>
    <col min="11" max="11" width="73" style="43" customWidth="1"/>
    <col min="12" max="12" width="3" style="43" customWidth="1"/>
    <col min="13" max="23" width="10" style="43" customWidth="1"/>
    <col min="24" max="24" width="10.5714285714286" style="43" hidden="1"/>
  </cols>
  <sheetData>
    <row r="1" s="38" customFormat="1" ht="22.5" hidden="1" customHeight="1" spans="1:24">
      <c r="A1" s="297"/>
      <c r="B1" s="44"/>
      <c r="G1" s="38">
        <v>4</v>
      </c>
      <c r="I1" s="38">
        <v>4</v>
      </c>
      <c r="K1" s="38">
        <v>5</v>
      </c>
      <c r="X1" s="38" t="s">
        <v>14</v>
      </c>
    </row>
    <row r="2" ht="3" customHeight="1" spans="24:24">
      <c r="X2" s="43">
        <v>3</v>
      </c>
    </row>
    <row r="3" ht="78.75" customHeight="1" spans="4:24">
      <c r="D3" s="6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658"/>
      <c r="F3" s="659"/>
      <c r="X3" s="43">
        <v>75</v>
      </c>
    </row>
    <row r="4" s="43" customFormat="1" ht="21" customHeight="1" spans="1:24">
      <c r="A4" s="297"/>
      <c r="B4" s="44"/>
      <c r="D4" s="775" t="str">
        <f>IF(org=0,"Не определено",org)</f>
        <v>АО "Теплокоммунэнерго"</v>
      </c>
      <c r="E4" s="624"/>
      <c r="F4" s="776"/>
      <c r="X4" s="43">
        <v>20</v>
      </c>
    </row>
    <row r="5" ht="11.55" customHeight="1" spans="8:24">
      <c r="H5" s="577"/>
      <c r="J5" s="577"/>
      <c r="X5" s="43">
        <v>11</v>
      </c>
    </row>
    <row r="6" ht="1.05" customHeight="1" spans="5:24">
      <c r="E6" s="86"/>
      <c r="F6" s="922"/>
      <c r="G6" s="923"/>
      <c r="H6" s="923"/>
      <c r="I6" s="923" t="s">
        <v>115</v>
      </c>
      <c r="J6" s="923"/>
      <c r="X6" s="43">
        <v>1</v>
      </c>
    </row>
    <row r="7" ht="11.55" customHeight="1" spans="4:24">
      <c r="D7" s="756"/>
      <c r="E7" s="757" t="s">
        <v>103</v>
      </c>
      <c r="F7" s="758"/>
      <c r="G7" s="924" t="str">
        <f>IF(G6="","",INDEX(DIFFERENTIATION_UNMERGE_VD,MATCH(G6,DIFFERENTIATION_ID_DIFF,0)))</f>
        <v/>
      </c>
      <c r="H7" s="925"/>
      <c r="I7" s="924">
        <f>IF(I6="","",INDEX(DIFFERENTIATION_UNMERGE_VD,MATCH(I6,DIFFERENTIATION_ID_DIFF,0)))</f>
        <v>0</v>
      </c>
      <c r="J7" s="925"/>
      <c r="K7" s="71"/>
      <c r="X7" s="43">
        <v>11</v>
      </c>
    </row>
    <row r="8" ht="11.55" customHeight="1" spans="4:24">
      <c r="D8" s="756"/>
      <c r="E8" s="757" t="s">
        <v>558</v>
      </c>
      <c r="F8" s="758"/>
      <c r="G8" s="924" t="str">
        <f>IF(G6="","",INDEX(DIFFERENTIATION_UNMERGE_AREA,MATCH(G6,DIFFERENTIATION_ID_DIFF,0)))</f>
        <v/>
      </c>
      <c r="H8" s="925"/>
      <c r="I8" s="924" t="str">
        <f>IF(I6="","",INDEX(DIFFERENTIATION_UNMERGE_AREA,MATCH(I6,DIFFERENTIATION_ID_DIFF,0)))</f>
        <v/>
      </c>
      <c r="J8" s="925"/>
      <c r="K8" s="398"/>
      <c r="X8" s="43">
        <v>11</v>
      </c>
    </row>
    <row r="9" ht="11.55" customHeight="1" spans="4:24">
      <c r="D9" s="756"/>
      <c r="E9" s="757" t="s">
        <v>559</v>
      </c>
      <c r="F9" s="758"/>
      <c r="G9" s="924" t="str">
        <f>IF(G6="","",INDEX(DIFFERENTIATION_UNMERGE_SYSTEM,MATCH(G6,DIFFERENTIATION_ID_DIFF,0)))</f>
        <v/>
      </c>
      <c r="H9" s="925"/>
      <c r="I9" s="924" t="str">
        <f>IF(I6="","",INDEX(DIFFERENTIATION_UNMERGE_SYSTEM,MATCH(I6,DIFFERENTIATION_ID_DIFF,0)))</f>
        <v>без дифференциации</v>
      </c>
      <c r="J9" s="925"/>
      <c r="K9" s="398"/>
      <c r="X9" s="43">
        <v>11</v>
      </c>
    </row>
    <row r="10" s="43" customFormat="1" ht="11.55" customHeight="1" spans="1:24">
      <c r="A10" s="297"/>
      <c r="B10" s="44"/>
      <c r="D10" s="126" t="s">
        <v>296</v>
      </c>
      <c r="E10" s="128"/>
      <c r="F10" s="128"/>
      <c r="G10" s="128"/>
      <c r="H10" s="128"/>
      <c r="I10" s="128"/>
      <c r="J10" s="127"/>
      <c r="K10" s="398"/>
      <c r="X10" s="43">
        <v>11</v>
      </c>
    </row>
    <row r="11" s="43" customFormat="1" ht="24" customHeight="1" spans="1:24">
      <c r="A11" s="120"/>
      <c r="B11" s="120"/>
      <c r="C11" s="789"/>
      <c r="D11" s="64" t="s">
        <v>89</v>
      </c>
      <c r="E11" s="64" t="s">
        <v>819</v>
      </c>
      <c r="F11" s="64" t="s">
        <v>560</v>
      </c>
      <c r="G11" s="64" t="s">
        <v>299</v>
      </c>
      <c r="H11" s="64" t="s">
        <v>386</v>
      </c>
      <c r="I11" s="64" t="s">
        <v>299</v>
      </c>
      <c r="J11" s="126" t="s">
        <v>386</v>
      </c>
      <c r="K11" s="73"/>
      <c r="L11" s="120"/>
      <c r="X11" s="43">
        <v>23</v>
      </c>
    </row>
    <row r="12" s="44" customFormat="1" ht="10.5" customHeight="1" spans="1:24">
      <c r="A12" s="307"/>
      <c r="D12" s="307" t="s">
        <v>107</v>
      </c>
      <c r="E12" s="307" t="s">
        <v>108</v>
      </c>
      <c r="F12" s="307" t="s">
        <v>91</v>
      </c>
      <c r="G12" s="93" t="str">
        <f>G1&amp;".1"</f>
        <v>4.1</v>
      </c>
      <c r="H12" s="93" t="str">
        <f>G1&amp;".2"</f>
        <v>4.2</v>
      </c>
      <c r="I12" s="93" t="str">
        <f>I1&amp;".1"</f>
        <v>4.1</v>
      </c>
      <c r="J12" s="93" t="str">
        <f>I1&amp;".2"</f>
        <v>4.2</v>
      </c>
      <c r="K12" s="93"/>
      <c r="X12" s="44">
        <v>10</v>
      </c>
    </row>
    <row r="13" ht="22.5" customHeight="1" spans="1:24">
      <c r="A13" s="926" t="s">
        <v>820</v>
      </c>
      <c r="D13" s="232" t="s">
        <v>107</v>
      </c>
      <c r="E13" s="393" t="s">
        <v>821</v>
      </c>
      <c r="F13" s="927" t="s">
        <v>822</v>
      </c>
      <c r="G13" s="928"/>
      <c r="H13" s="829"/>
      <c r="I13" s="928"/>
      <c r="J13" s="829"/>
      <c r="K13" s="83" t="s">
        <v>823</v>
      </c>
      <c r="L13" s="949"/>
      <c r="X13" s="43">
        <v>0</v>
      </c>
    </row>
    <row r="14" ht="22.5" customHeight="1" spans="1:24">
      <c r="A14" s="926"/>
      <c r="D14" s="232" t="s">
        <v>108</v>
      </c>
      <c r="E14" s="393" t="s">
        <v>824</v>
      </c>
      <c r="F14" s="927" t="s">
        <v>825</v>
      </c>
      <c r="G14" s="928"/>
      <c r="H14" s="829"/>
      <c r="I14" s="928"/>
      <c r="J14" s="829"/>
      <c r="K14" s="83" t="s">
        <v>826</v>
      </c>
      <c r="L14" s="949"/>
      <c r="X14" s="43">
        <v>0</v>
      </c>
    </row>
    <row r="15" s="43" customFormat="1" ht="78.75" customHeight="1" spans="1:24">
      <c r="A15" s="926"/>
      <c r="B15" s="44"/>
      <c r="D15" s="232" t="s">
        <v>91</v>
      </c>
      <c r="E15" s="393" t="s">
        <v>827</v>
      </c>
      <c r="F15" s="64" t="s">
        <v>302</v>
      </c>
      <c r="G15" s="64" t="s">
        <v>302</v>
      </c>
      <c r="H15" s="215"/>
      <c r="I15" s="64" t="s">
        <v>302</v>
      </c>
      <c r="J15" s="215"/>
      <c r="K15" s="83" t="s">
        <v>828</v>
      </c>
      <c r="L15" s="949"/>
      <c r="X15" s="43">
        <v>0</v>
      </c>
    </row>
    <row r="16" s="43" customFormat="1" ht="22.5" customHeight="1" spans="1:24">
      <c r="A16" s="926"/>
      <c r="B16" s="44"/>
      <c r="D16" s="232" t="s">
        <v>320</v>
      </c>
      <c r="E16" s="669" t="s">
        <v>829</v>
      </c>
      <c r="F16" s="64" t="s">
        <v>830</v>
      </c>
      <c r="G16" s="765"/>
      <c r="H16" s="215"/>
      <c r="I16" s="765"/>
      <c r="J16" s="215"/>
      <c r="K16" s="83"/>
      <c r="L16" s="949"/>
      <c r="X16" s="43">
        <v>0</v>
      </c>
    </row>
    <row r="17" s="43" customFormat="1" ht="22.5" customHeight="1" spans="1:24">
      <c r="A17" s="926"/>
      <c r="B17" s="44"/>
      <c r="D17" s="232" t="s">
        <v>328</v>
      </c>
      <c r="E17" s="669" t="s">
        <v>831</v>
      </c>
      <c r="F17" s="64" t="s">
        <v>832</v>
      </c>
      <c r="G17" s="765"/>
      <c r="H17" s="215"/>
      <c r="I17" s="765"/>
      <c r="J17" s="215"/>
      <c r="K17" s="83"/>
      <c r="L17" s="949"/>
      <c r="X17" s="43">
        <v>0</v>
      </c>
    </row>
    <row r="18" s="43" customFormat="1" ht="33.75" customHeight="1" spans="1:24">
      <c r="A18" s="926"/>
      <c r="B18" s="44"/>
      <c r="D18" s="232" t="s">
        <v>330</v>
      </c>
      <c r="E18" s="669" t="s">
        <v>833</v>
      </c>
      <c r="F18" s="64" t="s">
        <v>565</v>
      </c>
      <c r="G18" s="766"/>
      <c r="H18" s="215"/>
      <c r="I18" s="766"/>
      <c r="J18" s="215"/>
      <c r="K18" s="83"/>
      <c r="L18" s="949"/>
      <c r="X18" s="43">
        <v>0</v>
      </c>
    </row>
    <row r="19" ht="101.25" customHeight="1" spans="1:24">
      <c r="A19" s="926"/>
      <c r="D19" s="232" t="s">
        <v>92</v>
      </c>
      <c r="E19" s="393" t="s">
        <v>834</v>
      </c>
      <c r="F19" s="927" t="s">
        <v>540</v>
      </c>
      <c r="G19" s="213"/>
      <c r="H19" s="829"/>
      <c r="I19" s="213"/>
      <c r="J19" s="829"/>
      <c r="K19" s="83" t="s">
        <v>835</v>
      </c>
      <c r="L19" s="949"/>
      <c r="X19" s="43">
        <v>0</v>
      </c>
    </row>
    <row r="20" s="43" customFormat="1" ht="18.75" customHeight="1" spans="1:24">
      <c r="A20" s="926"/>
      <c r="C20" s="217"/>
      <c r="D20" s="232" t="s">
        <v>754</v>
      </c>
      <c r="E20" s="669" t="s">
        <v>836</v>
      </c>
      <c r="F20" s="64" t="s">
        <v>302</v>
      </c>
      <c r="G20" s="64" t="s">
        <v>302</v>
      </c>
      <c r="H20" s="71" t="s">
        <v>302</v>
      </c>
      <c r="I20" s="64" t="s">
        <v>302</v>
      </c>
      <c r="J20" s="71" t="s">
        <v>302</v>
      </c>
      <c r="K20" s="126"/>
      <c r="L20" s="949"/>
      <c r="W20" s="754"/>
      <c r="X20" s="43">
        <v>0</v>
      </c>
    </row>
    <row r="21" s="43" customFormat="1" ht="33.75" customHeight="1" spans="1:24">
      <c r="A21" s="926"/>
      <c r="C21" s="217"/>
      <c r="D21" s="232" t="s">
        <v>757</v>
      </c>
      <c r="E21" s="929" t="s">
        <v>837</v>
      </c>
      <c r="F21" s="64" t="s">
        <v>838</v>
      </c>
      <c r="G21" s="766"/>
      <c r="H21" s="215"/>
      <c r="I21" s="766"/>
      <c r="J21" s="215"/>
      <c r="K21" s="126"/>
      <c r="L21" s="949"/>
      <c r="W21" s="754"/>
      <c r="X21" s="43">
        <v>0</v>
      </c>
    </row>
    <row r="22" s="43" customFormat="1" ht="33.75" customHeight="1" spans="1:24">
      <c r="A22" s="926"/>
      <c r="C22" s="217"/>
      <c r="D22" s="232" t="s">
        <v>760</v>
      </c>
      <c r="E22" s="929" t="s">
        <v>839</v>
      </c>
      <c r="F22" s="64" t="s">
        <v>840</v>
      </c>
      <c r="G22" s="766"/>
      <c r="H22" s="215"/>
      <c r="I22" s="766"/>
      <c r="J22" s="215"/>
      <c r="K22" s="126"/>
      <c r="L22" s="949"/>
      <c r="W22" s="754"/>
      <c r="X22" s="43">
        <v>0</v>
      </c>
    </row>
    <row r="23" s="43" customFormat="1" ht="22.5" customHeight="1" spans="1:24">
      <c r="A23" s="926"/>
      <c r="C23" s="217"/>
      <c r="D23" s="232" t="s">
        <v>798</v>
      </c>
      <c r="E23" s="669" t="s">
        <v>841</v>
      </c>
      <c r="F23" s="64" t="s">
        <v>302</v>
      </c>
      <c r="G23" s="64" t="s">
        <v>302</v>
      </c>
      <c r="H23" s="71" t="s">
        <v>302</v>
      </c>
      <c r="I23" s="64" t="s">
        <v>302</v>
      </c>
      <c r="J23" s="71" t="s">
        <v>302</v>
      </c>
      <c r="K23" s="126"/>
      <c r="L23" s="949"/>
      <c r="W23" s="754"/>
      <c r="X23" s="43">
        <v>0</v>
      </c>
    </row>
    <row r="24" s="43" customFormat="1" ht="22.5" customHeight="1" spans="1:24">
      <c r="A24" s="926"/>
      <c r="C24" s="217"/>
      <c r="D24" s="232" t="s">
        <v>842</v>
      </c>
      <c r="E24" s="929" t="s">
        <v>843</v>
      </c>
      <c r="F24" s="64" t="s">
        <v>844</v>
      </c>
      <c r="G24" s="766"/>
      <c r="H24" s="831"/>
      <c r="I24" s="766"/>
      <c r="J24" s="831"/>
      <c r="K24" s="126"/>
      <c r="L24" s="949"/>
      <c r="W24" s="754"/>
      <c r="X24" s="43">
        <v>0</v>
      </c>
    </row>
    <row r="25" s="43" customFormat="1" ht="22.5" customHeight="1" spans="1:24">
      <c r="A25" s="926"/>
      <c r="C25" s="217"/>
      <c r="D25" s="232" t="s">
        <v>845</v>
      </c>
      <c r="E25" s="929" t="s">
        <v>846</v>
      </c>
      <c r="F25" s="64" t="s">
        <v>302</v>
      </c>
      <c r="G25" s="64" t="s">
        <v>302</v>
      </c>
      <c r="H25" s="71" t="s">
        <v>302</v>
      </c>
      <c r="I25" s="64" t="s">
        <v>302</v>
      </c>
      <c r="J25" s="71" t="s">
        <v>302</v>
      </c>
      <c r="K25" s="126"/>
      <c r="L25" s="949"/>
      <c r="W25" s="754"/>
      <c r="X25" s="43">
        <v>0</v>
      </c>
    </row>
    <row r="26" s="43" customFormat="1" ht="18.75" customHeight="1" spans="1:24">
      <c r="A26" s="926"/>
      <c r="C26" s="217"/>
      <c r="D26" s="232" t="s">
        <v>847</v>
      </c>
      <c r="E26" s="930" t="s">
        <v>848</v>
      </c>
      <c r="F26" s="64" t="s">
        <v>849</v>
      </c>
      <c r="G26" s="766"/>
      <c r="H26" s="831"/>
      <c r="I26" s="766"/>
      <c r="J26" s="831"/>
      <c r="K26" s="126"/>
      <c r="L26" s="949"/>
      <c r="W26" s="754"/>
      <c r="X26" s="43">
        <v>0</v>
      </c>
    </row>
    <row r="27" s="43" customFormat="1" ht="18.75" customHeight="1" spans="1:24">
      <c r="A27" s="926"/>
      <c r="C27" s="217"/>
      <c r="D27" s="232" t="s">
        <v>850</v>
      </c>
      <c r="E27" s="930" t="s">
        <v>851</v>
      </c>
      <c r="F27" s="64" t="s">
        <v>852</v>
      </c>
      <c r="G27" s="766"/>
      <c r="H27" s="831"/>
      <c r="I27" s="766"/>
      <c r="J27" s="831"/>
      <c r="K27" s="126"/>
      <c r="L27" s="949"/>
      <c r="W27" s="754"/>
      <c r="X27" s="43">
        <v>0</v>
      </c>
    </row>
    <row r="28" s="43" customFormat="1" ht="18.75" customHeight="1" spans="1:24">
      <c r="A28" s="926"/>
      <c r="C28" s="217"/>
      <c r="D28" s="232" t="s">
        <v>853</v>
      </c>
      <c r="E28" s="929" t="s">
        <v>854</v>
      </c>
      <c r="F28" s="64" t="s">
        <v>302</v>
      </c>
      <c r="G28" s="64" t="s">
        <v>302</v>
      </c>
      <c r="H28" s="71" t="s">
        <v>302</v>
      </c>
      <c r="I28" s="64" t="s">
        <v>302</v>
      </c>
      <c r="J28" s="71" t="s">
        <v>302</v>
      </c>
      <c r="K28" s="126"/>
      <c r="L28" s="949"/>
      <c r="W28" s="754"/>
      <c r="X28" s="43">
        <v>0</v>
      </c>
    </row>
    <row r="29" s="43" customFormat="1" ht="18.75" customHeight="1" spans="1:24">
      <c r="A29" s="926"/>
      <c r="C29" s="217"/>
      <c r="D29" s="232" t="s">
        <v>855</v>
      </c>
      <c r="E29" s="930" t="s">
        <v>848</v>
      </c>
      <c r="F29" s="64" t="s">
        <v>856</v>
      </c>
      <c r="G29" s="766"/>
      <c r="H29" s="831"/>
      <c r="I29" s="766"/>
      <c r="J29" s="831"/>
      <c r="K29" s="126"/>
      <c r="L29" s="949"/>
      <c r="W29" s="754"/>
      <c r="X29" s="43">
        <v>0</v>
      </c>
    </row>
    <row r="30" s="43" customFormat="1" ht="18.75" customHeight="1" spans="1:24">
      <c r="A30" s="926"/>
      <c r="C30" s="217"/>
      <c r="D30" s="232" t="s">
        <v>857</v>
      </c>
      <c r="E30" s="930" t="s">
        <v>858</v>
      </c>
      <c r="F30" s="64" t="s">
        <v>859</v>
      </c>
      <c r="G30" s="766"/>
      <c r="H30" s="831"/>
      <c r="I30" s="766"/>
      <c r="J30" s="831"/>
      <c r="K30" s="126"/>
      <c r="L30" s="949"/>
      <c r="W30" s="754"/>
      <c r="X30" s="43">
        <v>0</v>
      </c>
    </row>
    <row r="31" ht="126.75" customHeight="1" spans="1:24">
      <c r="A31" s="926"/>
      <c r="D31" s="232" t="s">
        <v>109</v>
      </c>
      <c r="E31" s="393" t="s">
        <v>860</v>
      </c>
      <c r="F31" s="927" t="s">
        <v>552</v>
      </c>
      <c r="G31" s="928"/>
      <c r="H31" s="829"/>
      <c r="I31" s="928"/>
      <c r="J31" s="829"/>
      <c r="K31" s="83" t="s">
        <v>861</v>
      </c>
      <c r="L31" s="949"/>
      <c r="X31" s="43">
        <v>0</v>
      </c>
    </row>
    <row r="32" ht="56.25" customHeight="1" spans="1:24">
      <c r="A32" s="926"/>
      <c r="D32" s="232" t="s">
        <v>93</v>
      </c>
      <c r="E32" s="393" t="s">
        <v>862</v>
      </c>
      <c r="F32" s="232" t="s">
        <v>832</v>
      </c>
      <c r="G32" s="928"/>
      <c r="H32" s="829"/>
      <c r="I32" s="928"/>
      <c r="J32" s="829"/>
      <c r="K32" s="83" t="s">
        <v>863</v>
      </c>
      <c r="L32" s="949"/>
      <c r="X32" s="43">
        <v>0</v>
      </c>
    </row>
    <row r="33" customHeight="1" spans="1:24">
      <c r="A33" s="926"/>
      <c r="E33" s="931"/>
      <c r="F33" s="641"/>
      <c r="G33" s="641"/>
      <c r="H33" s="641"/>
      <c r="I33" s="641"/>
      <c r="J33" s="641"/>
      <c r="K33" s="641"/>
      <c r="X33" s="43">
        <v>0</v>
      </c>
    </row>
    <row r="34" ht="12.75" customHeight="1" spans="1:24">
      <c r="A34" s="926"/>
      <c r="D34" s="789">
        <v>1</v>
      </c>
      <c r="E34" s="709" t="s">
        <v>864</v>
      </c>
      <c r="X34" s="43">
        <v>0</v>
      </c>
    </row>
    <row r="35" customHeight="1" spans="1:24">
      <c r="A35" s="926"/>
      <c r="D35" s="789"/>
      <c r="E35" s="709" t="s">
        <v>865</v>
      </c>
      <c r="X35" s="43">
        <v>0</v>
      </c>
    </row>
    <row r="36" s="43" customFormat="1" ht="11.55" customHeight="1" spans="1:24">
      <c r="A36" s="297"/>
      <c r="B36" s="44"/>
      <c r="D36" s="789"/>
      <c r="E36" s="709"/>
      <c r="X36" s="43">
        <v>11</v>
      </c>
    </row>
    <row r="37" s="43" customFormat="1" ht="22.5" hidden="1" customHeight="1" spans="1:24">
      <c r="A37" s="926" t="s">
        <v>866</v>
      </c>
      <c r="B37" s="44"/>
      <c r="D37" s="232">
        <v>1</v>
      </c>
      <c r="E37" s="393" t="s">
        <v>867</v>
      </c>
      <c r="F37" s="927" t="s">
        <v>822</v>
      </c>
      <c r="G37" s="928"/>
      <c r="H37" s="635"/>
      <c r="I37" s="928"/>
      <c r="J37" s="635"/>
      <c r="K37" s="83" t="s">
        <v>868</v>
      </c>
      <c r="X37" s="43">
        <v>0</v>
      </c>
    </row>
    <row r="38" s="43" customFormat="1" ht="22.5" hidden="1" customHeight="1" spans="1:24">
      <c r="A38" s="926"/>
      <c r="B38" s="44"/>
      <c r="D38" s="932" t="s">
        <v>108</v>
      </c>
      <c r="E38" s="933" t="s">
        <v>869</v>
      </c>
      <c r="F38" s="934" t="s">
        <v>540</v>
      </c>
      <c r="G38" s="934" t="s">
        <v>540</v>
      </c>
      <c r="H38" s="935"/>
      <c r="I38" s="934" t="s">
        <v>540</v>
      </c>
      <c r="J38" s="935"/>
      <c r="K38" s="70"/>
      <c r="X38" s="43">
        <v>0</v>
      </c>
    </row>
    <row r="39" s="43" customFormat="1" ht="33.75" hidden="1" customHeight="1" spans="1:24">
      <c r="A39" s="926"/>
      <c r="B39" s="44"/>
      <c r="D39" s="936" t="s">
        <v>706</v>
      </c>
      <c r="E39" s="937" t="s">
        <v>870</v>
      </c>
      <c r="F39" s="927" t="s">
        <v>871</v>
      </c>
      <c r="G39" s="417"/>
      <c r="H39" s="938"/>
      <c r="I39" s="417"/>
      <c r="J39" s="938"/>
      <c r="K39" s="83" t="s">
        <v>872</v>
      </c>
      <c r="X39" s="43">
        <v>0</v>
      </c>
    </row>
    <row r="40" s="43" customFormat="1" ht="33.75" hidden="1" customHeight="1" spans="1:24">
      <c r="A40" s="926"/>
      <c r="B40" s="44"/>
      <c r="D40" s="936" t="s">
        <v>709</v>
      </c>
      <c r="E40" s="937" t="s">
        <v>873</v>
      </c>
      <c r="F40" s="631" t="s">
        <v>874</v>
      </c>
      <c r="G40" s="939"/>
      <c r="H40" s="938"/>
      <c r="I40" s="939"/>
      <c r="J40" s="938"/>
      <c r="K40" s="83" t="s">
        <v>875</v>
      </c>
      <c r="X40" s="43">
        <v>0</v>
      </c>
    </row>
    <row r="41" s="43" customFormat="1" ht="22.5" hidden="1" customHeight="1" spans="1:24">
      <c r="A41" s="926"/>
      <c r="B41" s="44"/>
      <c r="D41" s="936" t="s">
        <v>91</v>
      </c>
      <c r="E41" s="940" t="s">
        <v>876</v>
      </c>
      <c r="F41" s="927" t="s">
        <v>540</v>
      </c>
      <c r="G41" s="927" t="s">
        <v>540</v>
      </c>
      <c r="H41" s="941"/>
      <c r="I41" s="927" t="s">
        <v>540</v>
      </c>
      <c r="J41" s="941"/>
      <c r="K41" s="72"/>
      <c r="X41" s="43">
        <v>0</v>
      </c>
    </row>
    <row r="42" s="43" customFormat="1" ht="45" hidden="1" customHeight="1" spans="1:24">
      <c r="A42" s="926"/>
      <c r="B42" s="44"/>
      <c r="D42" s="936" t="s">
        <v>320</v>
      </c>
      <c r="E42" s="937" t="s">
        <v>877</v>
      </c>
      <c r="F42" s="927" t="s">
        <v>552</v>
      </c>
      <c r="G42" s="928"/>
      <c r="H42" s="941"/>
      <c r="I42" s="928"/>
      <c r="J42" s="941"/>
      <c r="K42" s="72" t="s">
        <v>878</v>
      </c>
      <c r="X42" s="43">
        <v>0</v>
      </c>
    </row>
    <row r="43" s="43" customFormat="1" ht="45" hidden="1" customHeight="1" spans="1:24">
      <c r="A43" s="926"/>
      <c r="B43" s="44"/>
      <c r="D43" s="936" t="s">
        <v>328</v>
      </c>
      <c r="E43" s="942" t="s">
        <v>879</v>
      </c>
      <c r="F43" s="943" t="s">
        <v>552</v>
      </c>
      <c r="G43" s="944"/>
      <c r="H43" s="938"/>
      <c r="I43" s="944"/>
      <c r="J43" s="938"/>
      <c r="K43" s="72" t="s">
        <v>880</v>
      </c>
      <c r="X43" s="43">
        <v>0</v>
      </c>
    </row>
    <row r="44" s="43" customFormat="1" hidden="1" customHeight="1" spans="1:24">
      <c r="A44" s="926"/>
      <c r="B44" s="44"/>
      <c r="D44" s="936" t="s">
        <v>92</v>
      </c>
      <c r="E44" s="945" t="s">
        <v>881</v>
      </c>
      <c r="F44" s="927" t="s">
        <v>871</v>
      </c>
      <c r="G44" s="417"/>
      <c r="H44" s="938"/>
      <c r="I44" s="417"/>
      <c r="J44" s="938"/>
      <c r="K44" s="83"/>
      <c r="X44" s="43">
        <v>0</v>
      </c>
    </row>
    <row r="45" s="43" customFormat="1" hidden="1" customHeight="1" spans="1:24">
      <c r="A45" s="926"/>
      <c r="B45" s="44"/>
      <c r="D45" s="936" t="s">
        <v>754</v>
      </c>
      <c r="E45" s="942" t="s">
        <v>882</v>
      </c>
      <c r="F45" s="927" t="s">
        <v>871</v>
      </c>
      <c r="G45" s="417"/>
      <c r="H45" s="938"/>
      <c r="I45" s="417"/>
      <c r="J45" s="938"/>
      <c r="K45" s="83"/>
      <c r="X45" s="43">
        <v>0</v>
      </c>
    </row>
    <row r="46" s="43" customFormat="1" hidden="1" customHeight="1" spans="1:24">
      <c r="A46" s="926"/>
      <c r="B46" s="44"/>
      <c r="D46" s="936" t="s">
        <v>798</v>
      </c>
      <c r="E46" s="942" t="s">
        <v>883</v>
      </c>
      <c r="F46" s="927" t="s">
        <v>871</v>
      </c>
      <c r="G46" s="417"/>
      <c r="H46" s="938"/>
      <c r="I46" s="417"/>
      <c r="J46" s="938"/>
      <c r="K46" s="83"/>
      <c r="X46" s="43">
        <v>0</v>
      </c>
    </row>
    <row r="47" s="43" customFormat="1" hidden="1" customHeight="1" spans="1:24">
      <c r="A47" s="926"/>
      <c r="B47" s="44"/>
      <c r="D47" s="936" t="s">
        <v>801</v>
      </c>
      <c r="E47" s="942" t="s">
        <v>884</v>
      </c>
      <c r="F47" s="927" t="s">
        <v>871</v>
      </c>
      <c r="G47" s="417"/>
      <c r="H47" s="938"/>
      <c r="I47" s="417"/>
      <c r="J47" s="938"/>
      <c r="K47" s="83"/>
      <c r="X47" s="43">
        <v>0</v>
      </c>
    </row>
    <row r="48" s="43" customFormat="1" hidden="1" customHeight="1" spans="1:24">
      <c r="A48" s="926"/>
      <c r="B48" s="44"/>
      <c r="D48" s="936" t="s">
        <v>885</v>
      </c>
      <c r="E48" s="946" t="s">
        <v>886</v>
      </c>
      <c r="F48" s="927" t="s">
        <v>871</v>
      </c>
      <c r="G48" s="417"/>
      <c r="H48" s="938"/>
      <c r="I48" s="417"/>
      <c r="J48" s="938"/>
      <c r="K48" s="83"/>
      <c r="X48" s="43">
        <v>0</v>
      </c>
    </row>
    <row r="49" s="43" customFormat="1" hidden="1" customHeight="1" spans="1:24">
      <c r="A49" s="926"/>
      <c r="B49" s="44"/>
      <c r="D49" s="936" t="s">
        <v>887</v>
      </c>
      <c r="E49" s="946" t="s">
        <v>888</v>
      </c>
      <c r="F49" s="927" t="s">
        <v>871</v>
      </c>
      <c r="G49" s="417"/>
      <c r="H49" s="938"/>
      <c r="I49" s="417"/>
      <c r="J49" s="938"/>
      <c r="K49" s="83"/>
      <c r="X49" s="43">
        <v>0</v>
      </c>
    </row>
    <row r="50" s="43" customFormat="1" hidden="1" customHeight="1" spans="1:24">
      <c r="A50" s="926"/>
      <c r="B50" s="44"/>
      <c r="D50" s="936" t="s">
        <v>889</v>
      </c>
      <c r="E50" s="942" t="s">
        <v>890</v>
      </c>
      <c r="F50" s="927" t="s">
        <v>871</v>
      </c>
      <c r="G50" s="417"/>
      <c r="H50" s="938"/>
      <c r="I50" s="417"/>
      <c r="J50" s="938"/>
      <c r="K50" s="83"/>
      <c r="X50" s="43">
        <v>0</v>
      </c>
    </row>
    <row r="51" s="43" customFormat="1" hidden="1" customHeight="1" spans="1:24">
      <c r="A51" s="926"/>
      <c r="B51" s="44"/>
      <c r="D51" s="936" t="s">
        <v>891</v>
      </c>
      <c r="E51" s="942" t="s">
        <v>892</v>
      </c>
      <c r="F51" s="927" t="s">
        <v>871</v>
      </c>
      <c r="G51" s="417"/>
      <c r="H51" s="938"/>
      <c r="I51" s="417"/>
      <c r="J51" s="938"/>
      <c r="K51" s="83"/>
      <c r="X51" s="43">
        <v>0</v>
      </c>
    </row>
    <row r="52" s="43" customFormat="1" ht="45" hidden="1" customHeight="1" spans="1:24">
      <c r="A52" s="926"/>
      <c r="B52" s="44"/>
      <c r="D52" s="936" t="s">
        <v>109</v>
      </c>
      <c r="E52" s="945" t="s">
        <v>893</v>
      </c>
      <c r="F52" s="927" t="s">
        <v>871</v>
      </c>
      <c r="G52" s="417"/>
      <c r="H52" s="938"/>
      <c r="I52" s="417"/>
      <c r="J52" s="938"/>
      <c r="K52" s="83"/>
      <c r="X52" s="43">
        <v>0</v>
      </c>
    </row>
    <row r="53" s="43" customFormat="1" hidden="1" customHeight="1" spans="1:24">
      <c r="A53" s="926"/>
      <c r="B53" s="44"/>
      <c r="D53" s="936" t="s">
        <v>309</v>
      </c>
      <c r="E53" s="942" t="s">
        <v>882</v>
      </c>
      <c r="F53" s="927" t="s">
        <v>871</v>
      </c>
      <c r="G53" s="417"/>
      <c r="H53" s="938"/>
      <c r="I53" s="417"/>
      <c r="J53" s="938"/>
      <c r="K53" s="83"/>
      <c r="X53" s="43">
        <v>0</v>
      </c>
    </row>
    <row r="54" s="43" customFormat="1" hidden="1" customHeight="1" spans="1:24">
      <c r="A54" s="926"/>
      <c r="B54" s="44"/>
      <c r="D54" s="936" t="s">
        <v>894</v>
      </c>
      <c r="E54" s="942" t="s">
        <v>883</v>
      </c>
      <c r="F54" s="927" t="s">
        <v>871</v>
      </c>
      <c r="G54" s="417"/>
      <c r="H54" s="938"/>
      <c r="I54" s="417"/>
      <c r="J54" s="938"/>
      <c r="K54" s="83"/>
      <c r="X54" s="43">
        <v>0</v>
      </c>
    </row>
    <row r="55" s="43" customFormat="1" hidden="1" customHeight="1" spans="1:24">
      <c r="A55" s="926"/>
      <c r="B55" s="44"/>
      <c r="D55" s="936" t="s">
        <v>895</v>
      </c>
      <c r="E55" s="942" t="s">
        <v>884</v>
      </c>
      <c r="F55" s="927" t="s">
        <v>871</v>
      </c>
      <c r="G55" s="417"/>
      <c r="H55" s="938"/>
      <c r="I55" s="417"/>
      <c r="J55" s="938"/>
      <c r="K55" s="83"/>
      <c r="X55" s="43">
        <v>0</v>
      </c>
    </row>
    <row r="56" s="43" customFormat="1" hidden="1" customHeight="1" spans="1:24">
      <c r="A56" s="926"/>
      <c r="B56" s="44"/>
      <c r="D56" s="936" t="s">
        <v>896</v>
      </c>
      <c r="E56" s="946" t="s">
        <v>886</v>
      </c>
      <c r="F56" s="927" t="s">
        <v>871</v>
      </c>
      <c r="G56" s="417"/>
      <c r="H56" s="938"/>
      <c r="I56" s="417"/>
      <c r="J56" s="938"/>
      <c r="K56" s="83"/>
      <c r="X56" s="43">
        <v>0</v>
      </c>
    </row>
    <row r="57" s="43" customFormat="1" hidden="1" customHeight="1" spans="1:24">
      <c r="A57" s="926"/>
      <c r="B57" s="44"/>
      <c r="D57" s="936" t="s">
        <v>897</v>
      </c>
      <c r="E57" s="946" t="s">
        <v>888</v>
      </c>
      <c r="F57" s="927" t="s">
        <v>871</v>
      </c>
      <c r="G57" s="417"/>
      <c r="H57" s="938"/>
      <c r="I57" s="417"/>
      <c r="J57" s="938"/>
      <c r="K57" s="83"/>
      <c r="X57" s="43">
        <v>0</v>
      </c>
    </row>
    <row r="58" s="43" customFormat="1" hidden="1" customHeight="1" spans="1:24">
      <c r="A58" s="926"/>
      <c r="B58" s="44"/>
      <c r="D58" s="936" t="s">
        <v>898</v>
      </c>
      <c r="E58" s="942" t="s">
        <v>890</v>
      </c>
      <c r="F58" s="927" t="s">
        <v>871</v>
      </c>
      <c r="G58" s="417"/>
      <c r="H58" s="938"/>
      <c r="I58" s="417"/>
      <c r="J58" s="938"/>
      <c r="K58" s="83"/>
      <c r="X58" s="43">
        <v>0</v>
      </c>
    </row>
    <row r="59" s="43" customFormat="1" hidden="1" customHeight="1" spans="1:24">
      <c r="A59" s="926"/>
      <c r="B59" s="44"/>
      <c r="D59" s="936" t="s">
        <v>899</v>
      </c>
      <c r="E59" s="942" t="s">
        <v>892</v>
      </c>
      <c r="F59" s="927" t="s">
        <v>871</v>
      </c>
      <c r="G59" s="417"/>
      <c r="H59" s="938"/>
      <c r="I59" s="417"/>
      <c r="J59" s="938"/>
      <c r="K59" s="83"/>
      <c r="X59" s="43">
        <v>0</v>
      </c>
    </row>
    <row r="60" s="43" customFormat="1" ht="33.75" hidden="1" customHeight="1" spans="1:24">
      <c r="A60" s="926"/>
      <c r="B60" s="44"/>
      <c r="D60" s="936" t="s">
        <v>93</v>
      </c>
      <c r="E60" s="945" t="s">
        <v>900</v>
      </c>
      <c r="F60" s="947" t="s">
        <v>552</v>
      </c>
      <c r="G60" s="944"/>
      <c r="H60" s="938"/>
      <c r="I60" s="944"/>
      <c r="J60" s="938"/>
      <c r="K60" s="72" t="s">
        <v>901</v>
      </c>
      <c r="X60" s="43">
        <v>0</v>
      </c>
    </row>
    <row r="61" s="43" customFormat="1" ht="33.75" hidden="1" customHeight="1" spans="1:24">
      <c r="A61" s="926"/>
      <c r="B61" s="44"/>
      <c r="D61" s="936" t="s">
        <v>94</v>
      </c>
      <c r="E61" s="945" t="s">
        <v>902</v>
      </c>
      <c r="F61" s="948" t="s">
        <v>832</v>
      </c>
      <c r="G61" s="417"/>
      <c r="H61" s="938"/>
      <c r="I61" s="417"/>
      <c r="J61" s="938"/>
      <c r="K61" s="83"/>
      <c r="X61" s="43">
        <v>0</v>
      </c>
    </row>
    <row r="62" s="43" customFormat="1" ht="22.5" hidden="1" customHeight="1" spans="1:24">
      <c r="A62" s="926"/>
      <c r="B62" s="44" t="s">
        <v>574</v>
      </c>
      <c r="D62" s="936" t="s">
        <v>110</v>
      </c>
      <c r="E62" s="945" t="s">
        <v>903</v>
      </c>
      <c r="F62" s="948" t="s">
        <v>302</v>
      </c>
      <c r="G62" s="578"/>
      <c r="H62" s="938"/>
      <c r="I62" s="578"/>
      <c r="J62" s="938"/>
      <c r="K62" s="83" t="s">
        <v>625</v>
      </c>
      <c r="X62" s="43">
        <v>0</v>
      </c>
    </row>
    <row r="63" s="43" customFormat="1" ht="45" hidden="1" customHeight="1" spans="1:24">
      <c r="A63" s="926"/>
      <c r="B63" s="44" t="s">
        <v>574</v>
      </c>
      <c r="D63" s="936" t="s">
        <v>904</v>
      </c>
      <c r="E63" s="942" t="s">
        <v>905</v>
      </c>
      <c r="F63" s="947" t="s">
        <v>302</v>
      </c>
      <c r="G63" s="578"/>
      <c r="H63" s="938"/>
      <c r="I63" s="578"/>
      <c r="J63" s="938"/>
      <c r="K63" s="83" t="s">
        <v>625</v>
      </c>
      <c r="X63" s="43">
        <v>0</v>
      </c>
    </row>
    <row r="64" s="43" customFormat="1" ht="11.55" customHeight="1" spans="1:24">
      <c r="A64" s="297"/>
      <c r="B64" s="44"/>
      <c r="D64" s="789"/>
      <c r="E64" s="709"/>
      <c r="X64" s="43">
        <v>11</v>
      </c>
    </row>
    <row r="65" s="43" customFormat="1" ht="22.5" hidden="1" customHeight="1" spans="1:24">
      <c r="A65" s="926" t="s">
        <v>906</v>
      </c>
      <c r="B65" s="44"/>
      <c r="D65" s="936">
        <v>1</v>
      </c>
      <c r="E65" s="950" t="s">
        <v>907</v>
      </c>
      <c r="F65" s="951" t="s">
        <v>822</v>
      </c>
      <c r="G65" s="939"/>
      <c r="H65" s="952"/>
      <c r="I65" s="939"/>
      <c r="J65" s="952"/>
      <c r="K65" s="67" t="s">
        <v>908</v>
      </c>
      <c r="X65" s="43">
        <v>0</v>
      </c>
    </row>
    <row r="66" s="43" customFormat="1" ht="56.25" hidden="1" customHeight="1" spans="1:24">
      <c r="A66" s="926"/>
      <c r="B66" s="44"/>
      <c r="D66" s="953" t="s">
        <v>108</v>
      </c>
      <c r="E66" s="393" t="s">
        <v>909</v>
      </c>
      <c r="F66" s="927" t="s">
        <v>540</v>
      </c>
      <c r="G66" s="927" t="s">
        <v>540</v>
      </c>
      <c r="H66" s="635"/>
      <c r="I66" s="927" t="s">
        <v>540</v>
      </c>
      <c r="J66" s="635"/>
      <c r="K66" s="83"/>
      <c r="X66" s="43">
        <v>0</v>
      </c>
    </row>
    <row r="67" s="43" customFormat="1" ht="33.75" hidden="1" customHeight="1" spans="1:24">
      <c r="A67" s="926"/>
      <c r="B67" s="44"/>
      <c r="D67" s="953" t="s">
        <v>703</v>
      </c>
      <c r="E67" s="669" t="s">
        <v>910</v>
      </c>
      <c r="F67" s="927" t="s">
        <v>874</v>
      </c>
      <c r="G67" s="954"/>
      <c r="H67" s="635"/>
      <c r="I67" s="954"/>
      <c r="J67" s="635"/>
      <c r="K67" s="83"/>
      <c r="X67" s="43">
        <v>0</v>
      </c>
    </row>
    <row r="68" s="43" customFormat="1" ht="22.5" hidden="1" customHeight="1" spans="1:24">
      <c r="A68" s="926"/>
      <c r="B68" s="44"/>
      <c r="D68" s="953" t="s">
        <v>303</v>
      </c>
      <c r="E68" s="669" t="s">
        <v>911</v>
      </c>
      <c r="F68" s="927" t="s">
        <v>874</v>
      </c>
      <c r="G68" s="954"/>
      <c r="H68" s="635"/>
      <c r="I68" s="954"/>
      <c r="J68" s="635"/>
      <c r="K68" s="83"/>
      <c r="X68" s="43">
        <v>0</v>
      </c>
    </row>
    <row r="69" s="43" customFormat="1" ht="22.5" hidden="1" customHeight="1" spans="1:24">
      <c r="A69" s="926"/>
      <c r="B69" s="44"/>
      <c r="D69" s="953" t="s">
        <v>306</v>
      </c>
      <c r="E69" s="669" t="s">
        <v>912</v>
      </c>
      <c r="F69" s="947" t="s">
        <v>552</v>
      </c>
      <c r="G69" s="944"/>
      <c r="H69" s="635"/>
      <c r="I69" s="944"/>
      <c r="J69" s="635"/>
      <c r="K69" s="83"/>
      <c r="X69" s="43">
        <v>0</v>
      </c>
    </row>
    <row r="70" s="43" customFormat="1" ht="22.5" hidden="1" customHeight="1" spans="1:24">
      <c r="A70" s="926"/>
      <c r="B70" s="44"/>
      <c r="D70" s="953" t="s">
        <v>723</v>
      </c>
      <c r="E70" s="669" t="s">
        <v>913</v>
      </c>
      <c r="F70" s="947" t="s">
        <v>552</v>
      </c>
      <c r="G70" s="944"/>
      <c r="H70" s="635"/>
      <c r="I70" s="944"/>
      <c r="J70" s="635"/>
      <c r="K70" s="83"/>
      <c r="X70" s="43">
        <v>0</v>
      </c>
    </row>
    <row r="71" s="43" customFormat="1" ht="22.5" hidden="1" customHeight="1" spans="1:24">
      <c r="A71" s="926"/>
      <c r="B71" s="44"/>
      <c r="D71" s="936" t="s">
        <v>91</v>
      </c>
      <c r="E71" s="945" t="s">
        <v>914</v>
      </c>
      <c r="F71" s="927" t="s">
        <v>874</v>
      </c>
      <c r="G71" s="928"/>
      <c r="H71" s="935"/>
      <c r="I71" s="928"/>
      <c r="J71" s="935"/>
      <c r="K71" s="72"/>
      <c r="X71" s="43">
        <v>0</v>
      </c>
    </row>
    <row r="72" s="43" customFormat="1" ht="56.25" hidden="1" customHeight="1" spans="1:24">
      <c r="A72" s="926"/>
      <c r="B72" s="44"/>
      <c r="D72" s="936" t="s">
        <v>92</v>
      </c>
      <c r="E72" s="945" t="s">
        <v>915</v>
      </c>
      <c r="F72" s="947" t="s">
        <v>552</v>
      </c>
      <c r="G72" s="944"/>
      <c r="H72" s="938"/>
      <c r="I72" s="944"/>
      <c r="J72" s="938"/>
      <c r="K72" s="72"/>
      <c r="X72" s="43">
        <v>0</v>
      </c>
    </row>
    <row r="73" s="43" customFormat="1" ht="33.75" hidden="1" customHeight="1" spans="1:24">
      <c r="A73" s="926"/>
      <c r="B73" s="44"/>
      <c r="D73" s="936" t="s">
        <v>109</v>
      </c>
      <c r="E73" s="945" t="s">
        <v>916</v>
      </c>
      <c r="F73" s="948" t="s">
        <v>832</v>
      </c>
      <c r="G73" s="417"/>
      <c r="H73" s="938"/>
      <c r="I73" s="417"/>
      <c r="J73" s="938"/>
      <c r="K73" s="83"/>
      <c r="X73" s="43">
        <v>0</v>
      </c>
    </row>
    <row r="74" s="43" customFormat="1" ht="22.5" hidden="1" customHeight="1" spans="1:24">
      <c r="A74" s="926"/>
      <c r="B74" s="44" t="s">
        <v>574</v>
      </c>
      <c r="D74" s="936" t="s">
        <v>93</v>
      </c>
      <c r="E74" s="945" t="s">
        <v>917</v>
      </c>
      <c r="F74" s="948" t="s">
        <v>302</v>
      </c>
      <c r="G74" s="578"/>
      <c r="H74" s="938"/>
      <c r="I74" s="578"/>
      <c r="J74" s="938"/>
      <c r="K74" s="83" t="s">
        <v>625</v>
      </c>
      <c r="X74" s="43">
        <v>0</v>
      </c>
    </row>
    <row r="75" s="43" customFormat="1" ht="45" hidden="1" customHeight="1" spans="1:24">
      <c r="A75" s="926"/>
      <c r="B75" s="44" t="s">
        <v>574</v>
      </c>
      <c r="D75" s="936" t="s">
        <v>646</v>
      </c>
      <c r="E75" s="942" t="s">
        <v>918</v>
      </c>
      <c r="F75" s="947" t="s">
        <v>302</v>
      </c>
      <c r="G75" s="578"/>
      <c r="H75" s="938"/>
      <c r="I75" s="578"/>
      <c r="J75" s="938"/>
      <c r="K75" s="83" t="s">
        <v>625</v>
      </c>
      <c r="X75" s="43">
        <v>0</v>
      </c>
    </row>
    <row r="76" s="43" customFormat="1" ht="11.55" customHeight="1" spans="1:24">
      <c r="A76" s="297"/>
      <c r="B76" s="44"/>
      <c r="D76" s="789"/>
      <c r="E76" s="709"/>
      <c r="X76" s="43">
        <v>11</v>
      </c>
    </row>
    <row r="77" s="43" customFormat="1" hidden="1" customHeight="1" spans="1:24">
      <c r="A77" s="926" t="s">
        <v>919</v>
      </c>
      <c r="B77" s="44"/>
      <c r="D77" s="936">
        <v>1</v>
      </c>
      <c r="E77" s="945" t="s">
        <v>920</v>
      </c>
      <c r="F77" s="947" t="s">
        <v>822</v>
      </c>
      <c r="G77" s="418"/>
      <c r="H77" s="938"/>
      <c r="I77" s="418"/>
      <c r="J77" s="938"/>
      <c r="K77" s="83" t="s">
        <v>921</v>
      </c>
      <c r="X77" s="43">
        <v>0</v>
      </c>
    </row>
    <row r="78" s="43" customFormat="1" hidden="1" customHeight="1" spans="1:24">
      <c r="A78" s="926"/>
      <c r="B78" s="44"/>
      <c r="D78" s="936" t="s">
        <v>108</v>
      </c>
      <c r="E78" s="945" t="s">
        <v>922</v>
      </c>
      <c r="F78" s="947" t="s">
        <v>822</v>
      </c>
      <c r="G78" s="418"/>
      <c r="H78" s="938"/>
      <c r="I78" s="418"/>
      <c r="J78" s="938"/>
      <c r="K78" s="83" t="s">
        <v>923</v>
      </c>
      <c r="X78" s="43">
        <v>0</v>
      </c>
    </row>
    <row r="79" s="43" customFormat="1" ht="22.5" hidden="1" customHeight="1" spans="1:24">
      <c r="A79" s="926"/>
      <c r="B79" s="44"/>
      <c r="D79" s="936" t="s">
        <v>91</v>
      </c>
      <c r="E79" s="940" t="s">
        <v>924</v>
      </c>
      <c r="F79" s="927" t="s">
        <v>871</v>
      </c>
      <c r="G79" s="418"/>
      <c r="H79" s="938"/>
      <c r="I79" s="418"/>
      <c r="J79" s="938"/>
      <c r="K79" s="83" t="s">
        <v>925</v>
      </c>
      <c r="X79" s="43">
        <v>0</v>
      </c>
    </row>
    <row r="80" s="43" customFormat="1" hidden="1" customHeight="1" spans="1:24">
      <c r="A80" s="926"/>
      <c r="B80" s="44"/>
      <c r="D80" s="936" t="s">
        <v>320</v>
      </c>
      <c r="E80" s="937" t="s">
        <v>926</v>
      </c>
      <c r="F80" s="927" t="s">
        <v>871</v>
      </c>
      <c r="G80" s="418"/>
      <c r="H80" s="938"/>
      <c r="I80" s="418"/>
      <c r="J80" s="938"/>
      <c r="K80" s="83"/>
      <c r="X80" s="43">
        <v>0</v>
      </c>
    </row>
    <row r="81" s="43" customFormat="1" hidden="1" customHeight="1" spans="1:24">
      <c r="A81" s="926"/>
      <c r="B81" s="44"/>
      <c r="D81" s="936" t="s">
        <v>328</v>
      </c>
      <c r="E81" s="937" t="s">
        <v>927</v>
      </c>
      <c r="F81" s="927" t="s">
        <v>871</v>
      </c>
      <c r="G81" s="418"/>
      <c r="H81" s="938"/>
      <c r="I81" s="418"/>
      <c r="J81" s="938"/>
      <c r="K81" s="83"/>
      <c r="X81" s="43">
        <v>0</v>
      </c>
    </row>
    <row r="82" s="43" customFormat="1" hidden="1" customHeight="1" spans="1:24">
      <c r="A82" s="926"/>
      <c r="B82" s="44"/>
      <c r="D82" s="936" t="s">
        <v>330</v>
      </c>
      <c r="E82" s="937" t="s">
        <v>928</v>
      </c>
      <c r="F82" s="927" t="s">
        <v>871</v>
      </c>
      <c r="G82" s="418"/>
      <c r="H82" s="938"/>
      <c r="I82" s="418"/>
      <c r="J82" s="938"/>
      <c r="K82" s="83"/>
      <c r="X82" s="43">
        <v>0</v>
      </c>
    </row>
    <row r="83" s="43" customFormat="1" hidden="1" customHeight="1" spans="1:24">
      <c r="A83" s="926"/>
      <c r="B83" s="44"/>
      <c r="D83" s="936" t="s">
        <v>332</v>
      </c>
      <c r="E83" s="937" t="s">
        <v>929</v>
      </c>
      <c r="F83" s="927" t="s">
        <v>871</v>
      </c>
      <c r="G83" s="418"/>
      <c r="H83" s="938"/>
      <c r="I83" s="418"/>
      <c r="J83" s="938"/>
      <c r="K83" s="83"/>
      <c r="X83" s="43">
        <v>0</v>
      </c>
    </row>
    <row r="84" s="43" customFormat="1" hidden="1" customHeight="1" spans="1:24">
      <c r="A84" s="926"/>
      <c r="B84" s="44"/>
      <c r="D84" s="936" t="s">
        <v>930</v>
      </c>
      <c r="E84" s="937" t="s">
        <v>931</v>
      </c>
      <c r="F84" s="927" t="s">
        <v>871</v>
      </c>
      <c r="G84" s="418"/>
      <c r="H84" s="938"/>
      <c r="I84" s="418"/>
      <c r="J84" s="938"/>
      <c r="K84" s="83"/>
      <c r="X84" s="43">
        <v>0</v>
      </c>
    </row>
    <row r="85" s="43" customFormat="1" hidden="1" customHeight="1" spans="1:24">
      <c r="A85" s="926"/>
      <c r="B85" s="44"/>
      <c r="D85" s="936" t="s">
        <v>932</v>
      </c>
      <c r="E85" s="937" t="s">
        <v>933</v>
      </c>
      <c r="F85" s="927" t="s">
        <v>871</v>
      </c>
      <c r="G85" s="418"/>
      <c r="H85" s="938"/>
      <c r="I85" s="418"/>
      <c r="J85" s="938"/>
      <c r="K85" s="83"/>
      <c r="X85" s="43">
        <v>0</v>
      </c>
    </row>
    <row r="86" s="43" customFormat="1" hidden="1" customHeight="1" spans="1:24">
      <c r="A86" s="926"/>
      <c r="B86" s="44"/>
      <c r="D86" s="936" t="s">
        <v>934</v>
      </c>
      <c r="E86" s="937" t="s">
        <v>935</v>
      </c>
      <c r="F86" s="927" t="s">
        <v>871</v>
      </c>
      <c r="G86" s="418"/>
      <c r="H86" s="938"/>
      <c r="I86" s="418"/>
      <c r="J86" s="938"/>
      <c r="K86" s="83"/>
      <c r="X86" s="43">
        <v>0</v>
      </c>
    </row>
    <row r="87" s="43" customFormat="1" ht="45" hidden="1" customHeight="1" spans="1:24">
      <c r="A87" s="926"/>
      <c r="B87" s="44"/>
      <c r="D87" s="936" t="s">
        <v>92</v>
      </c>
      <c r="E87" s="945" t="s">
        <v>936</v>
      </c>
      <c r="F87" s="927" t="s">
        <v>871</v>
      </c>
      <c r="G87" s="418"/>
      <c r="H87" s="938"/>
      <c r="I87" s="418"/>
      <c r="J87" s="938"/>
      <c r="K87" s="83" t="s">
        <v>937</v>
      </c>
      <c r="X87" s="43">
        <v>0</v>
      </c>
    </row>
    <row r="88" s="43" customFormat="1" hidden="1" customHeight="1" spans="1:24">
      <c r="A88" s="926"/>
      <c r="B88" s="44"/>
      <c r="D88" s="936" t="s">
        <v>754</v>
      </c>
      <c r="E88" s="937" t="s">
        <v>926</v>
      </c>
      <c r="F88" s="927" t="s">
        <v>871</v>
      </c>
      <c r="G88" s="418"/>
      <c r="H88" s="938"/>
      <c r="I88" s="418"/>
      <c r="J88" s="938"/>
      <c r="K88" s="83"/>
      <c r="X88" s="43">
        <v>0</v>
      </c>
    </row>
    <row r="89" s="43" customFormat="1" hidden="1" customHeight="1" spans="1:24">
      <c r="A89" s="926"/>
      <c r="B89" s="44"/>
      <c r="D89" s="936" t="s">
        <v>798</v>
      </c>
      <c r="E89" s="937" t="s">
        <v>927</v>
      </c>
      <c r="F89" s="927" t="s">
        <v>871</v>
      </c>
      <c r="G89" s="418"/>
      <c r="H89" s="938"/>
      <c r="I89" s="418"/>
      <c r="J89" s="938"/>
      <c r="K89" s="83"/>
      <c r="X89" s="43">
        <v>0</v>
      </c>
    </row>
    <row r="90" s="43" customFormat="1" hidden="1" customHeight="1" spans="1:24">
      <c r="A90" s="926"/>
      <c r="B90" s="44"/>
      <c r="D90" s="936" t="s">
        <v>801</v>
      </c>
      <c r="E90" s="937" t="s">
        <v>928</v>
      </c>
      <c r="F90" s="927" t="s">
        <v>871</v>
      </c>
      <c r="G90" s="418"/>
      <c r="H90" s="938"/>
      <c r="I90" s="418"/>
      <c r="J90" s="938"/>
      <c r="K90" s="83"/>
      <c r="X90" s="43">
        <v>0</v>
      </c>
    </row>
    <row r="91" s="43" customFormat="1" hidden="1" customHeight="1" spans="1:24">
      <c r="A91" s="926"/>
      <c r="B91" s="44"/>
      <c r="D91" s="936" t="s">
        <v>889</v>
      </c>
      <c r="E91" s="937" t="s">
        <v>929</v>
      </c>
      <c r="F91" s="927" t="s">
        <v>871</v>
      </c>
      <c r="G91" s="418"/>
      <c r="H91" s="938"/>
      <c r="I91" s="418"/>
      <c r="J91" s="938"/>
      <c r="K91" s="83"/>
      <c r="X91" s="43">
        <v>0</v>
      </c>
    </row>
    <row r="92" s="43" customFormat="1" hidden="1" customHeight="1" spans="1:24">
      <c r="A92" s="926"/>
      <c r="B92" s="44"/>
      <c r="D92" s="936" t="s">
        <v>891</v>
      </c>
      <c r="E92" s="937" t="s">
        <v>931</v>
      </c>
      <c r="F92" s="927" t="s">
        <v>871</v>
      </c>
      <c r="G92" s="418"/>
      <c r="H92" s="938"/>
      <c r="I92" s="418"/>
      <c r="J92" s="938"/>
      <c r="K92" s="83"/>
      <c r="X92" s="43">
        <v>0</v>
      </c>
    </row>
    <row r="93" s="43" customFormat="1" hidden="1" customHeight="1" spans="1:24">
      <c r="A93" s="926"/>
      <c r="B93" s="44"/>
      <c r="D93" s="936" t="s">
        <v>938</v>
      </c>
      <c r="E93" s="937" t="s">
        <v>933</v>
      </c>
      <c r="F93" s="927" t="s">
        <v>871</v>
      </c>
      <c r="G93" s="418"/>
      <c r="H93" s="938"/>
      <c r="I93" s="418"/>
      <c r="J93" s="938"/>
      <c r="K93" s="83"/>
      <c r="X93" s="43">
        <v>0</v>
      </c>
    </row>
    <row r="94" s="43" customFormat="1" hidden="1" customHeight="1" spans="1:24">
      <c r="A94" s="926"/>
      <c r="B94" s="44"/>
      <c r="D94" s="936" t="s">
        <v>939</v>
      </c>
      <c r="E94" s="937" t="s">
        <v>935</v>
      </c>
      <c r="F94" s="927" t="s">
        <v>871</v>
      </c>
      <c r="G94" s="418"/>
      <c r="H94" s="938"/>
      <c r="I94" s="418"/>
      <c r="J94" s="938"/>
      <c r="K94" s="83"/>
      <c r="X94" s="43">
        <v>0</v>
      </c>
    </row>
    <row r="95" s="43" customFormat="1" ht="24.75" hidden="1" customHeight="1" spans="1:24">
      <c r="A95" s="926"/>
      <c r="B95" s="44"/>
      <c r="D95" s="936" t="s">
        <v>109</v>
      </c>
      <c r="E95" s="945" t="s">
        <v>940</v>
      </c>
      <c r="F95" s="955" t="s">
        <v>552</v>
      </c>
      <c r="G95" s="954"/>
      <c r="H95" s="938"/>
      <c r="I95" s="954"/>
      <c r="J95" s="938"/>
      <c r="K95" s="83" t="s">
        <v>941</v>
      </c>
      <c r="X95" s="43">
        <v>0</v>
      </c>
    </row>
    <row r="96" s="43" customFormat="1" ht="33.75" hidden="1" customHeight="1" spans="1:24">
      <c r="A96" s="926"/>
      <c r="B96" s="44"/>
      <c r="D96" s="936" t="s">
        <v>93</v>
      </c>
      <c r="E96" s="945" t="s">
        <v>942</v>
      </c>
      <c r="F96" s="948" t="s">
        <v>832</v>
      </c>
      <c r="G96" s="956"/>
      <c r="H96" s="938"/>
      <c r="I96" s="956"/>
      <c r="J96" s="938"/>
      <c r="K96" s="83"/>
      <c r="X96" s="43">
        <v>0</v>
      </c>
    </row>
    <row r="97" s="43" customFormat="1" ht="22.5" hidden="1" customHeight="1" spans="1:24">
      <c r="A97" s="926"/>
      <c r="B97" s="44" t="s">
        <v>574</v>
      </c>
      <c r="D97" s="936" t="s">
        <v>94</v>
      </c>
      <c r="E97" s="945" t="s">
        <v>943</v>
      </c>
      <c r="F97" s="948" t="s">
        <v>302</v>
      </c>
      <c r="G97" s="823"/>
      <c r="H97" s="938"/>
      <c r="I97" s="823"/>
      <c r="J97" s="938"/>
      <c r="K97" s="83" t="s">
        <v>625</v>
      </c>
      <c r="X97" s="43">
        <v>0</v>
      </c>
    </row>
    <row r="98" s="43" customFormat="1" ht="45" hidden="1" customHeight="1" spans="1:24">
      <c r="A98" s="926"/>
      <c r="B98" s="44" t="s">
        <v>574</v>
      </c>
      <c r="D98" s="936" t="s">
        <v>810</v>
      </c>
      <c r="E98" s="942" t="s">
        <v>944</v>
      </c>
      <c r="F98" s="947" t="s">
        <v>302</v>
      </c>
      <c r="G98" s="823"/>
      <c r="H98" s="938"/>
      <c r="I98" s="823"/>
      <c r="J98" s="938"/>
      <c r="K98" s="83" t="s">
        <v>625</v>
      </c>
      <c r="X98" s="43">
        <v>0</v>
      </c>
    </row>
    <row r="99" s="43" customFormat="1" ht="95.25" hidden="1" customHeight="1" spans="1:24">
      <c r="A99" s="926"/>
      <c r="B99" s="44" t="s">
        <v>574</v>
      </c>
      <c r="D99" s="936" t="s">
        <v>110</v>
      </c>
      <c r="E99" s="945" t="s">
        <v>945</v>
      </c>
      <c r="F99" s="947" t="s">
        <v>302</v>
      </c>
      <c r="G99" s="823"/>
      <c r="H99" s="938"/>
      <c r="I99" s="823"/>
      <c r="J99" s="938"/>
      <c r="K99" s="83" t="s">
        <v>625</v>
      </c>
      <c r="X99" s="43">
        <v>0</v>
      </c>
    </row>
    <row r="100" s="43" customFormat="1" ht="22.5" hidden="1" customHeight="1" spans="1:24">
      <c r="A100" s="926"/>
      <c r="B100" s="44" t="s">
        <v>574</v>
      </c>
      <c r="D100" s="936" t="s">
        <v>146</v>
      </c>
      <c r="E100" s="945" t="s">
        <v>946</v>
      </c>
      <c r="F100" s="947" t="s">
        <v>302</v>
      </c>
      <c r="G100" s="823"/>
      <c r="H100" s="938"/>
      <c r="I100" s="823"/>
      <c r="J100" s="938"/>
      <c r="K100" s="83" t="s">
        <v>625</v>
      </c>
      <c r="X100" s="43">
        <v>0</v>
      </c>
    </row>
    <row r="101" s="43" customFormat="1" ht="11.55" customHeight="1" spans="1:24">
      <c r="A101" s="297"/>
      <c r="B101" s="44"/>
      <c r="D101" s="789"/>
      <c r="E101" s="709"/>
      <c r="X101" s="43">
        <v>11</v>
      </c>
    </row>
    <row r="102" ht="22.5" hidden="1" customHeight="1" spans="1:24">
      <c r="A102" s="297" t="s">
        <v>83</v>
      </c>
      <c r="B102" s="44">
        <v>0</v>
      </c>
      <c r="C102" s="43">
        <v>3</v>
      </c>
      <c r="D102" s="43">
        <v>7</v>
      </c>
      <c r="E102" s="43">
        <v>69</v>
      </c>
      <c r="F102" s="43">
        <v>10</v>
      </c>
      <c r="G102" s="43">
        <v>0</v>
      </c>
      <c r="H102" s="43">
        <v>0</v>
      </c>
      <c r="I102" s="43">
        <v>43</v>
      </c>
      <c r="J102" s="43">
        <v>43</v>
      </c>
      <c r="K102" s="43">
        <v>73</v>
      </c>
      <c r="L102" s="43">
        <v>3</v>
      </c>
      <c r="M102" s="43">
        <v>10</v>
      </c>
      <c r="N102" s="43">
        <v>10</v>
      </c>
      <c r="O102" s="43">
        <v>10</v>
      </c>
      <c r="P102" s="43">
        <v>10</v>
      </c>
      <c r="Q102" s="43">
        <v>10</v>
      </c>
      <c r="R102" s="43">
        <v>10</v>
      </c>
      <c r="S102" s="43">
        <v>10</v>
      </c>
      <c r="T102" s="43">
        <v>10</v>
      </c>
      <c r="U102" s="43">
        <v>10</v>
      </c>
      <c r="V102" s="43">
        <v>10</v>
      </c>
      <c r="W102" s="43">
        <v>10</v>
      </c>
      <c r="X102" s="43">
        <v>23</v>
      </c>
    </row>
  </sheetData>
  <sheetProtection formatColumns="0" formatRows="0" insertRows="0" deleteColumns="0" deleteRows="0" sort="0" autoFilter="0"/>
  <mergeCells count="18">
    <mergeCell ref="D3:F3"/>
    <mergeCell ref="D4:F4"/>
    <mergeCell ref="E7:F7"/>
    <mergeCell ref="G7:H7"/>
    <mergeCell ref="I7:J7"/>
    <mergeCell ref="E8:F8"/>
    <mergeCell ref="G8:H8"/>
    <mergeCell ref="I8:J8"/>
    <mergeCell ref="E9:F9"/>
    <mergeCell ref="G9:H9"/>
    <mergeCell ref="I9:J9"/>
    <mergeCell ref="D10:J10"/>
    <mergeCell ref="A11:B11"/>
    <mergeCell ref="A13:A35"/>
    <mergeCell ref="A37:A63"/>
    <mergeCell ref="A65:A75"/>
    <mergeCell ref="A77:A100"/>
    <mergeCell ref="K7:K11"/>
  </mergeCells>
  <dataValidations count="6">
    <dataValidation type="decimal" operator="between" allowBlank="1" showErrorMessage="1" errorTitle="Ошибка" error="Допускается ввод только неотрицательных чисел!" sqref="G18 I18 G24 I24 G32 I32 G37 I37 G61 I61 G65 I65 G71 I71 G73 I73 G96 I96 G13:G14 G21:G22 G26:G27 G29:G30 G39:G40 G44:G59 G67:G68 G77:G94 I13:I14 I21:I22 I26:I27 I29:I30 I39:I40 I44:I59 I67:I68 I77:I94">
      <formula1>0</formula1>
      <formula2>9.99999999999999E+23</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9 J19 G62:G63 G74:G75 G97:G100 H13:H14 H31:H32 I62:I63 I74:I75 I97:I100 J13:J14 J31:J32">
      <formula1>900</formula1>
    </dataValidation>
    <dataValidation type="textLength" operator="lessThanOrEqual" allowBlank="1" showInputMessage="1" showErrorMessage="1" errorTitle="Ошибка" error="Допускается ввод не более 900 символов!" sqref="H24 J24 H15:H18 H21:H22 H26:H27 H29:H30 J15:J18 J21:J22 J26:J27 J29:J30">
      <formula1>900</formula1>
    </dataValidation>
    <dataValidation type="decimal" operator="between" allowBlank="1" showErrorMessage="1" errorTitle="Ошибка" error="Введите значение от 0 до 100%" sqref="G31 I31 G60 I60 G72 I72 G95 I95 G42:G43 G69:G70 I42:I43 I69:I70">
      <formula1>0</formula1>
      <formula2>100</formula2>
    </dataValidation>
    <dataValidation type="whole" operator="between" allowBlank="1" showErrorMessage="1" errorTitle="Ошибка" error="Допускается ввод только неотрицательных целых чисел!" sqref="G16:G17 I16:I17">
      <formula1>0</formula1>
      <formula2>9.99999999999999E+23</formula2>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AM17"/>
  <sheetViews>
    <sheetView showGridLines="0" zoomScale="90" zoomScaleNormal="90" workbookViewId="0">
      <pane xSplit="4" ySplit="12" topLeftCell="E13" activePane="bottomRight" state="frozen"/>
      <selection/>
      <selection pane="topRight"/>
      <selection pane="bottomLeft"/>
      <selection pane="bottomRight" activeCell="A1" sqref="A1"/>
    </sheetView>
  </sheetViews>
  <sheetFormatPr defaultColWidth="9.14285714285714" defaultRowHeight="11.25" customHeight="1"/>
  <cols>
    <col min="1" max="1" width="6.41904761904762" style="36" hidden="1" customWidth="1"/>
    <col min="2" max="2" width="2" style="36" hidden="1" customWidth="1"/>
    <col min="3" max="3" width="3" style="36" customWidth="1"/>
    <col min="4" max="4" width="4" style="36" customWidth="1"/>
    <col min="5" max="5" width="44" style="36" customWidth="1"/>
    <col min="6" max="6" width="6.41904761904762" style="36" customWidth="1"/>
    <col min="7" max="7" width="4" style="36" customWidth="1"/>
    <col min="8" max="8" width="5" style="36" customWidth="1"/>
    <col min="9" max="9" width="52" style="36" customWidth="1"/>
    <col min="10" max="10" width="7" style="36" customWidth="1"/>
    <col min="11" max="11" width="3" style="36" customWidth="1"/>
    <col min="12" max="12" width="6" style="36" customWidth="1"/>
    <col min="13" max="13" width="56" style="36" customWidth="1"/>
    <col min="14" max="14" width="8" style="45" customWidth="1"/>
    <col min="15" max="20" width="9.14285714285714" style="151" hidden="1"/>
    <col min="21" max="24" width="9.14285714285714" style="503" hidden="1"/>
    <col min="25" max="37" width="9.14285714285714" style="45" hidden="1"/>
    <col min="38" max="38" width="8" style="45" customWidth="1"/>
    <col min="39" max="39" width="9.14285714285714" style="36" hidden="1"/>
  </cols>
  <sheetData>
    <row r="1" hidden="1" customHeight="1" spans="39:39">
      <c r="AM1" s="36" t="s">
        <v>14</v>
      </c>
    </row>
    <row r="2" hidden="1" customHeight="1" spans="39:39">
      <c r="AM2" s="36">
        <v>0</v>
      </c>
    </row>
    <row r="3" ht="11.55" customHeight="1" spans="39:39">
      <c r="AM3" s="36">
        <v>11</v>
      </c>
    </row>
    <row r="4" ht="35.7" customHeight="1" spans="1:39">
      <c r="A4" s="503"/>
      <c r="B4" s="503"/>
      <c r="D4" s="657" t="str">
        <f>Титульный!E5</f>
        <v>Информация об инвестиционных программах регулируемой организации в области теплоснабжения</v>
      </c>
      <c r="E4" s="658"/>
      <c r="F4" s="658"/>
      <c r="G4" s="658"/>
      <c r="H4" s="658"/>
      <c r="I4" s="659"/>
      <c r="J4" s="45"/>
      <c r="K4" s="45"/>
      <c r="L4" s="45"/>
      <c r="M4" s="45"/>
      <c r="AM4" s="36">
        <v>34</v>
      </c>
    </row>
    <row r="5" s="1267" customFormat="1" ht="14.7" customHeight="1" spans="1:39">
      <c r="A5" s="503"/>
      <c r="B5" s="503"/>
      <c r="C5" s="503"/>
      <c r="D5" s="1289" t="str">
        <f>IF(org=0,"Не определено",org)</f>
        <v>АО "Теплокоммунэнерго"</v>
      </c>
      <c r="E5" s="1290"/>
      <c r="F5" s="1290"/>
      <c r="G5" s="1290"/>
      <c r="H5" s="1290"/>
      <c r="I5" s="1309"/>
      <c r="J5" s="1282"/>
      <c r="K5" s="1282"/>
      <c r="L5" s="1282"/>
      <c r="M5" s="1282"/>
      <c r="N5" s="1282"/>
      <c r="O5" s="1269"/>
      <c r="P5" s="1269"/>
      <c r="Q5" s="1269"/>
      <c r="R5" s="1269"/>
      <c r="S5" s="1269"/>
      <c r="T5" s="1269"/>
      <c r="U5" s="1285"/>
      <c r="V5" s="1285"/>
      <c r="W5" s="1285"/>
      <c r="X5" s="1285"/>
      <c r="Y5" s="1282"/>
      <c r="Z5" s="1282"/>
      <c r="AA5" s="1282"/>
      <c r="AB5" s="1282"/>
      <c r="AC5" s="1282"/>
      <c r="AD5" s="1282"/>
      <c r="AE5" s="1282"/>
      <c r="AF5" s="1282"/>
      <c r="AG5" s="1282"/>
      <c r="AH5" s="1282"/>
      <c r="AI5" s="1282"/>
      <c r="AJ5" s="1282"/>
      <c r="AK5" s="1282"/>
      <c r="AL5" s="1282"/>
      <c r="AM5" s="1267">
        <v>14</v>
      </c>
    </row>
    <row r="6" s="1267" customFormat="1" ht="6.3" customHeight="1" spans="1:39">
      <c r="A6" s="86"/>
      <c r="B6" s="86"/>
      <c r="C6" s="86"/>
      <c r="D6" s="86"/>
      <c r="E6" s="86"/>
      <c r="F6" s="86"/>
      <c r="G6" s="43"/>
      <c r="H6" s="43"/>
      <c r="I6" s="43"/>
      <c r="J6" s="43"/>
      <c r="K6" s="43"/>
      <c r="N6" s="1282"/>
      <c r="O6" s="1269"/>
      <c r="P6" s="1269"/>
      <c r="Q6" s="1269"/>
      <c r="R6" s="1269"/>
      <c r="S6" s="1269"/>
      <c r="T6" s="1269"/>
      <c r="U6" s="1285"/>
      <c r="V6" s="1285"/>
      <c r="W6" s="1285"/>
      <c r="X6" s="1285"/>
      <c r="Y6" s="1282"/>
      <c r="Z6" s="1282"/>
      <c r="AA6" s="1282"/>
      <c r="AB6" s="1282"/>
      <c r="AC6" s="1282"/>
      <c r="AD6" s="1282"/>
      <c r="AE6" s="1282"/>
      <c r="AF6" s="1282"/>
      <c r="AG6" s="1282"/>
      <c r="AH6" s="1282"/>
      <c r="AI6" s="1282"/>
      <c r="AJ6" s="1282"/>
      <c r="AK6" s="1282"/>
      <c r="AL6" s="1282"/>
      <c r="AM6" s="1267">
        <v>6</v>
      </c>
    </row>
    <row r="7" ht="45.75" hidden="1" customHeight="1" spans="5:39">
      <c r="E7" s="129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292"/>
      <c r="G7" s="1292"/>
      <c r="H7" s="1292"/>
      <c r="I7" s="1292"/>
      <c r="J7" s="1292"/>
      <c r="K7" s="1292"/>
      <c r="L7" s="1292"/>
      <c r="M7" s="1292"/>
      <c r="AM7" s="36">
        <v>0</v>
      </c>
    </row>
    <row r="8" s="1267" customFormat="1" ht="6.3" customHeight="1" spans="1:39">
      <c r="A8" s="1273"/>
      <c r="B8" s="1273"/>
      <c r="C8" s="1273"/>
      <c r="D8" s="1273"/>
      <c r="E8" s="1273"/>
      <c r="F8" s="1273"/>
      <c r="G8" s="1273"/>
      <c r="H8" s="1273"/>
      <c r="I8" s="1273"/>
      <c r="J8" s="1273"/>
      <c r="K8" s="1273"/>
      <c r="L8" s="1273"/>
      <c r="N8" s="1282"/>
      <c r="O8" s="1269"/>
      <c r="P8" s="1269"/>
      <c r="Q8" s="1269"/>
      <c r="R8" s="1269"/>
      <c r="S8" s="1269"/>
      <c r="T8" s="1269"/>
      <c r="U8" s="1285"/>
      <c r="V8" s="1285"/>
      <c r="W8" s="1285"/>
      <c r="X8" s="1285"/>
      <c r="Y8" s="1282"/>
      <c r="Z8" s="1282"/>
      <c r="AA8" s="1282"/>
      <c r="AB8" s="1282"/>
      <c r="AC8" s="1282"/>
      <c r="AD8" s="1282"/>
      <c r="AE8" s="1282"/>
      <c r="AF8" s="1282"/>
      <c r="AG8" s="1282"/>
      <c r="AH8" s="1282"/>
      <c r="AI8" s="1282"/>
      <c r="AJ8" s="1282"/>
      <c r="AK8" s="1282"/>
      <c r="AL8" s="1282"/>
      <c r="AM8" s="1267">
        <v>6</v>
      </c>
    </row>
    <row r="9" ht="18.75" customHeight="1" spans="1:39">
      <c r="A9" s="1293"/>
      <c r="B9" s="43"/>
      <c r="C9" s="43"/>
      <c r="D9" s="64" t="s">
        <v>103</v>
      </c>
      <c r="E9" s="64"/>
      <c r="F9" s="1294" t="s">
        <v>104</v>
      </c>
      <c r="G9" s="1295"/>
      <c r="H9" s="1295"/>
      <c r="I9" s="1295"/>
      <c r="J9" s="1310" t="s">
        <v>105</v>
      </c>
      <c r="K9" s="1310"/>
      <c r="L9" s="1310"/>
      <c r="M9" s="1310"/>
      <c r="AM9" s="36">
        <v>18</v>
      </c>
    </row>
    <row r="10" ht="24" customHeight="1" spans="1:39">
      <c r="A10" s="1293"/>
      <c r="B10" s="86"/>
      <c r="C10" s="1296"/>
      <c r="D10" s="64" t="s">
        <v>89</v>
      </c>
      <c r="E10" s="64" t="s">
        <v>90</v>
      </c>
      <c r="F10" s="64" t="s">
        <v>106</v>
      </c>
      <c r="G10" s="1297" t="s">
        <v>89</v>
      </c>
      <c r="H10" s="1298"/>
      <c r="I10" s="64" t="s">
        <v>90</v>
      </c>
      <c r="J10" s="64" t="s">
        <v>106</v>
      </c>
      <c r="K10" s="1297" t="s">
        <v>89</v>
      </c>
      <c r="L10" s="1298"/>
      <c r="M10" s="64" t="s">
        <v>90</v>
      </c>
      <c r="N10" s="280"/>
      <c r="AM10" s="36">
        <v>23</v>
      </c>
    </row>
    <row r="11" s="36" customFormat="1" hidden="1" customHeight="1" spans="1:39">
      <c r="A11" s="763"/>
      <c r="B11" s="763"/>
      <c r="C11" s="763"/>
      <c r="D11" s="1299" t="s">
        <v>107</v>
      </c>
      <c r="E11" s="1299" t="s">
        <v>108</v>
      </c>
      <c r="F11" s="1299" t="s">
        <v>91</v>
      </c>
      <c r="G11" s="1300" t="s">
        <v>92</v>
      </c>
      <c r="H11" s="1301"/>
      <c r="I11" s="1299" t="s">
        <v>109</v>
      </c>
      <c r="J11" s="1299" t="s">
        <v>93</v>
      </c>
      <c r="K11" s="1311" t="s">
        <v>94</v>
      </c>
      <c r="L11" s="1312"/>
      <c r="M11" s="1299" t="s">
        <v>110</v>
      </c>
      <c r="N11" s="280"/>
      <c r="O11" s="151"/>
      <c r="P11" s="151"/>
      <c r="Q11" s="151"/>
      <c r="R11" s="151"/>
      <c r="S11" s="151"/>
      <c r="T11" s="151"/>
      <c r="U11" s="503"/>
      <c r="V11" s="503"/>
      <c r="W11" s="503"/>
      <c r="X11" s="503"/>
      <c r="Y11" s="45"/>
      <c r="Z11" s="45"/>
      <c r="AA11" s="45"/>
      <c r="AB11" s="45"/>
      <c r="AC11" s="45"/>
      <c r="AD11" s="45"/>
      <c r="AE11" s="45"/>
      <c r="AF11" s="45"/>
      <c r="AG11" s="45"/>
      <c r="AH11" s="45"/>
      <c r="AI11" s="45"/>
      <c r="AJ11" s="45"/>
      <c r="AK11" s="45"/>
      <c r="AL11" s="45"/>
      <c r="AM11" s="36">
        <v>0</v>
      </c>
    </row>
    <row r="12" ht="1.05" customHeight="1" spans="1:39">
      <c r="A12" s="611"/>
      <c r="B12" s="86"/>
      <c r="C12" s="86"/>
      <c r="D12" s="1302"/>
      <c r="E12" s="107"/>
      <c r="F12" s="107"/>
      <c r="G12" s="1303"/>
      <c r="H12" s="1303"/>
      <c r="I12" s="107"/>
      <c r="J12" s="107"/>
      <c r="K12" s="1313"/>
      <c r="L12" s="107"/>
      <c r="M12" s="1314"/>
      <c r="N12" s="280"/>
      <c r="O12" s="151" t="s">
        <v>111</v>
      </c>
      <c r="P12" s="151" t="s">
        <v>112</v>
      </c>
      <c r="Q12" s="151" t="s">
        <v>113</v>
      </c>
      <c r="R12" s="151" t="s">
        <v>114</v>
      </c>
      <c r="AM12" s="36">
        <v>1</v>
      </c>
    </row>
    <row r="13" s="36" customFormat="1" ht="15.75" customHeight="1" spans="1:39">
      <c r="A13"/>
      <c r="B13"/>
      <c r="C13" s="217"/>
      <c r="D13" s="232" t="s">
        <v>107</v>
      </c>
      <c r="E13" s="233"/>
      <c r="F13" s="480" t="s">
        <v>66</v>
      </c>
      <c r="G13" s="1304"/>
      <c r="H13" s="1305">
        <v>1</v>
      </c>
      <c r="I13" s="1315" t="str">
        <f>IF(U13="","",INDEX(TERRITORY_MR_LIST,MATCH(U13,TERRITORY_LIST_ID,0)))</f>
        <v/>
      </c>
      <c r="J13" s="140" t="s">
        <v>19</v>
      </c>
      <c r="K13" s="323"/>
      <c r="L13" s="232" t="s">
        <v>107</v>
      </c>
      <c r="M13" s="273" t="s">
        <v>22</v>
      </c>
      <c r="N13" s="280"/>
      <c r="O13" s="151" t="s">
        <v>115</v>
      </c>
      <c r="P13" s="151">
        <f>$E$13</f>
        <v>0</v>
      </c>
      <c r="Q13" s="151" t="str">
        <f>IF($F$13="нет","без дифференциации",$I$13)</f>
        <v/>
      </c>
      <c r="R13" s="151" t="str">
        <f>IF($J$13="нет","без дифференциации",M13)</f>
        <v>без дифференциации</v>
      </c>
      <c r="S13" s="151"/>
      <c r="T13" s="151"/>
      <c r="U13" s="503"/>
      <c r="V13" s="503"/>
      <c r="W13" s="503"/>
      <c r="X13" s="503"/>
      <c r="Y13" s="45" t="s">
        <v>116</v>
      </c>
      <c r="Z13" s="45">
        <v>1705000</v>
      </c>
      <c r="AA13" s="45"/>
      <c r="AB13" s="45"/>
      <c r="AC13" s="45"/>
      <c r="AD13" s="45"/>
      <c r="AE13" s="45"/>
      <c r="AF13" s="45"/>
      <c r="AG13" s="45"/>
      <c r="AH13" s="45"/>
      <c r="AI13" s="45"/>
      <c r="AJ13" s="45"/>
      <c r="AK13" s="45"/>
      <c r="AL13" s="45"/>
      <c r="AM13" s="36">
        <v>15</v>
      </c>
    </row>
    <row r="14" s="36" customFormat="1" ht="15.75" customHeight="1" spans="1:39">
      <c r="A14"/>
      <c r="B14"/>
      <c r="C14" s="235"/>
      <c r="D14" s="232"/>
      <c r="E14" s="236"/>
      <c r="F14" s="140"/>
      <c r="G14" s="1304"/>
      <c r="H14" s="1305"/>
      <c r="I14" s="1316"/>
      <c r="J14" s="140"/>
      <c r="K14" s="225"/>
      <c r="L14" s="226"/>
      <c r="M14" s="275" t="s">
        <v>117</v>
      </c>
      <c r="N14" s="280"/>
      <c r="O14" s="151"/>
      <c r="P14" s="151"/>
      <c r="Q14" s="151"/>
      <c r="R14" s="151"/>
      <c r="S14" s="151"/>
      <c r="T14" s="151"/>
      <c r="U14" s="503"/>
      <c r="V14" s="503"/>
      <c r="W14" s="503"/>
      <c r="X14" s="503"/>
      <c r="Y14" s="45"/>
      <c r="Z14" s="45"/>
      <c r="AA14" s="45"/>
      <c r="AB14" s="45"/>
      <c r="AC14" s="45"/>
      <c r="AD14" s="45"/>
      <c r="AE14" s="45"/>
      <c r="AF14" s="45"/>
      <c r="AG14" s="45"/>
      <c r="AH14" s="45"/>
      <c r="AI14" s="45"/>
      <c r="AJ14" s="45"/>
      <c r="AK14" s="45"/>
      <c r="AL14" s="45"/>
      <c r="AM14" s="36">
        <v>15</v>
      </c>
    </row>
    <row r="15" s="36" customFormat="1" ht="15.75" customHeight="1" spans="1:39">
      <c r="A15"/>
      <c r="B15"/>
      <c r="C15" s="235"/>
      <c r="D15" s="232"/>
      <c r="E15" s="238"/>
      <c r="F15" s="140"/>
      <c r="G15" s="1306"/>
      <c r="H15" s="1307"/>
      <c r="I15" s="227" t="s">
        <v>118</v>
      </c>
      <c r="J15" s="226"/>
      <c r="K15" s="226"/>
      <c r="L15" s="226"/>
      <c r="M15" s="276"/>
      <c r="N15" s="280"/>
      <c r="O15" s="151"/>
      <c r="P15" s="151"/>
      <c r="Q15" s="151"/>
      <c r="R15" s="151"/>
      <c r="S15" s="151"/>
      <c r="T15" s="151"/>
      <c r="U15" s="503"/>
      <c r="V15" s="503"/>
      <c r="W15" s="503"/>
      <c r="X15" s="503"/>
      <c r="Y15" s="45"/>
      <c r="Z15" s="45"/>
      <c r="AA15" s="45"/>
      <c r="AB15" s="45"/>
      <c r="AC15" s="45"/>
      <c r="AD15" s="45"/>
      <c r="AE15" s="45"/>
      <c r="AF15" s="45"/>
      <c r="AG15" s="45"/>
      <c r="AH15" s="45"/>
      <c r="AI15" s="45"/>
      <c r="AJ15" s="45"/>
      <c r="AK15" s="45"/>
      <c r="AL15" s="45"/>
      <c r="AM15" s="36">
        <v>15</v>
      </c>
    </row>
    <row r="16" ht="15.75" customHeight="1" spans="1:39">
      <c r="A16" s="1308"/>
      <c r="B16" s="40"/>
      <c r="C16" s="522"/>
      <c r="D16" s="225"/>
      <c r="E16" s="780" t="s">
        <v>119</v>
      </c>
      <c r="F16" s="226"/>
      <c r="G16" s="226"/>
      <c r="H16" s="226"/>
      <c r="I16" s="226"/>
      <c r="J16" s="226"/>
      <c r="K16" s="226" t="s">
        <v>22</v>
      </c>
      <c r="L16" s="226"/>
      <c r="M16" s="276"/>
      <c r="N16" s="280"/>
      <c r="AM16" s="36">
        <v>15</v>
      </c>
    </row>
    <row r="17" hidden="1" customHeight="1" spans="1:39">
      <c r="A17" s="36" t="s">
        <v>83</v>
      </c>
      <c r="B17" s="36">
        <v>0</v>
      </c>
      <c r="C17" s="36">
        <v>3</v>
      </c>
      <c r="D17" s="36">
        <v>4</v>
      </c>
      <c r="E17" s="36">
        <v>44</v>
      </c>
      <c r="F17" s="36">
        <v>6</v>
      </c>
      <c r="G17" s="36">
        <v>4</v>
      </c>
      <c r="H17" s="36">
        <v>5</v>
      </c>
      <c r="I17" s="36">
        <v>52</v>
      </c>
      <c r="J17" s="36">
        <v>6</v>
      </c>
      <c r="K17" s="36">
        <v>3</v>
      </c>
      <c r="L17" s="36">
        <v>6</v>
      </c>
      <c r="M17" s="36">
        <v>56</v>
      </c>
      <c r="N17" s="45">
        <v>8</v>
      </c>
      <c r="O17" s="151">
        <v>0</v>
      </c>
      <c r="P17" s="151">
        <v>0</v>
      </c>
      <c r="Q17" s="151">
        <v>0</v>
      </c>
      <c r="R17" s="151">
        <v>0</v>
      </c>
      <c r="S17" s="151">
        <v>0</v>
      </c>
      <c r="T17" s="151">
        <v>0</v>
      </c>
      <c r="U17" s="503">
        <v>0</v>
      </c>
      <c r="V17" s="503">
        <v>0</v>
      </c>
      <c r="W17" s="503">
        <v>0</v>
      </c>
      <c r="X17" s="503">
        <v>0</v>
      </c>
      <c r="Y17" s="45">
        <v>0</v>
      </c>
      <c r="Z17" s="45">
        <v>0</v>
      </c>
      <c r="AA17" s="45">
        <v>0</v>
      </c>
      <c r="AB17" s="45">
        <v>0</v>
      </c>
      <c r="AC17" s="45">
        <v>0</v>
      </c>
      <c r="AD17" s="45">
        <v>0</v>
      </c>
      <c r="AE17" s="45">
        <v>0</v>
      </c>
      <c r="AF17" s="45">
        <v>0</v>
      </c>
      <c r="AG17" s="45">
        <v>0</v>
      </c>
      <c r="AH17" s="45">
        <v>0</v>
      </c>
      <c r="AI17" s="45">
        <v>0</v>
      </c>
      <c r="AJ17" s="45">
        <v>0</v>
      </c>
      <c r="AK17" s="45">
        <v>0</v>
      </c>
      <c r="AL17" s="45">
        <v>8</v>
      </c>
      <c r="AM17" s="36">
        <v>11</v>
      </c>
    </row>
  </sheetData>
  <sheetProtection formatColumns="0" formatRows="0" insertRows="0" deleteColumns="0" deleteRows="0" sort="0" autoFilter="0"/>
  <mergeCells count="19">
    <mergeCell ref="D4:I4"/>
    <mergeCell ref="D5:I5"/>
    <mergeCell ref="A6:F6"/>
    <mergeCell ref="E7:M7"/>
    <mergeCell ref="D9:E9"/>
    <mergeCell ref="F9:I9"/>
    <mergeCell ref="J9:M9"/>
    <mergeCell ref="G10:H10"/>
    <mergeCell ref="K10:L10"/>
    <mergeCell ref="G11:H11"/>
    <mergeCell ref="K11:L11"/>
    <mergeCell ref="A9:A10"/>
    <mergeCell ref="D13:D15"/>
    <mergeCell ref="E13:E15"/>
    <mergeCell ref="F13:F15"/>
    <mergeCell ref="G13:G14"/>
    <mergeCell ref="H13:H14"/>
    <mergeCell ref="I13:I14"/>
    <mergeCell ref="J13:J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E26B0A"/>
  </sheetPr>
  <dimension ref="A1:V40"/>
  <sheetViews>
    <sheetView showGridLines="0" zoomScale="90" zoomScaleNormal="90" workbookViewId="0">
      <pane xSplit="8" ySplit="31" topLeftCell="I32" activePane="bottomRight" state="frozen"/>
      <selection/>
      <selection pane="topRight"/>
      <selection pane="bottomLeft"/>
      <selection pane="bottomRight" activeCell="A1" sqref="A1"/>
    </sheetView>
  </sheetViews>
  <sheetFormatPr defaultColWidth="10.5714285714286" defaultRowHeight="15" customHeight="1"/>
  <cols>
    <col min="1" max="1" width="9.14285714285714" style="575" hidden="1" customWidth="1"/>
    <col min="2" max="2" width="9.14285714285714" style="43" hidden="1" customWidth="1"/>
    <col min="3" max="3" width="4" style="235" customWidth="1"/>
    <col min="4" max="4" width="6" style="43" customWidth="1"/>
    <col min="5" max="5" width="36" style="43" customWidth="1"/>
    <col min="6" max="6" width="9" style="43" customWidth="1"/>
    <col min="7" max="7" width="25.7142857142857" style="43" hidden="1" customWidth="1"/>
    <col min="8" max="8" width="33.7142857142857" style="43" hidden="1" customWidth="1"/>
    <col min="9" max="9" width="25.7142857142857" style="43" customWidth="1"/>
    <col min="10" max="10" width="33" style="43" customWidth="1"/>
    <col min="11" max="11" width="93" style="38" customWidth="1"/>
    <col min="12" max="20" width="10" style="43" customWidth="1"/>
    <col min="21" max="21" width="10" style="754" customWidth="1"/>
    <col min="22" max="22" width="10.5714285714286" style="43" hidden="1"/>
  </cols>
  <sheetData>
    <row r="1" s="38" customFormat="1" ht="22.5" hidden="1" customHeight="1" spans="3:22">
      <c r="C1" s="48"/>
      <c r="G1" s="38">
        <v>4</v>
      </c>
      <c r="I1" s="38">
        <v>4</v>
      </c>
      <c r="U1" s="288"/>
      <c r="V1" s="38" t="s">
        <v>14</v>
      </c>
    </row>
    <row r="2" s="38" customFormat="1" hidden="1" customHeight="1" spans="3:22">
      <c r="C2" s="48"/>
      <c r="U2" s="288"/>
      <c r="V2" s="38">
        <v>0</v>
      </c>
    </row>
    <row r="3" ht="22.5" hidden="1" customHeight="1" spans="1:22">
      <c r="A3" s="43"/>
      <c r="B3" s="40"/>
      <c r="C3" s="231" t="s">
        <v>683</v>
      </c>
      <c r="D3" s="917" t="str">
        <f>B3&amp;".1"</f>
        <v>.1</v>
      </c>
      <c r="E3" s="887" t="s">
        <v>947</v>
      </c>
      <c r="F3" s="127" t="s">
        <v>302</v>
      </c>
      <c r="G3" s="831"/>
      <c r="H3" s="628"/>
      <c r="I3" s="831"/>
      <c r="J3" s="628"/>
      <c r="K3" s="83" t="s">
        <v>948</v>
      </c>
      <c r="V3" s="43">
        <v>0</v>
      </c>
    </row>
    <row r="4" hidden="1" customHeight="1" spans="1:22">
      <c r="A4" s="43"/>
      <c r="B4" s="40"/>
      <c r="C4" s="231"/>
      <c r="D4" s="917" t="str">
        <f>B3&amp;".2"</f>
        <v>.2</v>
      </c>
      <c r="E4" s="887" t="s">
        <v>949</v>
      </c>
      <c r="F4" s="127" t="s">
        <v>302</v>
      </c>
      <c r="G4" s="918" t="s">
        <v>22</v>
      </c>
      <c r="H4" s="628"/>
      <c r="I4" s="918" t="s">
        <v>22</v>
      </c>
      <c r="J4" s="628"/>
      <c r="K4" s="83" t="s">
        <v>950</v>
      </c>
      <c r="V4" s="43">
        <v>0</v>
      </c>
    </row>
    <row r="5" s="38" customFormat="1" hidden="1" customHeight="1" spans="3:22">
      <c r="C5" s="48"/>
      <c r="U5" s="288"/>
      <c r="V5" s="38">
        <v>0</v>
      </c>
    </row>
    <row r="6" ht="22.5" hidden="1" customHeight="1" spans="1:22">
      <c r="A6" s="43"/>
      <c r="B6" s="40"/>
      <c r="C6" s="231" t="s">
        <v>683</v>
      </c>
      <c r="D6" s="917" t="str">
        <f>B6&amp;".1"</f>
        <v>.1</v>
      </c>
      <c r="E6" s="887" t="s">
        <v>951</v>
      </c>
      <c r="F6" s="127" t="s">
        <v>302</v>
      </c>
      <c r="G6" s="831"/>
      <c r="H6" s="628"/>
      <c r="I6" s="831"/>
      <c r="J6" s="628"/>
      <c r="K6" s="83" t="s">
        <v>952</v>
      </c>
      <c r="V6" s="43">
        <v>0</v>
      </c>
    </row>
    <row r="7" hidden="1" customHeight="1" spans="1:22">
      <c r="A7" s="43"/>
      <c r="B7" s="40"/>
      <c r="C7" s="231"/>
      <c r="D7" s="917" t="str">
        <f>B6&amp;".2"</f>
        <v>.2</v>
      </c>
      <c r="E7" s="887" t="s">
        <v>949</v>
      </c>
      <c r="F7" s="127" t="s">
        <v>302</v>
      </c>
      <c r="G7" s="918" t="s">
        <v>22</v>
      </c>
      <c r="H7" s="628"/>
      <c r="I7" s="918" t="s">
        <v>22</v>
      </c>
      <c r="J7" s="628"/>
      <c r="K7" s="83" t="s">
        <v>950</v>
      </c>
      <c r="V7" s="43">
        <v>0</v>
      </c>
    </row>
    <row r="8" s="38" customFormat="1" hidden="1" customHeight="1" spans="3:22">
      <c r="C8" s="48"/>
      <c r="U8" s="288"/>
      <c r="V8" s="38">
        <v>0</v>
      </c>
    </row>
    <row r="9" ht="22.5" hidden="1" customHeight="1" spans="1:22">
      <c r="A9" s="43"/>
      <c r="B9" s="40"/>
      <c r="C9" s="231" t="s">
        <v>683</v>
      </c>
      <c r="D9" s="917" t="str">
        <f>B9&amp;".1"</f>
        <v>.1</v>
      </c>
      <c r="E9" s="887" t="s">
        <v>953</v>
      </c>
      <c r="F9" s="127" t="s">
        <v>302</v>
      </c>
      <c r="G9" s="246" t="s">
        <v>22</v>
      </c>
      <c r="H9" s="628" t="s">
        <v>22</v>
      </c>
      <c r="I9" s="246" t="s">
        <v>22</v>
      </c>
      <c r="J9" s="628" t="s">
        <v>22</v>
      </c>
      <c r="K9" s="83"/>
      <c r="V9" s="43">
        <v>0</v>
      </c>
    </row>
    <row r="10" hidden="1" customHeight="1" spans="1:22">
      <c r="A10" s="43"/>
      <c r="B10" s="40"/>
      <c r="C10" s="231"/>
      <c r="D10" s="917" t="str">
        <f>B9&amp;".2"</f>
        <v>.2</v>
      </c>
      <c r="E10" s="887" t="s">
        <v>954</v>
      </c>
      <c r="F10" s="127" t="s">
        <v>302</v>
      </c>
      <c r="G10" s="255" t="s">
        <v>22</v>
      </c>
      <c r="H10" s="628" t="s">
        <v>22</v>
      </c>
      <c r="I10" s="255" t="s">
        <v>22</v>
      </c>
      <c r="J10" s="628" t="s">
        <v>22</v>
      </c>
      <c r="K10" s="83" t="s">
        <v>955</v>
      </c>
      <c r="V10" s="43">
        <v>0</v>
      </c>
    </row>
    <row r="11" hidden="1" customHeight="1" spans="1:22">
      <c r="A11" s="43"/>
      <c r="B11" s="40"/>
      <c r="C11" s="231"/>
      <c r="D11" s="917" t="str">
        <f>B9&amp;".3"</f>
        <v>.3</v>
      </c>
      <c r="E11" s="887" t="s">
        <v>956</v>
      </c>
      <c r="F11" s="127" t="s">
        <v>302</v>
      </c>
      <c r="G11" s="255" t="s">
        <v>22</v>
      </c>
      <c r="H11" s="628" t="s">
        <v>22</v>
      </c>
      <c r="I11" s="255" t="s">
        <v>22</v>
      </c>
      <c r="J11" s="628" t="s">
        <v>22</v>
      </c>
      <c r="K11" s="83" t="s">
        <v>957</v>
      </c>
      <c r="V11" s="43">
        <v>0</v>
      </c>
    </row>
    <row r="12" s="38" customFormat="1" hidden="1" customHeight="1" spans="3:22">
      <c r="C12" s="48"/>
      <c r="U12" s="288"/>
      <c r="V12" s="38">
        <v>0</v>
      </c>
    </row>
    <row r="13" ht="33.75" hidden="1" customHeight="1" spans="1:22">
      <c r="A13" s="43"/>
      <c r="B13" s="40"/>
      <c r="C13" s="231" t="s">
        <v>683</v>
      </c>
      <c r="D13" s="917" t="str">
        <f>B13&amp;".1"</f>
        <v>.1</v>
      </c>
      <c r="E13" s="887" t="s">
        <v>958</v>
      </c>
      <c r="F13" s="127" t="s">
        <v>302</v>
      </c>
      <c r="G13" s="246" t="s">
        <v>22</v>
      </c>
      <c r="H13" s="628" t="s">
        <v>22</v>
      </c>
      <c r="I13" s="246" t="s">
        <v>22</v>
      </c>
      <c r="J13" s="628" t="s">
        <v>22</v>
      </c>
      <c r="K13" s="83" t="s">
        <v>959</v>
      </c>
      <c r="V13" s="43">
        <v>0</v>
      </c>
    </row>
    <row r="14" hidden="1" customHeight="1" spans="2:22">
      <c r="B14" s="40"/>
      <c r="C14" s="231"/>
      <c r="D14" s="917" t="str">
        <f>B13&amp;".2"</f>
        <v>.2</v>
      </c>
      <c r="E14" s="887" t="s">
        <v>960</v>
      </c>
      <c r="F14" s="127" t="s">
        <v>302</v>
      </c>
      <c r="G14" s="255" t="s">
        <v>22</v>
      </c>
      <c r="H14" s="628" t="s">
        <v>22</v>
      </c>
      <c r="I14" s="255" t="s">
        <v>22</v>
      </c>
      <c r="J14" s="628" t="s">
        <v>22</v>
      </c>
      <c r="K14" s="83" t="s">
        <v>961</v>
      </c>
      <c r="V14" s="43">
        <v>0</v>
      </c>
    </row>
    <row r="15" s="38" customFormat="1" hidden="1" customHeight="1" spans="3:22">
      <c r="C15" s="48"/>
      <c r="U15" s="288"/>
      <c r="V15" s="38">
        <v>0</v>
      </c>
    </row>
    <row r="16" s="38" customFormat="1" hidden="1" customHeight="1" spans="3:22">
      <c r="C16" s="48"/>
      <c r="U16" s="288"/>
      <c r="V16" s="38">
        <v>0</v>
      </c>
    </row>
    <row r="17" s="38" customFormat="1" hidden="1" customHeight="1" spans="3:22">
      <c r="C17" s="48"/>
      <c r="U17" s="288"/>
      <c r="V17" s="38">
        <v>0</v>
      </c>
    </row>
    <row r="18" s="38" customFormat="1" hidden="1" customHeight="1" spans="3:22">
      <c r="C18" s="48"/>
      <c r="U18" s="288"/>
      <c r="V18" s="38">
        <v>0</v>
      </c>
    </row>
    <row r="19" s="38" customFormat="1" hidden="1" customHeight="1" spans="3:22">
      <c r="C19" s="48"/>
      <c r="U19" s="288"/>
      <c r="V19" s="38">
        <v>0</v>
      </c>
    </row>
    <row r="20" s="38" customFormat="1" hidden="1" customHeight="1" spans="3:22">
      <c r="C20" s="48"/>
      <c r="U20" s="288"/>
      <c r="V20" s="38">
        <v>0</v>
      </c>
    </row>
    <row r="21" ht="15.75" customHeight="1" spans="22:22">
      <c r="V21" s="43">
        <v>15</v>
      </c>
    </row>
    <row r="22" ht="23.25" customHeight="1" spans="4:22">
      <c r="D22" s="75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755"/>
      <c r="F22" s="755"/>
      <c r="G22" s="755"/>
      <c r="H22" s="755"/>
      <c r="I22" s="755"/>
      <c r="J22" s="42"/>
      <c r="V22" s="43">
        <v>22</v>
      </c>
    </row>
    <row r="23" ht="15.75" customHeight="1" spans="4:22">
      <c r="D23" s="660" t="str">
        <f>IF(org=0,"Не определено",org)</f>
        <v>АО "Теплокоммунэнерго"</v>
      </c>
      <c r="E23" s="660"/>
      <c r="F23" s="660"/>
      <c r="G23" s="660"/>
      <c r="H23" s="660"/>
      <c r="I23" s="660"/>
      <c r="J23" s="42"/>
      <c r="V23" s="43">
        <v>15</v>
      </c>
    </row>
    <row r="24" ht="15.75" customHeight="1" spans="7:22">
      <c r="G24" s="38">
        <v>22</v>
      </c>
      <c r="H24" s="577"/>
      <c r="I24" s="38">
        <v>22</v>
      </c>
      <c r="J24" s="577"/>
      <c r="V24" s="43">
        <v>15</v>
      </c>
    </row>
    <row r="25" s="43" customFormat="1" ht="1.05" customHeight="1" spans="1:22">
      <c r="A25" s="575"/>
      <c r="C25" s="235"/>
      <c r="G25" s="38"/>
      <c r="H25" s="577"/>
      <c r="I25" s="38" t="s">
        <v>115</v>
      </c>
      <c r="J25" s="577"/>
      <c r="K25" s="38"/>
      <c r="U25" s="754"/>
      <c r="V25" s="43">
        <v>1</v>
      </c>
    </row>
    <row r="26" ht="15.75" customHeight="1" spans="4:22">
      <c r="D26" s="756"/>
      <c r="E26" s="757" t="s">
        <v>103</v>
      </c>
      <c r="F26" s="758"/>
      <c r="G26" s="759" t="str">
        <f>IF(G25="","",INDEX(DIFFERENTIATION_UNMERGE_VD,MATCH(G25,DIFFERENTIATION_ID_DIFF,0)))</f>
        <v/>
      </c>
      <c r="H26" s="760"/>
      <c r="I26" s="759">
        <f>IF(I25="","",INDEX(DIFFERENTIATION_UNMERGE_VD,MATCH(I25,DIFFERENTIATION_ID_DIFF,0)))</f>
        <v>0</v>
      </c>
      <c r="J26" s="760"/>
      <c r="K26" s="71" t="s">
        <v>297</v>
      </c>
      <c r="V26" s="43">
        <v>15</v>
      </c>
    </row>
    <row r="27" s="43" customFormat="1" ht="15.75" customHeight="1" spans="1:22">
      <c r="A27" s="575"/>
      <c r="C27" s="235"/>
      <c r="D27" s="756"/>
      <c r="E27" s="757" t="s">
        <v>558</v>
      </c>
      <c r="F27" s="758"/>
      <c r="G27" s="759" t="str">
        <f>IF(G25="","",INDEX(DIFFERENTIATION_UNMERGE_AREA,MATCH(G25,DIFFERENTIATION_ID_DIFF,0)))</f>
        <v/>
      </c>
      <c r="H27" s="760"/>
      <c r="I27" s="759" t="str">
        <f>IF(I25="","",INDEX(DIFFERENTIATION_UNMERGE_AREA,MATCH(I25,DIFFERENTIATION_ID_DIFF,0)))</f>
        <v/>
      </c>
      <c r="J27" s="760"/>
      <c r="K27" s="906"/>
      <c r="U27" s="754"/>
      <c r="V27" s="43">
        <v>15</v>
      </c>
    </row>
    <row r="28" s="43" customFormat="1" ht="15.75" customHeight="1" spans="1:22">
      <c r="A28" s="575"/>
      <c r="C28" s="235"/>
      <c r="D28" s="756"/>
      <c r="E28" s="757" t="s">
        <v>559</v>
      </c>
      <c r="F28" s="758"/>
      <c r="G28" s="759" t="str">
        <f>IF(G25="","",INDEX(DIFFERENTIATION_UNMERGE_SYSTEM,MATCH(G25,DIFFERENTIATION_ID_DIFF,0)))</f>
        <v/>
      </c>
      <c r="H28" s="760"/>
      <c r="I28" s="759" t="str">
        <f>IF(I25="","",INDEX(DIFFERENTIATION_UNMERGE_SYSTEM,MATCH(I25,DIFFERENTIATION_ID_DIFF,0)))</f>
        <v>без дифференциации</v>
      </c>
      <c r="J28" s="760"/>
      <c r="K28" s="906"/>
      <c r="U28" s="754"/>
      <c r="V28" s="43">
        <v>15</v>
      </c>
    </row>
    <row r="29" s="43" customFormat="1" ht="15.75" customHeight="1" spans="1:22">
      <c r="A29" s="575"/>
      <c r="C29" s="235"/>
      <c r="D29" s="761" t="s">
        <v>296</v>
      </c>
      <c r="E29" s="762"/>
      <c r="F29" s="762"/>
      <c r="G29" s="757"/>
      <c r="H29" s="757"/>
      <c r="I29" s="757"/>
      <c r="J29" s="758"/>
      <c r="K29" s="906"/>
      <c r="U29" s="754"/>
      <c r="V29" s="43">
        <v>15</v>
      </c>
    </row>
    <row r="30" ht="35.7" customHeight="1" spans="4:22">
      <c r="D30" s="64" t="s">
        <v>89</v>
      </c>
      <c r="E30" s="64" t="s">
        <v>298</v>
      </c>
      <c r="F30" s="64" t="s">
        <v>560</v>
      </c>
      <c r="G30" s="126" t="s">
        <v>299</v>
      </c>
      <c r="H30" s="64" t="s">
        <v>386</v>
      </c>
      <c r="I30" s="126" t="s">
        <v>299</v>
      </c>
      <c r="J30" s="64" t="s">
        <v>386</v>
      </c>
      <c r="K30" s="908"/>
      <c r="V30" s="43">
        <v>34</v>
      </c>
    </row>
    <row r="31" hidden="1" customHeight="1" spans="4:22">
      <c r="D31" s="763"/>
      <c r="E31" s="763"/>
      <c r="F31" s="763"/>
      <c r="G31" s="235"/>
      <c r="H31" s="235"/>
      <c r="I31" s="235"/>
      <c r="J31" s="235"/>
      <c r="K31" s="83"/>
      <c r="V31" s="43">
        <v>0</v>
      </c>
    </row>
    <row r="32" ht="24" customHeight="1" spans="1:22">
      <c r="A32" s="43"/>
      <c r="B32" s="43" t="s">
        <v>962</v>
      </c>
      <c r="C32" s="217"/>
      <c r="D32" s="919">
        <v>1</v>
      </c>
      <c r="E32" s="886" t="s">
        <v>963</v>
      </c>
      <c r="F32" s="127" t="s">
        <v>302</v>
      </c>
      <c r="G32" s="127" t="s">
        <v>302</v>
      </c>
      <c r="H32" s="127" t="s">
        <v>302</v>
      </c>
      <c r="I32" s="127" t="s">
        <v>302</v>
      </c>
      <c r="J32" s="127" t="s">
        <v>302</v>
      </c>
      <c r="K32" s="83"/>
      <c r="V32" s="43">
        <v>23</v>
      </c>
    </row>
    <row r="33" ht="11.55" customHeight="1" spans="1:22">
      <c r="A33" s="43"/>
      <c r="C33" s="43"/>
      <c r="D33" s="401"/>
      <c r="E33" s="227" t="s">
        <v>581</v>
      </c>
      <c r="F33" s="402"/>
      <c r="G33" s="402"/>
      <c r="H33" s="402"/>
      <c r="I33" s="402"/>
      <c r="J33" s="402"/>
      <c r="K33" s="921"/>
      <c r="U33" s="43"/>
      <c r="V33" s="43">
        <v>11</v>
      </c>
    </row>
    <row r="34" ht="24" customHeight="1" spans="1:22">
      <c r="A34" s="43"/>
      <c r="B34" s="42" t="s">
        <v>630</v>
      </c>
      <c r="C34" s="217"/>
      <c r="D34" s="919">
        <v>2</v>
      </c>
      <c r="E34" s="886" t="s">
        <v>964</v>
      </c>
      <c r="F34" s="127" t="s">
        <v>302</v>
      </c>
      <c r="G34" s="127" t="s">
        <v>302</v>
      </c>
      <c r="H34" s="127" t="s">
        <v>302</v>
      </c>
      <c r="I34" s="127"/>
      <c r="J34" s="127"/>
      <c r="K34" s="83"/>
      <c r="V34" s="43">
        <v>23</v>
      </c>
    </row>
    <row r="35" ht="11.55" customHeight="1" spans="1:22">
      <c r="A35" s="43"/>
      <c r="C35" s="43"/>
      <c r="D35" s="401"/>
      <c r="E35" s="227" t="s">
        <v>965</v>
      </c>
      <c r="F35" s="402"/>
      <c r="G35" s="920"/>
      <c r="H35" s="402"/>
      <c r="I35" s="920"/>
      <c r="J35" s="402"/>
      <c r="K35" s="921"/>
      <c r="U35" s="43"/>
      <c r="V35" s="43">
        <v>11</v>
      </c>
    </row>
    <row r="36" ht="71.25" customHeight="1" spans="1:22">
      <c r="A36" s="43"/>
      <c r="B36" s="43" t="s">
        <v>966</v>
      </c>
      <c r="C36" s="217"/>
      <c r="D36" s="919">
        <v>3</v>
      </c>
      <c r="E36" s="886" t="s">
        <v>967</v>
      </c>
      <c r="F36" s="128" t="s">
        <v>302</v>
      </c>
      <c r="G36" s="140" t="s">
        <v>968</v>
      </c>
      <c r="H36" s="127" t="s">
        <v>302</v>
      </c>
      <c r="I36" s="140" t="s">
        <v>968</v>
      </c>
      <c r="J36" s="127" t="s">
        <v>302</v>
      </c>
      <c r="K36" s="83" t="s">
        <v>969</v>
      </c>
      <c r="V36" s="43">
        <v>68</v>
      </c>
    </row>
    <row r="37" ht="11.55" customHeight="1" spans="1:22">
      <c r="A37" s="43"/>
      <c r="C37" s="43"/>
      <c r="D37" s="401"/>
      <c r="E37" s="227" t="s">
        <v>970</v>
      </c>
      <c r="F37" s="402"/>
      <c r="G37" s="920"/>
      <c r="H37" s="920"/>
      <c r="I37" s="920"/>
      <c r="J37" s="920"/>
      <c r="K37" s="921"/>
      <c r="U37" s="43"/>
      <c r="V37" s="43">
        <v>11</v>
      </c>
    </row>
    <row r="38" ht="71.25" customHeight="1" spans="1:22">
      <c r="A38" s="43"/>
      <c r="B38" s="43" t="s">
        <v>971</v>
      </c>
      <c r="C38" s="217"/>
      <c r="D38" s="919">
        <v>4</v>
      </c>
      <c r="E38" s="886" t="s">
        <v>972</v>
      </c>
      <c r="F38" s="128" t="s">
        <v>302</v>
      </c>
      <c r="G38" s="140" t="s">
        <v>968</v>
      </c>
      <c r="H38" s="64" t="s">
        <v>302</v>
      </c>
      <c r="I38" s="140" t="s">
        <v>968</v>
      </c>
      <c r="J38" s="64" t="s">
        <v>302</v>
      </c>
      <c r="K38" s="769" t="s">
        <v>973</v>
      </c>
      <c r="V38" s="43">
        <v>68</v>
      </c>
    </row>
    <row r="39" ht="11.55" customHeight="1" spans="1:22">
      <c r="A39" s="43"/>
      <c r="C39" s="43"/>
      <c r="D39" s="401"/>
      <c r="E39" s="227" t="s">
        <v>974</v>
      </c>
      <c r="F39" s="402"/>
      <c r="G39" s="402"/>
      <c r="H39" s="915"/>
      <c r="I39" s="402"/>
      <c r="J39" s="915"/>
      <c r="K39" s="921"/>
      <c r="U39" s="43"/>
      <c r="V39" s="43">
        <v>11</v>
      </c>
    </row>
    <row r="40" ht="22.5" hidden="1" customHeight="1" spans="1:22">
      <c r="A40" s="575" t="s">
        <v>83</v>
      </c>
      <c r="B40" s="43">
        <v>0</v>
      </c>
      <c r="C40" s="235">
        <v>4</v>
      </c>
      <c r="D40" s="43">
        <v>6</v>
      </c>
      <c r="E40" s="43">
        <v>36</v>
      </c>
      <c r="F40" s="43">
        <v>9</v>
      </c>
      <c r="G40" s="43">
        <v>0</v>
      </c>
      <c r="H40" s="43">
        <v>0</v>
      </c>
      <c r="I40" s="43">
        <v>25</v>
      </c>
      <c r="J40" s="43">
        <v>33</v>
      </c>
      <c r="K40" s="38">
        <v>93</v>
      </c>
      <c r="L40" s="43">
        <v>10</v>
      </c>
      <c r="M40" s="43">
        <v>10</v>
      </c>
      <c r="N40" s="43">
        <v>10</v>
      </c>
      <c r="O40" s="43">
        <v>10</v>
      </c>
      <c r="P40" s="43">
        <v>10</v>
      </c>
      <c r="Q40" s="43">
        <v>10</v>
      </c>
      <c r="R40" s="43">
        <v>10</v>
      </c>
      <c r="S40" s="43">
        <v>10</v>
      </c>
      <c r="T40" s="43">
        <v>10</v>
      </c>
      <c r="U40" s="754">
        <v>10</v>
      </c>
      <c r="V40" s="43">
        <v>23</v>
      </c>
    </row>
  </sheetData>
  <sheetProtection formatColumns="0" formatRows="0" insertRows="0" deleteColumns="0" deleteRows="0" sort="0" autoFilter="0"/>
  <mergeCells count="21">
    <mergeCell ref="D22:I22"/>
    <mergeCell ref="D23:I23"/>
    <mergeCell ref="E26:F26"/>
    <mergeCell ref="G26:H26"/>
    <mergeCell ref="I26:J26"/>
    <mergeCell ref="E27:F27"/>
    <mergeCell ref="G27:H27"/>
    <mergeCell ref="I27:J27"/>
    <mergeCell ref="E28:F28"/>
    <mergeCell ref="G28:H28"/>
    <mergeCell ref="I28:J28"/>
    <mergeCell ref="D29:F29"/>
    <mergeCell ref="B3:B4"/>
    <mergeCell ref="B6:B7"/>
    <mergeCell ref="B9:B11"/>
    <mergeCell ref="B13:B14"/>
    <mergeCell ref="C3:C4"/>
    <mergeCell ref="C6:C7"/>
    <mergeCell ref="C9:C11"/>
    <mergeCell ref="C13:C14"/>
    <mergeCell ref="K26:K30"/>
  </mergeCells>
  <dataValidations count="5">
    <dataValidation type="textLength" operator="lessThanOrEqual" allowBlank="1" showInputMessage="1" showErrorMessage="1" errorTitle="Ошибка" error="Допускается ввод не более 900 символов!" sqref="G3 I3 G6 I6 G9 I9 G13 I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4 I4 G7 I7 G14 I14 G10:G11 I10:I11"/>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allowBlank="1" showInputMessage="1" showErrorMessage="1" prompt="Для выбора выполните двойной щелчок левой клавиши мыши по ячейке." sqref="G36 I36 G38 I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H6:H7 H9:H11 H13:H14 J3:J4 J6:J7 J9:J11 J13:J14">
      <formula1>900</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E20"/>
  <sheetViews>
    <sheetView showGridLines="0" zoomScale="85" zoomScaleNormal="85" workbookViewId="0">
      <pane xSplit="7" ySplit="10" topLeftCell="H13" activePane="bottomRight" state="frozen"/>
      <selection/>
      <selection pane="topRight"/>
      <selection pane="bottomLeft"/>
      <selection pane="bottomRight" activeCell="Y15" sqref="Y15:Y16"/>
    </sheetView>
  </sheetViews>
  <sheetFormatPr defaultColWidth="9.14285714285714" defaultRowHeight="10.5" customHeight="1"/>
  <cols>
    <col min="1" max="3" width="6.71428571428571" style="297" hidden="1" customWidth="1"/>
    <col min="4" max="4" width="6.71428571428571" style="38" hidden="1" customWidth="1"/>
    <col min="5" max="5" width="3" style="43" customWidth="1"/>
    <col min="6" max="6" width="6" style="43" customWidth="1"/>
    <col min="7" max="7" width="37" style="43" customWidth="1"/>
    <col min="8" max="8" width="16" style="43" customWidth="1"/>
    <col min="9" max="10" width="19" style="43" customWidth="1"/>
    <col min="11" max="11" width="24" style="43" customWidth="1"/>
    <col min="12" max="13" width="25" style="43" customWidth="1"/>
    <col min="14" max="16" width="17" style="43" customWidth="1"/>
    <col min="17" max="24" width="19" style="43" customWidth="1"/>
    <col min="25" max="25" width="7" style="43" customWidth="1"/>
    <col min="26" max="26" width="3" style="43" customWidth="1"/>
    <col min="27" max="27" width="6" style="43" customWidth="1"/>
    <col min="28" max="28" width="34" style="43" customWidth="1"/>
    <col min="29" max="30" width="8" style="43" customWidth="1"/>
    <col min="31" max="31" width="9.14285714285714" style="43" hidden="1"/>
  </cols>
  <sheetData>
    <row r="1" s="38" customFormat="1" hidden="1" customHeight="1" spans="1:31">
      <c r="A1" s="297"/>
      <c r="B1" s="297"/>
      <c r="C1" s="297"/>
      <c r="AE1" s="38" t="s">
        <v>14</v>
      </c>
    </row>
    <row r="2" hidden="1" customHeight="1" spans="31:31">
      <c r="AE2" s="43">
        <v>0</v>
      </c>
    </row>
    <row r="3" s="575" customFormat="1" hidden="1" customHeight="1" spans="1:31">
      <c r="A3" s="297"/>
      <c r="B3" s="297"/>
      <c r="C3" s="297"/>
      <c r="D3" s="38"/>
      <c r="G3" s="575" t="s">
        <v>975</v>
      </c>
      <c r="AE3" s="575">
        <v>0</v>
      </c>
    </row>
    <row r="4" ht="3" customHeight="1" spans="31:31">
      <c r="AE4" s="43">
        <v>3</v>
      </c>
    </row>
    <row r="5" ht="27.3" customHeight="1" spans="6:31">
      <c r="F5" s="7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755"/>
      <c r="H5" s="755"/>
      <c r="I5" s="755"/>
      <c r="J5" s="755"/>
      <c r="K5" s="755"/>
      <c r="M5" s="503"/>
      <c r="AE5" s="43">
        <v>26</v>
      </c>
    </row>
    <row r="6" s="43" customFormat="1" ht="16.8" customHeight="1" spans="1:31">
      <c r="A6" s="297"/>
      <c r="B6" s="297"/>
      <c r="C6" s="297"/>
      <c r="D6" s="38"/>
      <c r="F6" s="660" t="str">
        <f>IF(org=0,"Не определено",org)</f>
        <v>АО "Теплокоммунэнерго"</v>
      </c>
      <c r="G6" s="660"/>
      <c r="H6" s="660"/>
      <c r="I6" s="660"/>
      <c r="J6" s="660"/>
      <c r="K6" s="660"/>
      <c r="M6" s="503"/>
      <c r="AE6" s="43">
        <v>16</v>
      </c>
    </row>
    <row r="7" customHeight="1" spans="31:31">
      <c r="AE7" s="43">
        <v>10</v>
      </c>
    </row>
    <row r="8" customHeight="1" spans="6:31">
      <c r="F8" s="126" t="s">
        <v>296</v>
      </c>
      <c r="G8" s="128"/>
      <c r="H8" s="128"/>
      <c r="I8" s="128"/>
      <c r="J8" s="128"/>
      <c r="K8" s="128"/>
      <c r="L8" s="128"/>
      <c r="M8" s="128"/>
      <c r="N8" s="128"/>
      <c r="O8" s="128"/>
      <c r="P8" s="128"/>
      <c r="Q8" s="128"/>
      <c r="R8" s="128"/>
      <c r="S8" s="128"/>
      <c r="T8" s="128"/>
      <c r="U8" s="128"/>
      <c r="V8" s="128"/>
      <c r="W8" s="128"/>
      <c r="X8" s="128"/>
      <c r="Y8" s="128"/>
      <c r="Z8" s="128"/>
      <c r="AA8" s="128"/>
      <c r="AB8" s="127"/>
      <c r="AE8" s="43">
        <v>10</v>
      </c>
    </row>
    <row r="9" ht="43.05" customHeight="1" spans="1:31">
      <c r="A9" s="898"/>
      <c r="B9" s="898"/>
      <c r="C9" s="898"/>
      <c r="F9" s="64" t="s">
        <v>89</v>
      </c>
      <c r="G9" s="64" t="s">
        <v>975</v>
      </c>
      <c r="H9" s="71" t="s">
        <v>976</v>
      </c>
      <c r="I9" s="64" t="s">
        <v>977</v>
      </c>
      <c r="J9" s="64" t="s">
        <v>978</v>
      </c>
      <c r="K9" s="64" t="s">
        <v>979</v>
      </c>
      <c r="L9" s="64" t="s">
        <v>980</v>
      </c>
      <c r="M9" s="64" t="s">
        <v>981</v>
      </c>
      <c r="N9" s="66" t="s">
        <v>982</v>
      </c>
      <c r="O9" s="66"/>
      <c r="P9" s="66"/>
      <c r="Q9" s="68" t="s">
        <v>983</v>
      </c>
      <c r="R9" s="69"/>
      <c r="S9" s="69"/>
      <c r="T9" s="123"/>
      <c r="U9" s="68" t="s">
        <v>984</v>
      </c>
      <c r="V9" s="69"/>
      <c r="W9" s="69"/>
      <c r="X9" s="123"/>
      <c r="Y9" s="126" t="s">
        <v>985</v>
      </c>
      <c r="Z9" s="128"/>
      <c r="AA9" s="128"/>
      <c r="AB9" s="127"/>
      <c r="AE9" s="43">
        <v>41</v>
      </c>
    </row>
    <row r="10" ht="43.05" customHeight="1" spans="1:31">
      <c r="A10" s="898"/>
      <c r="B10" s="898"/>
      <c r="C10" s="898"/>
      <c r="F10" s="71"/>
      <c r="G10" s="71"/>
      <c r="H10" s="73"/>
      <c r="I10" s="71"/>
      <c r="J10" s="71"/>
      <c r="K10" s="71"/>
      <c r="L10" s="71"/>
      <c r="M10" s="71"/>
      <c r="N10" s="912" t="s">
        <v>986</v>
      </c>
      <c r="O10" s="912" t="s">
        <v>987</v>
      </c>
      <c r="P10" s="124" t="s">
        <v>988</v>
      </c>
      <c r="Q10" s="912" t="s">
        <v>90</v>
      </c>
      <c r="R10" s="912" t="s">
        <v>989</v>
      </c>
      <c r="S10" s="912" t="s">
        <v>990</v>
      </c>
      <c r="T10" s="913" t="s">
        <v>991</v>
      </c>
      <c r="U10" s="912" t="s">
        <v>90</v>
      </c>
      <c r="V10" s="912" t="s">
        <v>992</v>
      </c>
      <c r="W10" s="912" t="s">
        <v>990</v>
      </c>
      <c r="X10" s="913" t="s">
        <v>991</v>
      </c>
      <c r="Y10" s="67" t="s">
        <v>993</v>
      </c>
      <c r="Z10" s="126" t="s">
        <v>89</v>
      </c>
      <c r="AA10" s="127"/>
      <c r="AB10" s="64" t="s">
        <v>994</v>
      </c>
      <c r="AE10" s="43">
        <v>41</v>
      </c>
    </row>
    <row r="11" s="44" customFormat="1" ht="5.25" hidden="1" customHeight="1" spans="1:31">
      <c r="A11" s="307"/>
      <c r="B11" s="307"/>
      <c r="C11" s="307"/>
      <c r="E11" s="93"/>
      <c r="F11" s="496" t="s">
        <v>372</v>
      </c>
      <c r="G11" s="818"/>
      <c r="H11" s="260"/>
      <c r="I11" s="260"/>
      <c r="J11" s="260"/>
      <c r="K11" s="104"/>
      <c r="L11" s="104"/>
      <c r="M11" s="104"/>
      <c r="N11" s="260"/>
      <c r="O11" s="260"/>
      <c r="P11" s="64"/>
      <c r="Q11" s="393"/>
      <c r="R11" s="393"/>
      <c r="S11" s="393"/>
      <c r="T11" s="260"/>
      <c r="U11" s="393"/>
      <c r="V11" s="393"/>
      <c r="W11" s="393"/>
      <c r="X11" s="260"/>
      <c r="Y11" s="232"/>
      <c r="Z11" s="232"/>
      <c r="AA11" s="232"/>
      <c r="AB11" s="232"/>
      <c r="AD11" s="44" t="s">
        <v>995</v>
      </c>
      <c r="AE11" s="44">
        <v>0</v>
      </c>
    </row>
    <row r="12" s="44" customFormat="1" ht="5.25" hidden="1" customHeight="1" spans="1:31">
      <c r="A12" s="307"/>
      <c r="B12" s="307"/>
      <c r="C12" s="307"/>
      <c r="F12" s="496"/>
      <c r="G12" s="818"/>
      <c r="H12" s="260"/>
      <c r="I12" s="260"/>
      <c r="J12" s="260"/>
      <c r="K12" s="104"/>
      <c r="L12" s="104"/>
      <c r="M12" s="104"/>
      <c r="N12" s="260"/>
      <c r="O12" s="260"/>
      <c r="P12" s="64"/>
      <c r="Q12" s="393"/>
      <c r="R12" s="393"/>
      <c r="S12" s="393"/>
      <c r="T12" s="260"/>
      <c r="U12" s="393"/>
      <c r="V12" s="393"/>
      <c r="W12" s="393"/>
      <c r="X12" s="260"/>
      <c r="Y12" s="843"/>
      <c r="Z12" s="843"/>
      <c r="AA12" s="843"/>
      <c r="AB12" s="843"/>
      <c r="AE12" s="44">
        <v>0</v>
      </c>
    </row>
    <row r="13" ht="35.25" customHeight="1" spans="5:30">
      <c r="E13" s="235" t="s">
        <v>683</v>
      </c>
      <c r="F13" s="299" t="s">
        <v>107</v>
      </c>
      <c r="G13" s="300" t="s">
        <v>996</v>
      </c>
      <c r="H13" s="301" t="s">
        <v>66</v>
      </c>
      <c r="I13" s="334">
        <v>45960.4423958333</v>
      </c>
      <c r="J13" s="335"/>
      <c r="K13" s="336" t="s">
        <v>997</v>
      </c>
      <c r="L13" s="337" t="s">
        <v>998</v>
      </c>
      <c r="M13" s="337" t="s">
        <v>999</v>
      </c>
      <c r="N13" s="338" t="s">
        <v>1000</v>
      </c>
      <c r="O13" s="338" t="s">
        <v>1001</v>
      </c>
      <c r="P13" s="339" t="str">
        <f>DATEDIF(DATEVALUE(N13),DATEVALUE(O13),"y")&amp;"г. "&amp;DATEDIF(DATEVALUE(N13),DATEVALUE(O13),"ym")&amp;"мес. "&amp;DATEVALUE(O13)-DATE(YEAR(DATEVALUE(O13)),MONTH(DATEVALUE(O13)),1)&amp;"дн. "</f>
        <v>0г. 11мес. 30дн. </v>
      </c>
      <c r="Q13" s="385" t="s">
        <v>1002</v>
      </c>
      <c r="R13" s="385" t="s">
        <v>1003</v>
      </c>
      <c r="S13" s="385">
        <v>147</v>
      </c>
      <c r="T13" s="335">
        <v>45960.4487847222</v>
      </c>
      <c r="U13" s="385"/>
      <c r="V13" s="385"/>
      <c r="W13" s="385"/>
      <c r="X13" s="335"/>
      <c r="Y13" s="397" t="s">
        <v>19</v>
      </c>
      <c r="Z13" s="398"/>
      <c r="AA13" s="64">
        <v>1</v>
      </c>
      <c r="AB13" s="914" t="s">
        <v>22</v>
      </c>
      <c r="AD13" s="44" t="s">
        <v>1004</v>
      </c>
    </row>
    <row r="14" ht="63.75" customHeight="1" spans="5:28">
      <c r="E14" s="302"/>
      <c r="F14" s="299" t="s">
        <v>372</v>
      </c>
      <c r="G14" s="300"/>
      <c r="H14" s="303"/>
      <c r="I14" s="340"/>
      <c r="J14" s="341"/>
      <c r="K14" s="336"/>
      <c r="L14" s="337"/>
      <c r="M14" s="337"/>
      <c r="N14" s="338"/>
      <c r="O14" s="338"/>
      <c r="P14" s="339"/>
      <c r="Q14" s="385"/>
      <c r="R14" s="385"/>
      <c r="S14" s="385"/>
      <c r="T14" s="341"/>
      <c r="U14" s="385"/>
      <c r="V14" s="385"/>
      <c r="W14" s="385"/>
      <c r="X14" s="341"/>
      <c r="Y14" s="400"/>
      <c r="Z14" s="401"/>
      <c r="AA14" s="402"/>
      <c r="AB14" s="275" t="s">
        <v>1005</v>
      </c>
    </row>
    <row r="15" ht="39.75" customHeight="1" spans="5:30">
      <c r="E15" s="235" t="s">
        <v>683</v>
      </c>
      <c r="F15" s="299" t="s">
        <v>108</v>
      </c>
      <c r="G15" s="300" t="s">
        <v>1006</v>
      </c>
      <c r="H15" s="301" t="s">
        <v>66</v>
      </c>
      <c r="I15" s="334">
        <v>45960.4425578704</v>
      </c>
      <c r="J15" s="335"/>
      <c r="K15" s="336" t="s">
        <v>997</v>
      </c>
      <c r="L15" s="337" t="s">
        <v>998</v>
      </c>
      <c r="M15" s="337" t="s">
        <v>999</v>
      </c>
      <c r="N15" s="338" t="s">
        <v>1000</v>
      </c>
      <c r="O15" s="338" t="s">
        <v>1001</v>
      </c>
      <c r="P15" s="339" t="str">
        <f>DATEDIF(DATEVALUE(N15),DATEVALUE(O15),"y")&amp;"г. "&amp;DATEDIF(DATEVALUE(N15),DATEVALUE(O15),"ym")&amp;"мес. "&amp;DATEVALUE(O15)-DATE(YEAR(DATEVALUE(O15)),MONTH(DATEVALUE(O15)),1)&amp;"дн. "</f>
        <v>0г. 11мес. 30дн. </v>
      </c>
      <c r="Q15" s="385" t="s">
        <v>1007</v>
      </c>
      <c r="R15" s="385" t="s">
        <v>1003</v>
      </c>
      <c r="S15" s="385">
        <v>148</v>
      </c>
      <c r="T15" s="335">
        <v>45960.4488541667</v>
      </c>
      <c r="U15" s="385"/>
      <c r="V15" s="385"/>
      <c r="W15" s="385"/>
      <c r="X15" s="335"/>
      <c r="Y15" s="397" t="s">
        <v>19</v>
      </c>
      <c r="Z15" s="398"/>
      <c r="AA15" s="64">
        <v>1</v>
      </c>
      <c r="AB15" s="914" t="s">
        <v>22</v>
      </c>
      <c r="AD15" s="44" t="s">
        <v>1008</v>
      </c>
    </row>
    <row r="16" ht="55.5" customHeight="1" spans="5:28">
      <c r="E16" s="302"/>
      <c r="F16" s="299" t="s">
        <v>107</v>
      </c>
      <c r="G16" s="300"/>
      <c r="H16" s="303"/>
      <c r="I16" s="340"/>
      <c r="J16" s="341"/>
      <c r="K16" s="336"/>
      <c r="L16" s="337"/>
      <c r="M16" s="337"/>
      <c r="N16" s="338"/>
      <c r="O16" s="338"/>
      <c r="P16" s="339"/>
      <c r="Q16" s="385"/>
      <c r="R16" s="385"/>
      <c r="S16" s="385"/>
      <c r="T16" s="341"/>
      <c r="U16" s="385"/>
      <c r="V16" s="385"/>
      <c r="W16" s="385"/>
      <c r="X16" s="341"/>
      <c r="Y16" s="400"/>
      <c r="Z16" s="401"/>
      <c r="AA16" s="402"/>
      <c r="AB16" s="275" t="s">
        <v>1005</v>
      </c>
    </row>
    <row r="17" customHeight="1" spans="6:31">
      <c r="F17" s="911"/>
      <c r="G17" s="227" t="s">
        <v>1009</v>
      </c>
      <c r="H17" s="227"/>
      <c r="I17" s="402"/>
      <c r="J17" s="402"/>
      <c r="K17" s="402"/>
      <c r="L17" s="402"/>
      <c r="M17" s="402"/>
      <c r="N17" s="402"/>
      <c r="O17" s="402"/>
      <c r="P17" s="402"/>
      <c r="Q17" s="402"/>
      <c r="R17" s="402"/>
      <c r="S17" s="402"/>
      <c r="T17" s="402"/>
      <c r="U17" s="402"/>
      <c r="V17" s="402"/>
      <c r="W17" s="402"/>
      <c r="X17" s="402"/>
      <c r="Y17" s="402"/>
      <c r="Z17" s="915"/>
      <c r="AA17" s="915"/>
      <c r="AB17" s="916"/>
      <c r="AE17" s="43">
        <v>10</v>
      </c>
    </row>
    <row r="18" customHeight="1" spans="31:31">
      <c r="AE18" s="43">
        <v>10</v>
      </c>
    </row>
    <row r="19" s="44" customFormat="1" customHeight="1" spans="1:31">
      <c r="A19" s="307"/>
      <c r="B19" s="307"/>
      <c r="C19" s="307"/>
      <c r="H19" s="44">
        <f>IFERROR(MATCH("нет",IP_MAIN_DIFFERENTIATION_EVENTS_FLAG,0),0)</f>
        <v>0</v>
      </c>
      <c r="AE19" s="44">
        <v>10</v>
      </c>
    </row>
    <row r="20" hidden="1" customHeight="1" spans="1:31">
      <c r="A20" s="297" t="s">
        <v>83</v>
      </c>
      <c r="B20" s="297">
        <v>0</v>
      </c>
      <c r="C20" s="297">
        <v>0</v>
      </c>
      <c r="D20" s="38">
        <v>0</v>
      </c>
      <c r="E20" s="43">
        <v>3</v>
      </c>
      <c r="F20" s="43">
        <v>6</v>
      </c>
      <c r="G20" s="43">
        <v>37</v>
      </c>
      <c r="H20" s="43">
        <v>16</v>
      </c>
      <c r="I20" s="43">
        <v>19</v>
      </c>
      <c r="J20" s="43">
        <v>19</v>
      </c>
      <c r="K20" s="43">
        <v>24</v>
      </c>
      <c r="L20" s="43">
        <v>25</v>
      </c>
      <c r="M20" s="43">
        <v>25</v>
      </c>
      <c r="N20" s="43">
        <v>17</v>
      </c>
      <c r="O20" s="43">
        <v>17</v>
      </c>
      <c r="P20" s="43">
        <v>17</v>
      </c>
      <c r="Q20" s="43">
        <v>19</v>
      </c>
      <c r="R20" s="43">
        <v>19</v>
      </c>
      <c r="S20" s="43">
        <v>19</v>
      </c>
      <c r="T20" s="43">
        <v>19</v>
      </c>
      <c r="U20" s="43">
        <v>19</v>
      </c>
      <c r="V20" s="43">
        <v>19</v>
      </c>
      <c r="W20" s="43">
        <v>19</v>
      </c>
      <c r="X20" s="43">
        <v>19</v>
      </c>
      <c r="Y20" s="43">
        <v>7</v>
      </c>
      <c r="Z20" s="43">
        <v>3</v>
      </c>
      <c r="AA20" s="43">
        <v>6</v>
      </c>
      <c r="AB20" s="43">
        <v>34</v>
      </c>
      <c r="AC20" s="43">
        <v>8</v>
      </c>
      <c r="AD20" s="43">
        <v>8</v>
      </c>
      <c r="AE20" s="43">
        <v>10</v>
      </c>
    </row>
  </sheetData>
  <sheetProtection formatColumns="0" formatRows="0" insertRows="0" deleteColumns="0" deleteRows="0" sort="0" autoFilter="0"/>
  <mergeCells count="81">
    <mergeCell ref="F5:K5"/>
    <mergeCell ref="F6:K6"/>
    <mergeCell ref="F8:AB8"/>
    <mergeCell ref="N9:P9"/>
    <mergeCell ref="Q9:T9"/>
    <mergeCell ref="U9:X9"/>
    <mergeCell ref="Y9:AB9"/>
    <mergeCell ref="Z10:AA10"/>
    <mergeCell ref="E13:E14"/>
    <mergeCell ref="E15:E16"/>
    <mergeCell ref="F9:F10"/>
    <mergeCell ref="F11:F12"/>
    <mergeCell ref="F13:F14"/>
    <mergeCell ref="F15:F16"/>
    <mergeCell ref="G9:G10"/>
    <mergeCell ref="G11:G12"/>
    <mergeCell ref="G13:G14"/>
    <mergeCell ref="G15:G16"/>
    <mergeCell ref="H9:H10"/>
    <mergeCell ref="H11:H12"/>
    <mergeCell ref="H13:H14"/>
    <mergeCell ref="H15:H16"/>
    <mergeCell ref="I9:I10"/>
    <mergeCell ref="I11:I12"/>
    <mergeCell ref="I13:I14"/>
    <mergeCell ref="I15:I16"/>
    <mergeCell ref="J9:J10"/>
    <mergeCell ref="J11:J12"/>
    <mergeCell ref="J13:J14"/>
    <mergeCell ref="J15:J16"/>
    <mergeCell ref="K9:K10"/>
    <mergeCell ref="K11:K12"/>
    <mergeCell ref="K13:K14"/>
    <mergeCell ref="K15:K16"/>
    <mergeCell ref="L9:L10"/>
    <mergeCell ref="L11:L12"/>
    <mergeCell ref="L13:L14"/>
    <mergeCell ref="L15:L16"/>
    <mergeCell ref="M9:M10"/>
    <mergeCell ref="M11:M12"/>
    <mergeCell ref="M13:M14"/>
    <mergeCell ref="M15:M16"/>
    <mergeCell ref="N11:N12"/>
    <mergeCell ref="N13:N14"/>
    <mergeCell ref="N15:N16"/>
    <mergeCell ref="O11:O12"/>
    <mergeCell ref="O13:O14"/>
    <mergeCell ref="O15:O16"/>
    <mergeCell ref="P11:P12"/>
    <mergeCell ref="P13:P14"/>
    <mergeCell ref="P15:P16"/>
    <mergeCell ref="Q11:Q12"/>
    <mergeCell ref="Q13:Q14"/>
    <mergeCell ref="Q15:Q16"/>
    <mergeCell ref="R11:R12"/>
    <mergeCell ref="R13:R14"/>
    <mergeCell ref="R15:R16"/>
    <mergeCell ref="S11:S12"/>
    <mergeCell ref="S13:S14"/>
    <mergeCell ref="S15:S16"/>
    <mergeCell ref="T11:T12"/>
    <mergeCell ref="T13:T14"/>
    <mergeCell ref="T15:T16"/>
    <mergeCell ref="U11:U12"/>
    <mergeCell ref="U13:U14"/>
    <mergeCell ref="U15:U16"/>
    <mergeCell ref="V11:V12"/>
    <mergeCell ref="V13:V14"/>
    <mergeCell ref="V15:V16"/>
    <mergeCell ref="W11:W12"/>
    <mergeCell ref="W13:W14"/>
    <mergeCell ref="W15:W16"/>
    <mergeCell ref="X11:X12"/>
    <mergeCell ref="X13:X14"/>
    <mergeCell ref="X15:X16"/>
    <mergeCell ref="Y11:Y12"/>
    <mergeCell ref="Y13:Y14"/>
    <mergeCell ref="Y15:Y16"/>
    <mergeCell ref="Z11:Z12"/>
    <mergeCell ref="AA11:AA12"/>
    <mergeCell ref="AB11:AB12"/>
  </mergeCells>
  <dataValidations count="4">
    <dataValidation allowBlank="1" showInputMessage="1" showErrorMessage="1" promptTitle="Ввод" prompt="Для выбора ИП необходимо два раза нажать левую кнопку мыши!" sqref="G13 G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J13 T13 X13 I15 J15 T15 X15"/>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K15" showDropDown="1">
      <formula1>"a"</formula1>
    </dataValidation>
    <dataValidation type="textLength" operator="lessThanOrEqual" allowBlank="1" showInputMessage="1" showErrorMessage="1" errorTitle="Ошибка" error="Допускается ввод не более 900 символов!" sqref="L13 M13 Q13 R13 S13 U13 V13 W13 AB13 L15 M15 Q15 R15 S15 U15 V15 W15 AB15">
      <formula1>900</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BG376"/>
  <sheetViews>
    <sheetView showGridLines="0" zoomScale="90" zoomScaleNormal="90" workbookViewId="0">
      <pane xSplit="8" ySplit="12" topLeftCell="I41" activePane="bottomRight" state="frozen"/>
      <selection/>
      <selection pane="topRight"/>
      <selection pane="bottomLeft"/>
      <selection pane="bottomRight" activeCell="I50" sqref="I50:I54"/>
    </sheetView>
  </sheetViews>
  <sheetFormatPr defaultColWidth="9.14285714285714" defaultRowHeight="10.5" customHeight="1"/>
  <cols>
    <col min="1" max="3" width="4.14285714285714" style="297" hidden="1" customWidth="1"/>
    <col min="4" max="4" width="4.14285714285714" style="38" hidden="1" customWidth="1"/>
    <col min="5" max="5" width="3" style="43" customWidth="1"/>
    <col min="6" max="6" width="14" style="43" customWidth="1"/>
    <col min="7" max="7" width="3" style="43" customWidth="1"/>
    <col min="8" max="8" width="7" style="43" customWidth="1"/>
    <col min="9" max="9" width="52.847619047619" style="43" customWidth="1"/>
    <col min="10" max="10" width="36.2857142857143" style="43" customWidth="1"/>
    <col min="11" max="11" width="68.1428571428571" style="43" customWidth="1"/>
    <col min="12" max="12" width="7" style="43" customWidth="1"/>
    <col min="13" max="13" width="15" style="43" customWidth="1"/>
    <col min="14" max="14" width="3" style="43" customWidth="1"/>
    <col min="15" max="15" width="4" style="43" customWidth="1"/>
    <col min="16" max="16" width="8" style="43" customWidth="1"/>
    <col min="17" max="17" width="21" style="43" customWidth="1"/>
    <col min="18" max="18" width="14" style="43" customWidth="1"/>
    <col min="19" max="20" width="17" style="43" customWidth="1"/>
    <col min="21" max="21" width="9" style="43" customWidth="1"/>
    <col min="22" max="22" width="12" style="43" customWidth="1"/>
    <col min="23" max="23" width="9" style="43" customWidth="1"/>
    <col min="24" max="24" width="21" style="43" customWidth="1"/>
    <col min="25" max="25" width="12" style="43" customWidth="1"/>
    <col min="26" max="26" width="3" style="43" customWidth="1"/>
    <col min="27" max="27" width="6" style="43" customWidth="1"/>
    <col min="28" max="28" width="38.4190476190476" style="43" customWidth="1"/>
    <col min="29" max="29" width="15" style="43" customWidth="1"/>
    <col min="30" max="30" width="37.5714285714286" style="43" hidden="1" customWidth="1"/>
    <col min="31" max="31" width="15.7142857142857" style="43" hidden="1" customWidth="1"/>
    <col min="32" max="34" width="16" style="43" customWidth="1"/>
    <col min="35" max="37" width="16.7142857142857" style="43" hidden="1" customWidth="1"/>
    <col min="38" max="58" width="8" style="43" customWidth="1"/>
    <col min="59" max="59" width="9.14285714285714" style="43" hidden="1"/>
  </cols>
  <sheetData>
    <row r="1" s="38" customFormat="1" hidden="1" customHeight="1" spans="1:59">
      <c r="A1" s="297"/>
      <c r="B1" s="297"/>
      <c r="C1" s="297"/>
      <c r="BG1" s="38" t="s">
        <v>14</v>
      </c>
    </row>
    <row r="2" hidden="1" customHeight="1" spans="59:59">
      <c r="BG2" s="43">
        <v>0</v>
      </c>
    </row>
    <row r="3" s="575" customFormat="1" hidden="1" customHeight="1" spans="1:59">
      <c r="A3" s="297"/>
      <c r="B3" s="297"/>
      <c r="C3" s="297"/>
      <c r="D3" s="38"/>
      <c r="BG3" s="575">
        <v>0</v>
      </c>
    </row>
    <row r="4" ht="3" customHeight="1" spans="59:59">
      <c r="BG4" s="43">
        <v>3</v>
      </c>
    </row>
    <row r="5" ht="27.3" customHeight="1" spans="6:59">
      <c r="F5" s="7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755"/>
      <c r="H5" s="755"/>
      <c r="I5" s="755"/>
      <c r="J5" s="755"/>
      <c r="K5" s="755"/>
      <c r="L5" s="899"/>
      <c r="M5" s="899"/>
      <c r="BG5" s="43">
        <v>26</v>
      </c>
    </row>
    <row r="6" customHeight="1" spans="6:59">
      <c r="F6" s="660" t="str">
        <f>IF(org=0,"Не определено",org)</f>
        <v>АО "Теплокоммунэнерго"</v>
      </c>
      <c r="G6" s="660"/>
      <c r="H6" s="660"/>
      <c r="I6" s="660"/>
      <c r="J6" s="660"/>
      <c r="K6" s="660"/>
      <c r="L6" s="899"/>
      <c r="M6" s="899"/>
      <c r="BG6" s="43">
        <v>10</v>
      </c>
    </row>
    <row r="7" ht="11.55" customHeight="1" spans="5:59">
      <c r="E7" s="53"/>
      <c r="F7" s="895"/>
      <c r="G7" s="895"/>
      <c r="H7" s="895"/>
      <c r="I7" s="895"/>
      <c r="J7" s="895"/>
      <c r="K7" s="900"/>
      <c r="L7" s="900"/>
      <c r="M7" s="900"/>
      <c r="N7" s="895"/>
      <c r="O7" s="895"/>
      <c r="P7" s="895"/>
      <c r="Q7" s="900"/>
      <c r="R7" s="895"/>
      <c r="S7" s="895"/>
      <c r="T7" s="895"/>
      <c r="U7" s="895"/>
      <c r="V7" s="895"/>
      <c r="W7" s="895"/>
      <c r="X7" s="895"/>
      <c r="Y7" s="895"/>
      <c r="Z7" s="895"/>
      <c r="AA7" s="895"/>
      <c r="AB7" s="895"/>
      <c r="AC7" s="902"/>
      <c r="AD7" s="902"/>
      <c r="AE7" s="902"/>
      <c r="AF7" s="895"/>
      <c r="AG7" s="895"/>
      <c r="AH7" s="895"/>
      <c r="AI7" s="895"/>
      <c r="AJ7" s="895"/>
      <c r="AK7" s="895"/>
      <c r="AL7" s="38"/>
      <c r="AM7" s="38"/>
      <c r="AN7" s="38"/>
      <c r="AO7" s="81"/>
      <c r="AP7" s="81"/>
      <c r="AQ7" s="81"/>
      <c r="AR7" s="81"/>
      <c r="AS7" s="81"/>
      <c r="AT7" s="81"/>
      <c r="AU7" s="81"/>
      <c r="AV7" s="81"/>
      <c r="AW7" s="81"/>
      <c r="AX7" s="81"/>
      <c r="AY7" s="81"/>
      <c r="AZ7" s="81"/>
      <c r="BA7" s="81"/>
      <c r="BB7" s="81"/>
      <c r="BC7" s="81"/>
      <c r="BD7" s="81"/>
      <c r="BE7" s="81"/>
      <c r="BF7" s="81"/>
      <c r="BG7" s="43">
        <v>11</v>
      </c>
    </row>
    <row r="8" customHeight="1" spans="5:59">
      <c r="E8" s="53"/>
      <c r="F8" s="896" t="s">
        <v>296</v>
      </c>
      <c r="G8" s="897"/>
      <c r="H8" s="897"/>
      <c r="I8" s="897"/>
      <c r="J8" s="897"/>
      <c r="K8" s="897"/>
      <c r="L8" s="897"/>
      <c r="M8" s="897"/>
      <c r="N8" s="897"/>
      <c r="O8" s="897"/>
      <c r="P8" s="897"/>
      <c r="Q8" s="897"/>
      <c r="R8" s="897"/>
      <c r="S8" s="897"/>
      <c r="T8" s="897"/>
      <c r="U8" s="897"/>
      <c r="V8" s="897"/>
      <c r="W8" s="897"/>
      <c r="X8" s="897"/>
      <c r="Y8" s="897"/>
      <c r="Z8" s="897"/>
      <c r="AA8" s="897"/>
      <c r="AB8" s="897"/>
      <c r="AC8" s="897"/>
      <c r="AD8" s="897"/>
      <c r="AE8" s="897"/>
      <c r="AF8" s="897"/>
      <c r="AG8" s="897"/>
      <c r="AH8" s="897"/>
      <c r="AI8" s="897"/>
      <c r="AJ8" s="897"/>
      <c r="AK8" s="909"/>
      <c r="AL8" s="910"/>
      <c r="AM8" s="81"/>
      <c r="AN8" s="81"/>
      <c r="AO8" s="81"/>
      <c r="AP8" s="81"/>
      <c r="AQ8" s="81"/>
      <c r="AR8" s="81"/>
      <c r="AS8" s="81"/>
      <c r="AT8" s="81"/>
      <c r="AU8" s="81"/>
      <c r="AV8" s="81"/>
      <c r="AW8" s="81"/>
      <c r="AX8" s="81"/>
      <c r="AY8" s="81"/>
      <c r="AZ8" s="81"/>
      <c r="BA8" s="81"/>
      <c r="BB8" s="81"/>
      <c r="BC8" s="81"/>
      <c r="BD8" s="81"/>
      <c r="BE8" s="81"/>
      <c r="BF8" s="81"/>
      <c r="BG8" s="43">
        <v>10</v>
      </c>
    </row>
    <row r="9" ht="24" customHeight="1" spans="1:59">
      <c r="A9" s="898"/>
      <c r="B9" s="898"/>
      <c r="C9" s="898"/>
      <c r="E9" s="53"/>
      <c r="F9" s="66" t="s">
        <v>1010</v>
      </c>
      <c r="G9" s="853" t="s">
        <v>1011</v>
      </c>
      <c r="H9" s="854"/>
      <c r="I9" s="64" t="s">
        <v>1012</v>
      </c>
      <c r="J9" s="64"/>
      <c r="K9" s="64" t="s">
        <v>1013</v>
      </c>
      <c r="L9" s="64"/>
      <c r="M9" s="64"/>
      <c r="N9" s="64"/>
      <c r="O9" s="64"/>
      <c r="P9" s="64"/>
      <c r="Q9" s="64"/>
      <c r="R9" s="64"/>
      <c r="S9" s="64"/>
      <c r="T9" s="64"/>
      <c r="U9" s="64"/>
      <c r="V9" s="64"/>
      <c r="W9" s="64"/>
      <c r="X9" s="64"/>
      <c r="Y9" s="64"/>
      <c r="Z9" s="903" t="s">
        <v>1014</v>
      </c>
      <c r="AA9" s="904"/>
      <c r="AB9" s="64" t="s">
        <v>1015</v>
      </c>
      <c r="AC9" s="64"/>
      <c r="AD9" s="64"/>
      <c r="AE9" s="64"/>
      <c r="AF9" s="71" t="s">
        <v>1016</v>
      </c>
      <c r="AG9" s="64" t="s">
        <v>1017</v>
      </c>
      <c r="AH9" s="64"/>
      <c r="AI9" s="71" t="s">
        <v>1018</v>
      </c>
      <c r="AJ9" s="64" t="s">
        <v>1019</v>
      </c>
      <c r="AK9" s="64"/>
      <c r="AM9" s="81"/>
      <c r="AN9" s="81"/>
      <c r="AO9" s="81"/>
      <c r="AP9" s="81"/>
      <c r="AQ9" s="81"/>
      <c r="AR9" s="81"/>
      <c r="AS9" s="81"/>
      <c r="AT9" s="81"/>
      <c r="AU9" s="81"/>
      <c r="AV9" s="81"/>
      <c r="AW9" s="81"/>
      <c r="AX9" s="81"/>
      <c r="AY9" s="81"/>
      <c r="AZ9" s="81"/>
      <c r="BA9" s="81"/>
      <c r="BB9" s="81"/>
      <c r="BC9" s="81"/>
      <c r="BD9" s="81"/>
      <c r="BE9" s="81"/>
      <c r="BF9" s="81"/>
      <c r="BG9" s="43">
        <v>23</v>
      </c>
    </row>
    <row r="10" ht="25.2" customHeight="1" spans="1:59">
      <c r="A10" s="898"/>
      <c r="B10" s="898"/>
      <c r="C10" s="898"/>
      <c r="E10" s="53"/>
      <c r="F10" s="66"/>
      <c r="G10" s="858"/>
      <c r="H10" s="248"/>
      <c r="I10" s="64"/>
      <c r="J10" s="64"/>
      <c r="K10" s="64" t="s">
        <v>1020</v>
      </c>
      <c r="L10" s="126" t="s">
        <v>1021</v>
      </c>
      <c r="M10" s="127"/>
      <c r="N10" s="64" t="s">
        <v>1022</v>
      </c>
      <c r="O10" s="64"/>
      <c r="P10" s="64"/>
      <c r="Q10" s="64"/>
      <c r="R10" s="64"/>
      <c r="S10" s="64"/>
      <c r="T10" s="64"/>
      <c r="U10" s="64"/>
      <c r="V10" s="64"/>
      <c r="W10" s="64"/>
      <c r="X10" s="64"/>
      <c r="Y10" s="64"/>
      <c r="Z10" s="905"/>
      <c r="AA10" s="906"/>
      <c r="AB10" s="64"/>
      <c r="AC10" s="64"/>
      <c r="AD10" s="64"/>
      <c r="AE10" s="64"/>
      <c r="AF10" s="398"/>
      <c r="AG10" s="64"/>
      <c r="AH10" s="64"/>
      <c r="AI10" s="398"/>
      <c r="AJ10" s="64"/>
      <c r="AK10" s="64"/>
      <c r="AM10" s="81"/>
      <c r="AN10" s="81"/>
      <c r="AO10" s="81"/>
      <c r="AP10" s="81"/>
      <c r="AQ10" s="81"/>
      <c r="AR10" s="81"/>
      <c r="AS10" s="81"/>
      <c r="AT10" s="81"/>
      <c r="AU10" s="81"/>
      <c r="AV10" s="81"/>
      <c r="AW10" s="81"/>
      <c r="AX10" s="81"/>
      <c r="AY10" s="81"/>
      <c r="AZ10" s="81"/>
      <c r="BA10" s="81"/>
      <c r="BB10" s="81"/>
      <c r="BC10" s="81"/>
      <c r="BD10" s="81"/>
      <c r="BE10" s="81"/>
      <c r="BF10" s="81"/>
      <c r="BG10" s="43">
        <v>24</v>
      </c>
    </row>
    <row r="11" s="43" customFormat="1" ht="25.2" customHeight="1" spans="1:59">
      <c r="A11" s="898"/>
      <c r="B11" s="898"/>
      <c r="C11" s="898"/>
      <c r="D11" s="38"/>
      <c r="E11" s="53"/>
      <c r="F11" s="66"/>
      <c r="G11" s="858"/>
      <c r="H11" s="248"/>
      <c r="I11" s="64"/>
      <c r="J11" s="64"/>
      <c r="K11" s="64"/>
      <c r="L11" s="71" t="s">
        <v>1023</v>
      </c>
      <c r="M11" s="71" t="s">
        <v>1024</v>
      </c>
      <c r="N11" s="64" t="s">
        <v>1025</v>
      </c>
      <c r="O11" s="64"/>
      <c r="P11" s="131" t="s">
        <v>993</v>
      </c>
      <c r="Q11" s="131" t="s">
        <v>1026</v>
      </c>
      <c r="R11" s="131" t="s">
        <v>1027</v>
      </c>
      <c r="S11" s="131" t="s">
        <v>1028</v>
      </c>
      <c r="T11" s="131"/>
      <c r="U11" s="131"/>
      <c r="V11" s="131"/>
      <c r="W11" s="131"/>
      <c r="X11" s="131"/>
      <c r="Y11" s="131"/>
      <c r="Z11" s="905"/>
      <c r="AA11" s="906"/>
      <c r="AB11" s="64" t="s">
        <v>1029</v>
      </c>
      <c r="AC11" s="64"/>
      <c r="AD11" s="126" t="s">
        <v>1030</v>
      </c>
      <c r="AE11" s="127"/>
      <c r="AF11" s="398"/>
      <c r="AG11" s="64"/>
      <c r="AH11" s="64"/>
      <c r="AI11" s="398"/>
      <c r="AJ11" s="64"/>
      <c r="AK11" s="64"/>
      <c r="AM11" s="81"/>
      <c r="AN11" s="81"/>
      <c r="AO11" s="81"/>
      <c r="AP11" s="81"/>
      <c r="AQ11" s="81"/>
      <c r="AR11" s="81"/>
      <c r="AS11" s="81"/>
      <c r="AT11" s="81"/>
      <c r="AU11" s="81"/>
      <c r="AV11" s="81"/>
      <c r="AW11" s="81"/>
      <c r="AX11" s="81"/>
      <c r="AY11" s="81"/>
      <c r="AZ11" s="81"/>
      <c r="BA11" s="81"/>
      <c r="BB11" s="81"/>
      <c r="BC11" s="81"/>
      <c r="BD11" s="81"/>
      <c r="BE11" s="81"/>
      <c r="BF11" s="81"/>
      <c r="BG11" s="43">
        <v>24</v>
      </c>
    </row>
    <row r="12" ht="35.7" customHeight="1" spans="1:59">
      <c r="A12" s="898"/>
      <c r="B12" s="898"/>
      <c r="C12" s="898"/>
      <c r="E12" s="53"/>
      <c r="F12" s="66"/>
      <c r="G12" s="855"/>
      <c r="H12" s="856"/>
      <c r="I12" s="64" t="s">
        <v>90</v>
      </c>
      <c r="J12" s="64" t="s">
        <v>1031</v>
      </c>
      <c r="K12" s="64"/>
      <c r="L12" s="73"/>
      <c r="M12" s="73"/>
      <c r="N12" s="64"/>
      <c r="O12" s="64"/>
      <c r="P12" s="131"/>
      <c r="Q12" s="131"/>
      <c r="R12" s="131"/>
      <c r="S12" s="131" t="s">
        <v>87</v>
      </c>
      <c r="T12" s="131" t="s">
        <v>88</v>
      </c>
      <c r="U12" s="131" t="s">
        <v>86</v>
      </c>
      <c r="V12" s="131" t="s">
        <v>1032</v>
      </c>
      <c r="W12" s="131" t="s">
        <v>86</v>
      </c>
      <c r="X12" s="131" t="s">
        <v>1033</v>
      </c>
      <c r="Y12" s="131" t="s">
        <v>1034</v>
      </c>
      <c r="Z12" s="907"/>
      <c r="AA12" s="908"/>
      <c r="AB12" s="64" t="s">
        <v>1035</v>
      </c>
      <c r="AC12" s="64" t="s">
        <v>1036</v>
      </c>
      <c r="AD12" s="64" t="s">
        <v>1035</v>
      </c>
      <c r="AE12" s="64" t="s">
        <v>1036</v>
      </c>
      <c r="AF12" s="73"/>
      <c r="AG12" s="64" t="s">
        <v>1037</v>
      </c>
      <c r="AH12" s="64" t="s">
        <v>1038</v>
      </c>
      <c r="AI12" s="73"/>
      <c r="AJ12" s="64" t="s">
        <v>1037</v>
      </c>
      <c r="AK12" s="64" t="s">
        <v>1038</v>
      </c>
      <c r="AM12" s="81"/>
      <c r="AN12" s="81"/>
      <c r="AO12" s="81"/>
      <c r="AP12" s="81"/>
      <c r="AQ12" s="81"/>
      <c r="AR12" s="81"/>
      <c r="AS12" s="81"/>
      <c r="AT12" s="81"/>
      <c r="AU12" s="81"/>
      <c r="AV12" s="81"/>
      <c r="AW12" s="81"/>
      <c r="AX12" s="81"/>
      <c r="AY12" s="81"/>
      <c r="AZ12" s="81"/>
      <c r="BA12" s="81"/>
      <c r="BB12" s="81"/>
      <c r="BC12" s="81"/>
      <c r="BD12" s="81"/>
      <c r="BE12" s="81"/>
      <c r="BF12" s="81"/>
      <c r="BG12" s="43">
        <v>34</v>
      </c>
    </row>
    <row r="13" ht="1.05" customHeight="1" spans="5:59">
      <c r="E13" s="53"/>
      <c r="F13" s="53">
        <v>0</v>
      </c>
      <c r="G13" s="53"/>
      <c r="H13" s="53"/>
      <c r="I13" s="53"/>
      <c r="J13" s="53"/>
      <c r="AL13" s="910"/>
      <c r="AM13" s="81"/>
      <c r="AN13" s="81"/>
      <c r="AO13" s="81"/>
      <c r="AP13" s="81"/>
      <c r="AQ13" s="81"/>
      <c r="AR13" s="81"/>
      <c r="AS13" s="81"/>
      <c r="AT13" s="81"/>
      <c r="AU13" s="81"/>
      <c r="AV13" s="81"/>
      <c r="AW13" s="81"/>
      <c r="AX13" s="81"/>
      <c r="AY13" s="81"/>
      <c r="AZ13" s="81"/>
      <c r="BA13" s="81"/>
      <c r="BB13" s="81"/>
      <c r="BC13" s="81"/>
      <c r="BD13" s="81"/>
      <c r="BE13" s="81"/>
      <c r="BF13" s="81"/>
      <c r="BG13" s="43">
        <v>1</v>
      </c>
    </row>
    <row r="14" ht="21" customHeight="1" spans="1:58">
      <c r="A14" s="307" t="s">
        <v>1004</v>
      </c>
      <c r="E14" s="53" t="s">
        <v>22</v>
      </c>
      <c r="F14" s="308" t="str">
        <f>INDEX(IP_MAIN_LIST_NAME_IP,MATCH(A14,IP_MAIN_LIST_IP_ID,0))&amp;" ("&amp;INDEX(IP_MAIN_START_DATE,MATCH(A14,IP_MAIN_LIST_IP_ID,0))&amp;"-"&amp;INDEX(IP_MAIN_END_DATE,MATCH(A14,IP_MAIN_LIST_IP_ID,0))&amp;")"</f>
        <v>Инвестиционная программа № 147 от 30.10.2025 АО "ТЕПЛОКОММУНЭНЕРГО" в сфере теплоснабжения по строительству, реконструкции и модернизации систем теплоснабжения, на территории городского округа Ростов-на-Дону на 2026 год (01.01.2026-31.12.2026)</v>
      </c>
      <c r="G14" s="309"/>
      <c r="H14" s="309"/>
      <c r="I14" s="348"/>
      <c r="J14" s="348"/>
      <c r="K14" s="349"/>
      <c r="L14" s="349"/>
      <c r="M14" s="349"/>
      <c r="N14" s="350"/>
      <c r="O14" s="350"/>
      <c r="P14" s="350"/>
      <c r="Q14" s="350"/>
      <c r="R14" s="350"/>
      <c r="S14" s="350"/>
      <c r="T14" s="350"/>
      <c r="U14" s="350"/>
      <c r="V14" s="350"/>
      <c r="W14" s="350"/>
      <c r="X14" s="350"/>
      <c r="Y14" s="350"/>
      <c r="Z14" s="350"/>
      <c r="AA14" s="350"/>
      <c r="AB14" s="350"/>
      <c r="AC14" s="350"/>
      <c r="AD14" s="350"/>
      <c r="AE14" s="403"/>
      <c r="AF14" s="349"/>
      <c r="AG14" s="349"/>
      <c r="AH14" s="349"/>
      <c r="AI14" s="349"/>
      <c r="AJ14" s="349"/>
      <c r="AK14" s="349"/>
      <c r="AL14" s="429"/>
      <c r="AM14" s="81"/>
      <c r="AN14" s="81"/>
      <c r="AO14" s="81"/>
      <c r="AP14" s="81"/>
      <c r="AQ14" s="81"/>
      <c r="AR14" s="81"/>
      <c r="AS14" s="81"/>
      <c r="AT14" s="81"/>
      <c r="AU14" s="81"/>
      <c r="AV14" s="81"/>
      <c r="AW14" s="81"/>
      <c r="AX14" s="81"/>
      <c r="AY14" s="81"/>
      <c r="AZ14" s="81"/>
      <c r="BA14" s="81"/>
      <c r="BB14" s="81"/>
      <c r="BC14" s="81"/>
      <c r="BD14" s="81"/>
      <c r="BE14" s="81"/>
      <c r="BF14" s="81"/>
    </row>
    <row r="15" ht="0.75" customHeight="1" spans="1:58">
      <c r="A15" s="297" t="s">
        <v>1004</v>
      </c>
      <c r="E15" s="53"/>
      <c r="F15" s="270">
        <v>2026</v>
      </c>
      <c r="G15" s="278"/>
      <c r="H15" s="310" t="s">
        <v>372</v>
      </c>
      <c r="I15" s="351"/>
      <c r="J15" s="220"/>
      <c r="K15" s="220"/>
      <c r="L15" s="352"/>
      <c r="M15" s="353"/>
      <c r="N15" s="354"/>
      <c r="O15" s="355"/>
      <c r="P15" s="354"/>
      <c r="Q15" s="354"/>
      <c r="R15" s="354"/>
      <c r="S15" s="354"/>
      <c r="T15" s="354"/>
      <c r="U15" s="354"/>
      <c r="V15" s="354"/>
      <c r="W15" s="354"/>
      <c r="X15" s="354"/>
      <c r="Y15" s="354"/>
      <c r="Z15" s="354"/>
      <c r="AA15" s="354"/>
      <c r="AB15" s="354"/>
      <c r="AC15" s="354"/>
      <c r="AD15" s="354"/>
      <c r="AE15" s="354"/>
      <c r="AF15" s="404"/>
      <c r="AG15" s="352"/>
      <c r="AH15" s="352"/>
      <c r="AI15" s="404"/>
      <c r="AJ15" s="352"/>
      <c r="AK15" s="352"/>
      <c r="AL15" s="429"/>
      <c r="AM15" s="81"/>
      <c r="AN15" s="81"/>
      <c r="AO15" s="81"/>
      <c r="AP15" s="81"/>
      <c r="AQ15" s="81"/>
      <c r="AR15" s="81"/>
      <c r="AS15" s="81"/>
      <c r="AT15" s="81"/>
      <c r="AU15" s="81"/>
      <c r="AV15" s="81"/>
      <c r="AW15" s="81"/>
      <c r="AX15" s="81"/>
      <c r="AY15" s="81"/>
      <c r="AZ15" s="81"/>
      <c r="BA15" s="81"/>
      <c r="BB15" s="81"/>
      <c r="BC15" s="81"/>
      <c r="BD15" s="81"/>
      <c r="BE15" s="81"/>
      <c r="BF15" s="81"/>
    </row>
    <row r="16" ht="0.75" customHeight="1" spans="1:58">
      <c r="A16" s="297" t="s">
        <v>1004</v>
      </c>
      <c r="E16" s="53"/>
      <c r="F16" s="270"/>
      <c r="G16" s="278"/>
      <c r="H16" s="310"/>
      <c r="I16" s="351"/>
      <c r="J16" s="220"/>
      <c r="K16" s="220"/>
      <c r="L16" s="352"/>
      <c r="M16" s="353"/>
      <c r="N16" s="356"/>
      <c r="O16" s="357"/>
      <c r="P16" s="358"/>
      <c r="Q16" s="220"/>
      <c r="R16" s="220"/>
      <c r="S16" s="220"/>
      <c r="T16" s="220"/>
      <c r="U16" s="220"/>
      <c r="V16" s="220"/>
      <c r="W16" s="220"/>
      <c r="X16" s="220"/>
      <c r="Y16" s="220"/>
      <c r="Z16" s="405"/>
      <c r="AA16" s="361"/>
      <c r="AB16" s="361"/>
      <c r="AC16" s="406"/>
      <c r="AD16" s="406"/>
      <c r="AE16" s="407"/>
      <c r="AF16" s="404"/>
      <c r="AG16" s="352"/>
      <c r="AH16" s="352"/>
      <c r="AI16" s="404"/>
      <c r="AJ16" s="352"/>
      <c r="AK16" s="352"/>
      <c r="AL16" s="429"/>
      <c r="AM16" s="81"/>
      <c r="AN16" s="81"/>
      <c r="AO16" s="81"/>
      <c r="AP16" s="81"/>
      <c r="AQ16" s="81"/>
      <c r="AR16" s="81"/>
      <c r="AS16" s="81"/>
      <c r="AT16" s="81"/>
      <c r="AU16" s="81"/>
      <c r="AV16" s="81"/>
      <c r="AW16" s="81"/>
      <c r="AX16" s="81"/>
      <c r="AY16" s="81"/>
      <c r="AZ16" s="81"/>
      <c r="BA16" s="81"/>
      <c r="BB16" s="81"/>
      <c r="BC16" s="81"/>
      <c r="BD16" s="81"/>
      <c r="BE16" s="81"/>
      <c r="BF16" s="81"/>
    </row>
    <row r="17" ht="0.75" customHeight="1" spans="1:58">
      <c r="A17" s="297" t="s">
        <v>1004</v>
      </c>
      <c r="E17" s="53"/>
      <c r="F17" s="270"/>
      <c r="G17" s="278"/>
      <c r="H17" s="310"/>
      <c r="I17" s="351"/>
      <c r="J17" s="220"/>
      <c r="K17" s="220"/>
      <c r="L17" s="352"/>
      <c r="M17" s="353"/>
      <c r="N17" s="356"/>
      <c r="O17" s="357"/>
      <c r="P17" s="359"/>
      <c r="Q17" s="220"/>
      <c r="R17" s="220"/>
      <c r="S17" s="220"/>
      <c r="T17" s="220"/>
      <c r="U17" s="220"/>
      <c r="V17" s="220"/>
      <c r="W17" s="220"/>
      <c r="X17" s="220"/>
      <c r="Y17" s="220"/>
      <c r="Z17" s="408"/>
      <c r="AA17" s="357"/>
      <c r="AB17" s="409"/>
      <c r="AC17" s="410"/>
      <c r="AD17" s="409"/>
      <c r="AE17" s="410"/>
      <c r="AF17" s="404"/>
      <c r="AG17" s="352"/>
      <c r="AH17" s="352"/>
      <c r="AI17" s="404"/>
      <c r="AJ17" s="352"/>
      <c r="AK17" s="352"/>
      <c r="AL17" s="429"/>
      <c r="AM17" s="81"/>
      <c r="AN17" s="81"/>
      <c r="AO17" s="81"/>
      <c r="AP17" s="81"/>
      <c r="AQ17" s="81"/>
      <c r="AR17" s="81"/>
      <c r="AS17" s="81"/>
      <c r="AT17" s="81"/>
      <c r="AU17" s="81"/>
      <c r="AV17" s="81"/>
      <c r="AW17" s="81"/>
      <c r="AX17" s="81"/>
      <c r="AY17" s="81"/>
      <c r="AZ17" s="81"/>
      <c r="BA17" s="81"/>
      <c r="BB17" s="81"/>
      <c r="BC17" s="81"/>
      <c r="BD17" s="81"/>
      <c r="BE17" s="81"/>
      <c r="BF17" s="81"/>
    </row>
    <row r="18" ht="0.75" customHeight="1" spans="1:58">
      <c r="A18" s="297" t="s">
        <v>1004</v>
      </c>
      <c r="E18" s="53"/>
      <c r="F18" s="270"/>
      <c r="G18" s="278"/>
      <c r="H18" s="310"/>
      <c r="I18" s="351"/>
      <c r="J18" s="220"/>
      <c r="K18" s="220"/>
      <c r="L18" s="352"/>
      <c r="M18" s="353"/>
      <c r="N18" s="356"/>
      <c r="O18" s="357"/>
      <c r="P18" s="360"/>
      <c r="Q18" s="220"/>
      <c r="R18" s="220"/>
      <c r="S18" s="220"/>
      <c r="T18" s="220"/>
      <c r="U18" s="220"/>
      <c r="V18" s="220"/>
      <c r="W18" s="220"/>
      <c r="X18" s="220"/>
      <c r="Y18" s="220"/>
      <c r="Z18" s="405"/>
      <c r="AA18" s="361"/>
      <c r="AB18" s="362"/>
      <c r="AC18" s="406"/>
      <c r="AD18" s="406"/>
      <c r="AE18" s="411"/>
      <c r="AF18" s="404"/>
      <c r="AG18" s="352"/>
      <c r="AH18" s="352"/>
      <c r="AI18" s="404"/>
      <c r="AJ18" s="352"/>
      <c r="AK18" s="352"/>
      <c r="AL18" s="429"/>
      <c r="AM18" s="81"/>
      <c r="AN18" s="81"/>
      <c r="AO18" s="81"/>
      <c r="AP18" s="81"/>
      <c r="AQ18" s="81"/>
      <c r="AR18" s="81"/>
      <c r="AS18" s="81"/>
      <c r="AT18" s="81"/>
      <c r="AU18" s="81"/>
      <c r="AV18" s="81"/>
      <c r="AW18" s="81"/>
      <c r="AX18" s="81"/>
      <c r="AY18" s="81"/>
      <c r="AZ18" s="81"/>
      <c r="BA18" s="81"/>
      <c r="BB18" s="81"/>
      <c r="BC18" s="81"/>
      <c r="BD18" s="81"/>
      <c r="BE18" s="81"/>
      <c r="BF18" s="81"/>
    </row>
    <row r="19" hidden="1" customHeight="1" spans="1:58">
      <c r="A19" s="297" t="s">
        <v>1004</v>
      </c>
      <c r="E19" s="53"/>
      <c r="F19" s="270"/>
      <c r="G19" s="278"/>
      <c r="H19" s="310"/>
      <c r="I19" s="351"/>
      <c r="J19" s="220"/>
      <c r="K19" s="220"/>
      <c r="L19" s="352"/>
      <c r="M19" s="353"/>
      <c r="N19" s="361"/>
      <c r="O19" s="361"/>
      <c r="P19" s="362"/>
      <c r="Q19" s="361"/>
      <c r="R19" s="361"/>
      <c r="S19" s="361"/>
      <c r="T19" s="361"/>
      <c r="U19" s="361"/>
      <c r="V19" s="361"/>
      <c r="W19" s="361"/>
      <c r="X19" s="361"/>
      <c r="Y19" s="361"/>
      <c r="Z19" s="361"/>
      <c r="AA19" s="361"/>
      <c r="AB19" s="361"/>
      <c r="AC19" s="361"/>
      <c r="AD19" s="361"/>
      <c r="AE19" s="412"/>
      <c r="AF19" s="404"/>
      <c r="AG19" s="352"/>
      <c r="AH19" s="352"/>
      <c r="AI19" s="404"/>
      <c r="AJ19" s="352"/>
      <c r="AK19" s="352"/>
      <c r="AL19" s="429"/>
      <c r="AM19" s="81"/>
      <c r="AN19" s="81"/>
      <c r="AO19" s="81"/>
      <c r="AP19" s="81"/>
      <c r="AQ19" s="81"/>
      <c r="AR19" s="81"/>
      <c r="AS19" s="81"/>
      <c r="AT19" s="81"/>
      <c r="AU19" s="81"/>
      <c r="AV19" s="81"/>
      <c r="AW19" s="81"/>
      <c r="AX19" s="81"/>
      <c r="AY19" s="81"/>
      <c r="AZ19" s="81"/>
      <c r="BA19" s="81"/>
      <c r="BB19" s="81"/>
      <c r="BC19" s="81"/>
      <c r="BD19" s="81"/>
      <c r="BE19" s="81"/>
      <c r="BF19" s="81"/>
    </row>
    <row r="20" ht="12.75" customHeight="1" spans="1:58">
      <c r="A20" s="297" t="s">
        <v>1004</v>
      </c>
      <c r="B20" s="297" t="s">
        <v>1039</v>
      </c>
      <c r="E20" s="53"/>
      <c r="F20" s="313"/>
      <c r="G20" s="235" t="s">
        <v>683</v>
      </c>
      <c r="H20" s="278" t="s">
        <v>107</v>
      </c>
      <c r="I20" s="374" t="s">
        <v>1040</v>
      </c>
      <c r="J20" s="375" t="s">
        <v>1041</v>
      </c>
      <c r="K20" s="213" t="s">
        <v>1042</v>
      </c>
      <c r="L20" s="140" t="s">
        <v>19</v>
      </c>
      <c r="M20" s="232"/>
      <c r="N20" s="376"/>
      <c r="O20" s="377" t="s">
        <v>372</v>
      </c>
      <c r="P20" s="378"/>
      <c r="Q20" s="378"/>
      <c r="R20" s="378"/>
      <c r="S20" s="378"/>
      <c r="T20" s="378"/>
      <c r="U20" s="378"/>
      <c r="V20" s="378"/>
      <c r="W20" s="378"/>
      <c r="X20" s="378"/>
      <c r="Y20" s="378"/>
      <c r="Z20" s="378"/>
      <c r="AA20" s="378"/>
      <c r="AB20" s="378"/>
      <c r="AC20" s="378"/>
      <c r="AD20" s="378"/>
      <c r="AE20" s="378"/>
      <c r="AF20" s="423">
        <v>2026</v>
      </c>
      <c r="AG20" s="432" t="s">
        <v>1043</v>
      </c>
      <c r="AH20" s="432" t="s">
        <v>1044</v>
      </c>
      <c r="AI20" s="423"/>
      <c r="AJ20" s="432"/>
      <c r="AK20" s="432"/>
      <c r="AL20" s="429"/>
      <c r="AM20" s="81"/>
      <c r="AN20" s="81"/>
      <c r="AO20" s="81"/>
      <c r="AP20" s="81"/>
      <c r="AQ20" s="81"/>
      <c r="AR20" s="81"/>
      <c r="AS20" s="81"/>
      <c r="AT20" s="81"/>
      <c r="AU20" s="81"/>
      <c r="AV20" s="81"/>
      <c r="AW20" s="81"/>
      <c r="AX20" s="81"/>
      <c r="AY20" s="81"/>
      <c r="AZ20" s="81"/>
      <c r="BA20" s="81"/>
      <c r="BB20" s="81"/>
      <c r="BC20" s="81"/>
      <c r="BD20" s="81"/>
      <c r="BE20" s="81"/>
      <c r="BF20" s="81"/>
    </row>
    <row r="21" hidden="1" customHeight="1" spans="1:58">
      <c r="A21" s="297" t="s">
        <v>1004</v>
      </c>
      <c r="E21" s="53"/>
      <c r="F21" s="313"/>
      <c r="G21" s="314"/>
      <c r="H21" s="278" t="s">
        <v>372</v>
      </c>
      <c r="I21" s="374"/>
      <c r="J21" s="375"/>
      <c r="K21" s="213"/>
      <c r="L21" s="140"/>
      <c r="M21" s="232"/>
      <c r="N21" s="367"/>
      <c r="O21" s="379">
        <v>1</v>
      </c>
      <c r="P21" s="369" t="s">
        <v>66</v>
      </c>
      <c r="Q21" s="375" t="s">
        <v>1045</v>
      </c>
      <c r="R21" s="387" t="s">
        <v>1046</v>
      </c>
      <c r="S21" s="387" t="s">
        <v>1047</v>
      </c>
      <c r="T21" s="387" t="s">
        <v>1047</v>
      </c>
      <c r="U21" s="387" t="s">
        <v>1048</v>
      </c>
      <c r="V21" s="387" t="s">
        <v>1049</v>
      </c>
      <c r="W21" s="387" t="s">
        <v>1050</v>
      </c>
      <c r="X21" s="387" t="s">
        <v>1051</v>
      </c>
      <c r="Y21" s="387" t="s">
        <v>1052</v>
      </c>
      <c r="Z21" s="380"/>
      <c r="AA21" s="381"/>
      <c r="AB21" s="381"/>
      <c r="AC21" s="413"/>
      <c r="AD21" s="413"/>
      <c r="AE21" s="424"/>
      <c r="AF21" s="423"/>
      <c r="AG21" s="432"/>
      <c r="AH21" s="432"/>
      <c r="AI21" s="423"/>
      <c r="AJ21" s="432"/>
      <c r="AK21" s="432"/>
      <c r="AL21" s="429"/>
      <c r="AM21" s="81"/>
      <c r="AN21" s="81"/>
      <c r="AO21" s="81"/>
      <c r="AP21" s="81"/>
      <c r="AQ21" s="81"/>
      <c r="AR21" s="81"/>
      <c r="AS21" s="81"/>
      <c r="AT21" s="81"/>
      <c r="AU21" s="81"/>
      <c r="AV21" s="81"/>
      <c r="AW21" s="81"/>
      <c r="AX21" s="81"/>
      <c r="AY21" s="81"/>
      <c r="AZ21" s="81"/>
      <c r="BA21" s="81"/>
      <c r="BB21" s="81"/>
      <c r="BC21" s="81"/>
      <c r="BD21" s="81"/>
      <c r="BE21" s="81"/>
      <c r="BF21" s="81"/>
    </row>
    <row r="22" ht="42" customHeight="1" spans="1:58">
      <c r="A22" s="297" t="s">
        <v>1004</v>
      </c>
      <c r="E22" s="53"/>
      <c r="F22" s="313"/>
      <c r="G22" s="314"/>
      <c r="H22" s="278" t="s">
        <v>372</v>
      </c>
      <c r="I22" s="374"/>
      <c r="J22" s="375"/>
      <c r="K22" s="213"/>
      <c r="L22" s="140"/>
      <c r="M22" s="232"/>
      <c r="N22" s="367"/>
      <c r="O22" s="379"/>
      <c r="P22" s="371"/>
      <c r="Q22" s="375"/>
      <c r="R22" s="104"/>
      <c r="S22" s="387"/>
      <c r="T22" s="104"/>
      <c r="U22" s="104"/>
      <c r="V22" s="104"/>
      <c r="W22" s="104"/>
      <c r="X22" s="104"/>
      <c r="Y22" s="104"/>
      <c r="Z22" s="415"/>
      <c r="AA22" s="368">
        <v>1</v>
      </c>
      <c r="AB22" s="416" t="s">
        <v>1053</v>
      </c>
      <c r="AC22" s="417">
        <v>8449</v>
      </c>
      <c r="AD22" s="416" t="str">
        <f>AB22</f>
        <v>      Амортизационные отчисления с выделением результатов переоценки основных средств и нематериальных активов</v>
      </c>
      <c r="AE22" s="417"/>
      <c r="AF22" s="423"/>
      <c r="AG22" s="432"/>
      <c r="AH22" s="432"/>
      <c r="AI22" s="423"/>
      <c r="AJ22" s="432"/>
      <c r="AK22" s="432"/>
      <c r="AL22" s="429"/>
      <c r="AM22" s="81"/>
      <c r="AN22" s="81"/>
      <c r="AO22" s="81"/>
      <c r="AP22" s="81"/>
      <c r="AQ22" s="81"/>
      <c r="AR22" s="81"/>
      <c r="AS22" s="81"/>
      <c r="AT22" s="81"/>
      <c r="AU22" s="81"/>
      <c r="AV22" s="81"/>
      <c r="AW22" s="81"/>
      <c r="AX22" s="81"/>
      <c r="AY22" s="81"/>
      <c r="AZ22" s="81"/>
      <c r="BA22" s="81"/>
      <c r="BB22" s="81"/>
      <c r="BC22" s="81"/>
      <c r="BD22" s="81"/>
      <c r="BE22" s="81"/>
      <c r="BF22" s="81"/>
    </row>
    <row r="23" ht="11.25" customHeight="1" spans="1:58">
      <c r="A23" s="297" t="s">
        <v>1004</v>
      </c>
      <c r="E23" s="53"/>
      <c r="F23" s="313"/>
      <c r="G23" s="314"/>
      <c r="H23" s="278" t="s">
        <v>372</v>
      </c>
      <c r="I23" s="374"/>
      <c r="J23" s="375"/>
      <c r="K23" s="213"/>
      <c r="L23" s="140"/>
      <c r="M23" s="232"/>
      <c r="N23" s="367"/>
      <c r="O23" s="379"/>
      <c r="P23" s="373"/>
      <c r="Q23" s="375"/>
      <c r="R23" s="104"/>
      <c r="S23" s="387"/>
      <c r="T23" s="104"/>
      <c r="U23" s="104"/>
      <c r="V23" s="104"/>
      <c r="W23" s="104"/>
      <c r="X23" s="104"/>
      <c r="Y23" s="104"/>
      <c r="Z23" s="380"/>
      <c r="AA23" s="381"/>
      <c r="AB23" s="227" t="s">
        <v>1054</v>
      </c>
      <c r="AC23" s="413"/>
      <c r="AD23" s="413"/>
      <c r="AE23" s="425"/>
      <c r="AF23" s="423"/>
      <c r="AG23" s="432"/>
      <c r="AH23" s="432"/>
      <c r="AI23" s="423"/>
      <c r="AJ23" s="432"/>
      <c r="AK23" s="432"/>
      <c r="AL23" s="429"/>
      <c r="AM23" s="81"/>
      <c r="AN23" s="81"/>
      <c r="AO23" s="81"/>
      <c r="AP23" s="81"/>
      <c r="AQ23" s="81"/>
      <c r="AR23" s="81"/>
      <c r="AS23" s="81"/>
      <c r="AT23" s="81"/>
      <c r="AU23" s="81"/>
      <c r="AV23" s="81"/>
      <c r="AW23" s="81"/>
      <c r="AX23" s="81"/>
      <c r="AY23" s="81"/>
      <c r="AZ23" s="81"/>
      <c r="BA23" s="81"/>
      <c r="BB23" s="81"/>
      <c r="BC23" s="81"/>
      <c r="BD23" s="81"/>
      <c r="BE23" s="81"/>
      <c r="BF23" s="81"/>
    </row>
    <row r="24" ht="13.5" customHeight="1" spans="1:58">
      <c r="A24" s="297" t="s">
        <v>1004</v>
      </c>
      <c r="E24" s="53"/>
      <c r="F24" s="313"/>
      <c r="G24" s="314"/>
      <c r="H24" s="278" t="s">
        <v>372</v>
      </c>
      <c r="I24" s="374"/>
      <c r="J24" s="375"/>
      <c r="K24" s="213"/>
      <c r="L24" s="140"/>
      <c r="M24" s="232"/>
      <c r="N24" s="380"/>
      <c r="O24" s="381"/>
      <c r="P24" s="227" t="s">
        <v>1055</v>
      </c>
      <c r="Q24" s="381"/>
      <c r="R24" s="381"/>
      <c r="S24" s="381"/>
      <c r="T24" s="381"/>
      <c r="U24" s="381"/>
      <c r="V24" s="381"/>
      <c r="W24" s="381"/>
      <c r="X24" s="381"/>
      <c r="Y24" s="381"/>
      <c r="Z24" s="381"/>
      <c r="AA24" s="381"/>
      <c r="AB24" s="381"/>
      <c r="AC24" s="381"/>
      <c r="AD24" s="381"/>
      <c r="AE24" s="426"/>
      <c r="AF24" s="423"/>
      <c r="AG24" s="432"/>
      <c r="AH24" s="432"/>
      <c r="AI24" s="423"/>
      <c r="AJ24" s="432"/>
      <c r="AK24" s="432"/>
      <c r="AL24" s="429"/>
      <c r="AM24" s="81"/>
      <c r="AN24" s="81"/>
      <c r="AO24" s="81"/>
      <c r="AP24" s="81"/>
      <c r="AQ24" s="81"/>
      <c r="AR24" s="81"/>
      <c r="AS24" s="81"/>
      <c r="AT24" s="81"/>
      <c r="AU24" s="81"/>
      <c r="AV24" s="81"/>
      <c r="AW24" s="81"/>
      <c r="AX24" s="81"/>
      <c r="AY24" s="81"/>
      <c r="AZ24" s="81"/>
      <c r="BA24" s="81"/>
      <c r="BB24" s="81"/>
      <c r="BC24" s="81"/>
      <c r="BD24" s="81"/>
      <c r="BE24" s="81"/>
      <c r="BF24" s="81"/>
    </row>
    <row r="25" ht="11.25" customHeight="1" spans="1:58">
      <c r="A25" s="297" t="s">
        <v>1004</v>
      </c>
      <c r="B25" s="297" t="s">
        <v>1039</v>
      </c>
      <c r="E25" s="53"/>
      <c r="F25" s="313"/>
      <c r="G25" s="235" t="s">
        <v>683</v>
      </c>
      <c r="H25" s="278" t="s">
        <v>108</v>
      </c>
      <c r="I25" s="374" t="s">
        <v>1040</v>
      </c>
      <c r="J25" s="375" t="s">
        <v>1041</v>
      </c>
      <c r="K25" s="213" t="s">
        <v>1056</v>
      </c>
      <c r="L25" s="140" t="s">
        <v>19</v>
      </c>
      <c r="M25" s="232"/>
      <c r="N25" s="376"/>
      <c r="O25" s="377" t="s">
        <v>372</v>
      </c>
      <c r="P25" s="378"/>
      <c r="Q25" s="378"/>
      <c r="R25" s="378"/>
      <c r="S25" s="378"/>
      <c r="T25" s="378"/>
      <c r="U25" s="378"/>
      <c r="V25" s="378"/>
      <c r="W25" s="378"/>
      <c r="X25" s="378"/>
      <c r="Y25" s="378"/>
      <c r="Z25" s="378"/>
      <c r="AA25" s="378"/>
      <c r="AB25" s="378"/>
      <c r="AC25" s="378"/>
      <c r="AD25" s="378"/>
      <c r="AE25" s="378"/>
      <c r="AF25" s="423">
        <v>2026</v>
      </c>
      <c r="AG25" s="432" t="s">
        <v>1043</v>
      </c>
      <c r="AH25" s="432" t="s">
        <v>1044</v>
      </c>
      <c r="AI25" s="423"/>
      <c r="AJ25" s="432"/>
      <c r="AK25" s="432"/>
      <c r="AL25" s="429"/>
      <c r="AM25" s="81"/>
      <c r="AN25" s="81"/>
      <c r="AO25" s="81"/>
      <c r="AP25" s="81"/>
      <c r="AQ25" s="81"/>
      <c r="AR25" s="81"/>
      <c r="AS25" s="81"/>
      <c r="AT25" s="81"/>
      <c r="AU25" s="81"/>
      <c r="AV25" s="81"/>
      <c r="AW25" s="81"/>
      <c r="AX25" s="81"/>
      <c r="AY25" s="81"/>
      <c r="AZ25" s="81"/>
      <c r="BA25" s="81"/>
      <c r="BB25" s="81"/>
      <c r="BC25" s="81"/>
      <c r="BD25" s="81"/>
      <c r="BE25" s="81"/>
      <c r="BF25" s="81"/>
    </row>
    <row r="26" ht="11.25" customHeight="1" spans="1:58">
      <c r="A26" s="297" t="s">
        <v>1004</v>
      </c>
      <c r="E26" s="53"/>
      <c r="F26" s="313"/>
      <c r="G26" s="314"/>
      <c r="H26" s="278" t="s">
        <v>107</v>
      </c>
      <c r="I26" s="374"/>
      <c r="J26" s="375"/>
      <c r="K26" s="213"/>
      <c r="L26" s="140"/>
      <c r="M26" s="232"/>
      <c r="N26" s="367"/>
      <c r="O26" s="379">
        <v>1</v>
      </c>
      <c r="P26" s="369" t="s">
        <v>66</v>
      </c>
      <c r="Q26" s="375" t="s">
        <v>1057</v>
      </c>
      <c r="R26" s="387" t="s">
        <v>1046</v>
      </c>
      <c r="S26" s="387" t="s">
        <v>1047</v>
      </c>
      <c r="T26" s="387" t="s">
        <v>1047</v>
      </c>
      <c r="U26" s="387" t="s">
        <v>1048</v>
      </c>
      <c r="V26" s="387" t="s">
        <v>1049</v>
      </c>
      <c r="W26" s="387" t="s">
        <v>1050</v>
      </c>
      <c r="X26" s="387" t="s">
        <v>1058</v>
      </c>
      <c r="Y26" s="387" t="s">
        <v>1059</v>
      </c>
      <c r="Z26" s="380"/>
      <c r="AA26" s="381"/>
      <c r="AB26" s="381"/>
      <c r="AC26" s="413"/>
      <c r="AD26" s="413"/>
      <c r="AE26" s="424"/>
      <c r="AF26" s="423"/>
      <c r="AG26" s="432"/>
      <c r="AH26" s="432"/>
      <c r="AI26" s="423"/>
      <c r="AJ26" s="432"/>
      <c r="AK26" s="432"/>
      <c r="AL26" s="429"/>
      <c r="AM26" s="81"/>
      <c r="AN26" s="81"/>
      <c r="AO26" s="81"/>
      <c r="AP26" s="81"/>
      <c r="AQ26" s="81"/>
      <c r="AR26" s="81"/>
      <c r="AS26" s="81"/>
      <c r="AT26" s="81"/>
      <c r="AU26" s="81"/>
      <c r="AV26" s="81"/>
      <c r="AW26" s="81"/>
      <c r="AX26" s="81"/>
      <c r="AY26" s="81"/>
      <c r="AZ26" s="81"/>
      <c r="BA26" s="81"/>
      <c r="BB26" s="81"/>
      <c r="BC26" s="81"/>
      <c r="BD26" s="81"/>
      <c r="BE26" s="81"/>
      <c r="BF26" s="81"/>
    </row>
    <row r="27" ht="34.5" customHeight="1" spans="1:58">
      <c r="A27" s="297" t="s">
        <v>1004</v>
      </c>
      <c r="E27" s="53"/>
      <c r="F27" s="313"/>
      <c r="G27" s="314"/>
      <c r="H27" s="278" t="s">
        <v>107</v>
      </c>
      <c r="I27" s="374"/>
      <c r="J27" s="375"/>
      <c r="K27" s="213"/>
      <c r="L27" s="140"/>
      <c r="M27" s="232"/>
      <c r="N27" s="367"/>
      <c r="O27" s="379"/>
      <c r="P27" s="371"/>
      <c r="Q27" s="375"/>
      <c r="R27" s="104"/>
      <c r="S27" s="387"/>
      <c r="T27" s="104"/>
      <c r="U27" s="104"/>
      <c r="V27" s="104"/>
      <c r="W27" s="104"/>
      <c r="X27" s="104"/>
      <c r="Y27" s="104"/>
      <c r="Z27" s="415"/>
      <c r="AA27" s="368">
        <v>1</v>
      </c>
      <c r="AB27" s="416" t="s">
        <v>1053</v>
      </c>
      <c r="AC27" s="417">
        <v>6124</v>
      </c>
      <c r="AD27" s="416" t="str">
        <f>AB27</f>
        <v>      Амортизационные отчисления с выделением результатов переоценки основных средств и нематериальных активов</v>
      </c>
      <c r="AE27" s="417"/>
      <c r="AF27" s="423"/>
      <c r="AG27" s="432"/>
      <c r="AH27" s="432"/>
      <c r="AI27" s="423"/>
      <c r="AJ27" s="432"/>
      <c r="AK27" s="432"/>
      <c r="AL27" s="429"/>
      <c r="AM27" s="81"/>
      <c r="AN27" s="81"/>
      <c r="AO27" s="81"/>
      <c r="AP27" s="81"/>
      <c r="AQ27" s="81"/>
      <c r="AR27" s="81"/>
      <c r="AS27" s="81"/>
      <c r="AT27" s="81"/>
      <c r="AU27" s="81"/>
      <c r="AV27" s="81"/>
      <c r="AW27" s="81"/>
      <c r="AX27" s="81"/>
      <c r="AY27" s="81"/>
      <c r="AZ27" s="81"/>
      <c r="BA27" s="81"/>
      <c r="BB27" s="81"/>
      <c r="BC27" s="81"/>
      <c r="BD27" s="81"/>
      <c r="BE27" s="81"/>
      <c r="BF27" s="81"/>
    </row>
    <row r="28" ht="11.25" customHeight="1" spans="1:58">
      <c r="A28" s="297" t="s">
        <v>1004</v>
      </c>
      <c r="E28" s="53"/>
      <c r="F28" s="313"/>
      <c r="G28" s="314"/>
      <c r="H28" s="278" t="s">
        <v>107</v>
      </c>
      <c r="I28" s="374"/>
      <c r="J28" s="375"/>
      <c r="K28" s="213"/>
      <c r="L28" s="140"/>
      <c r="M28" s="232"/>
      <c r="N28" s="367"/>
      <c r="O28" s="379"/>
      <c r="P28" s="373"/>
      <c r="Q28" s="375"/>
      <c r="R28" s="104"/>
      <c r="S28" s="387"/>
      <c r="T28" s="104"/>
      <c r="U28" s="104"/>
      <c r="V28" s="104"/>
      <c r="W28" s="104"/>
      <c r="X28" s="104"/>
      <c r="Y28" s="104"/>
      <c r="Z28" s="380"/>
      <c r="AA28" s="381"/>
      <c r="AB28" s="227" t="s">
        <v>1054</v>
      </c>
      <c r="AC28" s="413"/>
      <c r="AD28" s="413"/>
      <c r="AE28" s="425"/>
      <c r="AF28" s="423"/>
      <c r="AG28" s="432"/>
      <c r="AH28" s="432"/>
      <c r="AI28" s="423"/>
      <c r="AJ28" s="432"/>
      <c r="AK28" s="432"/>
      <c r="AL28" s="429"/>
      <c r="AM28" s="81"/>
      <c r="AN28" s="81"/>
      <c r="AO28" s="81"/>
      <c r="AP28" s="81"/>
      <c r="AQ28" s="81"/>
      <c r="AR28" s="81"/>
      <c r="AS28" s="81"/>
      <c r="AT28" s="81"/>
      <c r="AU28" s="81"/>
      <c r="AV28" s="81"/>
      <c r="AW28" s="81"/>
      <c r="AX28" s="81"/>
      <c r="AY28" s="81"/>
      <c r="AZ28" s="81"/>
      <c r="BA28" s="81"/>
      <c r="BB28" s="81"/>
      <c r="BC28" s="81"/>
      <c r="BD28" s="81"/>
      <c r="BE28" s="81"/>
      <c r="BF28" s="81"/>
    </row>
    <row r="29" ht="11.25" customHeight="1" spans="1:58">
      <c r="A29" s="297" t="s">
        <v>1004</v>
      </c>
      <c r="E29" s="53"/>
      <c r="F29" s="313"/>
      <c r="G29" s="314"/>
      <c r="H29" s="278" t="s">
        <v>107</v>
      </c>
      <c r="I29" s="374"/>
      <c r="J29" s="375"/>
      <c r="K29" s="213"/>
      <c r="L29" s="140"/>
      <c r="M29" s="232"/>
      <c r="N29" s="380"/>
      <c r="O29" s="381"/>
      <c r="P29" s="227" t="s">
        <v>1055</v>
      </c>
      <c r="Q29" s="381"/>
      <c r="R29" s="381"/>
      <c r="S29" s="381"/>
      <c r="T29" s="381"/>
      <c r="U29" s="381"/>
      <c r="V29" s="381"/>
      <c r="W29" s="381"/>
      <c r="X29" s="381"/>
      <c r="Y29" s="381"/>
      <c r="Z29" s="381"/>
      <c r="AA29" s="381"/>
      <c r="AB29" s="381"/>
      <c r="AC29" s="381"/>
      <c r="AD29" s="381"/>
      <c r="AE29" s="426"/>
      <c r="AF29" s="423"/>
      <c r="AG29" s="432"/>
      <c r="AH29" s="432"/>
      <c r="AI29" s="423"/>
      <c r="AJ29" s="432"/>
      <c r="AK29" s="432"/>
      <c r="AL29" s="429"/>
      <c r="AM29" s="81"/>
      <c r="AN29" s="81"/>
      <c r="AO29" s="81"/>
      <c r="AP29" s="81"/>
      <c r="AQ29" s="81"/>
      <c r="AR29" s="81"/>
      <c r="AS29" s="81"/>
      <c r="AT29" s="81"/>
      <c r="AU29" s="81"/>
      <c r="AV29" s="81"/>
      <c r="AW29" s="81"/>
      <c r="AX29" s="81"/>
      <c r="AY29" s="81"/>
      <c r="AZ29" s="81"/>
      <c r="BA29" s="81"/>
      <c r="BB29" s="81"/>
      <c r="BC29" s="81"/>
      <c r="BD29" s="81"/>
      <c r="BE29" s="81"/>
      <c r="BF29" s="81"/>
    </row>
    <row r="30" ht="11.25" customHeight="1" spans="1:58">
      <c r="A30" s="297" t="s">
        <v>1004</v>
      </c>
      <c r="B30" s="297" t="s">
        <v>1039</v>
      </c>
      <c r="E30" s="53"/>
      <c r="F30" s="313"/>
      <c r="G30" s="235" t="s">
        <v>683</v>
      </c>
      <c r="H30" s="278" t="s">
        <v>91</v>
      </c>
      <c r="I30" s="374" t="s">
        <v>1040</v>
      </c>
      <c r="J30" s="375" t="s">
        <v>1041</v>
      </c>
      <c r="K30" s="213" t="s">
        <v>1060</v>
      </c>
      <c r="L30" s="140" t="s">
        <v>19</v>
      </c>
      <c r="M30" s="232"/>
      <c r="N30" s="376"/>
      <c r="O30" s="377" t="s">
        <v>372</v>
      </c>
      <c r="P30" s="378"/>
      <c r="Q30" s="378"/>
      <c r="R30" s="378"/>
      <c r="S30" s="378"/>
      <c r="T30" s="378"/>
      <c r="U30" s="378"/>
      <c r="V30" s="378"/>
      <c r="W30" s="378"/>
      <c r="X30" s="378"/>
      <c r="Y30" s="378"/>
      <c r="Z30" s="378"/>
      <c r="AA30" s="378"/>
      <c r="AB30" s="378"/>
      <c r="AC30" s="378"/>
      <c r="AD30" s="378"/>
      <c r="AE30" s="378"/>
      <c r="AF30" s="423">
        <v>2026</v>
      </c>
      <c r="AG30" s="432" t="s">
        <v>1043</v>
      </c>
      <c r="AH30" s="432" t="s">
        <v>1044</v>
      </c>
      <c r="AI30" s="423"/>
      <c r="AJ30" s="432"/>
      <c r="AK30" s="432"/>
      <c r="AL30" s="429"/>
      <c r="AM30" s="81"/>
      <c r="AN30" s="81"/>
      <c r="AO30" s="81"/>
      <c r="AP30" s="81"/>
      <c r="AQ30" s="81"/>
      <c r="AR30" s="81"/>
      <c r="AS30" s="81"/>
      <c r="AT30" s="81"/>
      <c r="AU30" s="81"/>
      <c r="AV30" s="81"/>
      <c r="AW30" s="81"/>
      <c r="AX30" s="81"/>
      <c r="AY30" s="81"/>
      <c r="AZ30" s="81"/>
      <c r="BA30" s="81"/>
      <c r="BB30" s="81"/>
      <c r="BC30" s="81"/>
      <c r="BD30" s="81"/>
      <c r="BE30" s="81"/>
      <c r="BF30" s="81"/>
    </row>
    <row r="31" ht="11.25" customHeight="1" spans="1:58">
      <c r="A31" s="297" t="s">
        <v>1004</v>
      </c>
      <c r="E31" s="53"/>
      <c r="F31" s="313"/>
      <c r="G31" s="314"/>
      <c r="H31" s="278" t="s">
        <v>108</v>
      </c>
      <c r="I31" s="374"/>
      <c r="J31" s="375"/>
      <c r="K31" s="213"/>
      <c r="L31" s="140"/>
      <c r="M31" s="232"/>
      <c r="N31" s="367"/>
      <c r="O31" s="379">
        <v>1</v>
      </c>
      <c r="P31" s="369" t="s">
        <v>66</v>
      </c>
      <c r="Q31" s="375" t="s">
        <v>1061</v>
      </c>
      <c r="R31" s="387" t="s">
        <v>1046</v>
      </c>
      <c r="S31" s="387" t="s">
        <v>1047</v>
      </c>
      <c r="T31" s="387" t="s">
        <v>1047</v>
      </c>
      <c r="U31" s="387" t="s">
        <v>1048</v>
      </c>
      <c r="V31" s="387" t="s">
        <v>1049</v>
      </c>
      <c r="W31" s="387" t="s">
        <v>1050</v>
      </c>
      <c r="X31" s="387" t="s">
        <v>1062</v>
      </c>
      <c r="Y31" s="387" t="s">
        <v>1063</v>
      </c>
      <c r="Z31" s="380"/>
      <c r="AA31" s="381"/>
      <c r="AB31" s="381"/>
      <c r="AC31" s="413"/>
      <c r="AD31" s="413"/>
      <c r="AE31" s="424"/>
      <c r="AF31" s="423"/>
      <c r="AG31" s="432"/>
      <c r="AH31" s="432"/>
      <c r="AI31" s="423"/>
      <c r="AJ31" s="432"/>
      <c r="AK31" s="432"/>
      <c r="AL31" s="429"/>
      <c r="AM31" s="81"/>
      <c r="AN31" s="81"/>
      <c r="AO31" s="81"/>
      <c r="AP31" s="81"/>
      <c r="AQ31" s="81"/>
      <c r="AR31" s="81"/>
      <c r="AS31" s="81"/>
      <c r="AT31" s="81"/>
      <c r="AU31" s="81"/>
      <c r="AV31" s="81"/>
      <c r="AW31" s="81"/>
      <c r="AX31" s="81"/>
      <c r="AY31" s="81"/>
      <c r="AZ31" s="81"/>
      <c r="BA31" s="81"/>
      <c r="BB31" s="81"/>
      <c r="BC31" s="81"/>
      <c r="BD31" s="81"/>
      <c r="BE31" s="81"/>
      <c r="BF31" s="81"/>
    </row>
    <row r="32" ht="30.75" customHeight="1" spans="1:58">
      <c r="A32" s="297" t="s">
        <v>1004</v>
      </c>
      <c r="E32" s="53"/>
      <c r="F32" s="313"/>
      <c r="G32" s="314"/>
      <c r="H32" s="278" t="s">
        <v>108</v>
      </c>
      <c r="I32" s="374"/>
      <c r="J32" s="375"/>
      <c r="K32" s="213"/>
      <c r="L32" s="140"/>
      <c r="M32" s="232"/>
      <c r="N32" s="367"/>
      <c r="O32" s="379"/>
      <c r="P32" s="371"/>
      <c r="Q32" s="375"/>
      <c r="R32" s="104"/>
      <c r="S32" s="387"/>
      <c r="T32" s="104"/>
      <c r="U32" s="104"/>
      <c r="V32" s="104"/>
      <c r="W32" s="104"/>
      <c r="X32" s="104"/>
      <c r="Y32" s="104"/>
      <c r="Z32" s="415"/>
      <c r="AA32" s="368">
        <v>1</v>
      </c>
      <c r="AB32" s="416" t="s">
        <v>1053</v>
      </c>
      <c r="AC32" s="417">
        <v>7466.89</v>
      </c>
      <c r="AD32" s="416" t="str">
        <f>AB32</f>
        <v>      Амортизационные отчисления с выделением результатов переоценки основных средств и нематериальных активов</v>
      </c>
      <c r="AE32" s="417"/>
      <c r="AF32" s="423"/>
      <c r="AG32" s="432"/>
      <c r="AH32" s="432"/>
      <c r="AI32" s="423"/>
      <c r="AJ32" s="432"/>
      <c r="AK32" s="432"/>
      <c r="AL32" s="429"/>
      <c r="AM32" s="81"/>
      <c r="AN32" s="81"/>
      <c r="AO32" s="81"/>
      <c r="AP32" s="81"/>
      <c r="AQ32" s="81"/>
      <c r="AR32" s="81"/>
      <c r="AS32" s="81"/>
      <c r="AT32" s="81"/>
      <c r="AU32" s="81"/>
      <c r="AV32" s="81"/>
      <c r="AW32" s="81"/>
      <c r="AX32" s="81"/>
      <c r="AY32" s="81"/>
      <c r="AZ32" s="81"/>
      <c r="BA32" s="81"/>
      <c r="BB32" s="81"/>
      <c r="BC32" s="81"/>
      <c r="BD32" s="81"/>
      <c r="BE32" s="81"/>
      <c r="BF32" s="81"/>
    </row>
    <row r="33" ht="11.25" customHeight="1" spans="1:58">
      <c r="A33" s="297" t="s">
        <v>1004</v>
      </c>
      <c r="E33" s="53"/>
      <c r="F33" s="313"/>
      <c r="G33" s="314"/>
      <c r="H33" s="278" t="s">
        <v>108</v>
      </c>
      <c r="I33" s="374"/>
      <c r="J33" s="375"/>
      <c r="K33" s="213"/>
      <c r="L33" s="140"/>
      <c r="M33" s="232"/>
      <c r="N33" s="367"/>
      <c r="O33" s="379"/>
      <c r="P33" s="373"/>
      <c r="Q33" s="375"/>
      <c r="R33" s="104"/>
      <c r="S33" s="387"/>
      <c r="T33" s="104"/>
      <c r="U33" s="104"/>
      <c r="V33" s="104"/>
      <c r="W33" s="104"/>
      <c r="X33" s="104"/>
      <c r="Y33" s="104"/>
      <c r="Z33" s="380"/>
      <c r="AA33" s="381"/>
      <c r="AB33" s="227" t="s">
        <v>1054</v>
      </c>
      <c r="AC33" s="413"/>
      <c r="AD33" s="413"/>
      <c r="AE33" s="425"/>
      <c r="AF33" s="423"/>
      <c r="AG33" s="432"/>
      <c r="AH33" s="432"/>
      <c r="AI33" s="423"/>
      <c r="AJ33" s="432"/>
      <c r="AK33" s="432"/>
      <c r="AL33" s="429"/>
      <c r="AM33" s="81"/>
      <c r="AN33" s="81"/>
      <c r="AO33" s="81"/>
      <c r="AP33" s="81"/>
      <c r="AQ33" s="81"/>
      <c r="AR33" s="81"/>
      <c r="AS33" s="81"/>
      <c r="AT33" s="81"/>
      <c r="AU33" s="81"/>
      <c r="AV33" s="81"/>
      <c r="AW33" s="81"/>
      <c r="AX33" s="81"/>
      <c r="AY33" s="81"/>
      <c r="AZ33" s="81"/>
      <c r="BA33" s="81"/>
      <c r="BB33" s="81"/>
      <c r="BC33" s="81"/>
      <c r="BD33" s="81"/>
      <c r="BE33" s="81"/>
      <c r="BF33" s="81"/>
    </row>
    <row r="34" ht="11.25" customHeight="1" spans="1:58">
      <c r="A34" s="297" t="s">
        <v>1004</v>
      </c>
      <c r="E34" s="53"/>
      <c r="F34" s="313"/>
      <c r="G34" s="314"/>
      <c r="H34" s="278" t="s">
        <v>108</v>
      </c>
      <c r="I34" s="374"/>
      <c r="J34" s="375"/>
      <c r="K34" s="213"/>
      <c r="L34" s="140"/>
      <c r="M34" s="232"/>
      <c r="N34" s="380"/>
      <c r="O34" s="381"/>
      <c r="P34" s="227" t="s">
        <v>1055</v>
      </c>
      <c r="Q34" s="381"/>
      <c r="R34" s="381"/>
      <c r="S34" s="381"/>
      <c r="T34" s="381"/>
      <c r="U34" s="381"/>
      <c r="V34" s="381"/>
      <c r="W34" s="381"/>
      <c r="X34" s="381"/>
      <c r="Y34" s="381"/>
      <c r="Z34" s="381"/>
      <c r="AA34" s="381"/>
      <c r="AB34" s="381"/>
      <c r="AC34" s="381"/>
      <c r="AD34" s="381"/>
      <c r="AE34" s="426"/>
      <c r="AF34" s="423"/>
      <c r="AG34" s="432"/>
      <c r="AH34" s="432"/>
      <c r="AI34" s="423"/>
      <c r="AJ34" s="432"/>
      <c r="AK34" s="432"/>
      <c r="AL34" s="429"/>
      <c r="AM34" s="81"/>
      <c r="AN34" s="81"/>
      <c r="AO34" s="81"/>
      <c r="AP34" s="81"/>
      <c r="AQ34" s="81"/>
      <c r="AR34" s="81"/>
      <c r="AS34" s="81"/>
      <c r="AT34" s="81"/>
      <c r="AU34" s="81"/>
      <c r="AV34" s="81"/>
      <c r="AW34" s="81"/>
      <c r="AX34" s="81"/>
      <c r="AY34" s="81"/>
      <c r="AZ34" s="81"/>
      <c r="BA34" s="81"/>
      <c r="BB34" s="81"/>
      <c r="BC34" s="81"/>
      <c r="BD34" s="81"/>
      <c r="BE34" s="81"/>
      <c r="BF34" s="81"/>
    </row>
    <row r="35" ht="11.25" customHeight="1" spans="1:58">
      <c r="A35" s="297" t="s">
        <v>1004</v>
      </c>
      <c r="B35" s="297" t="s">
        <v>1039</v>
      </c>
      <c r="E35" s="53"/>
      <c r="F35" s="313"/>
      <c r="G35" s="235" t="s">
        <v>683</v>
      </c>
      <c r="H35" s="278" t="s">
        <v>92</v>
      </c>
      <c r="I35" s="374" t="s">
        <v>1040</v>
      </c>
      <c r="J35" s="375" t="s">
        <v>1041</v>
      </c>
      <c r="K35" s="213" t="s">
        <v>1064</v>
      </c>
      <c r="L35" s="140" t="s">
        <v>19</v>
      </c>
      <c r="M35" s="232"/>
      <c r="N35" s="376"/>
      <c r="O35" s="377" t="s">
        <v>372</v>
      </c>
      <c r="P35" s="378"/>
      <c r="Q35" s="378"/>
      <c r="R35" s="378"/>
      <c r="S35" s="378"/>
      <c r="T35" s="378"/>
      <c r="U35" s="378"/>
      <c r="V35" s="378"/>
      <c r="W35" s="378"/>
      <c r="X35" s="378"/>
      <c r="Y35" s="378"/>
      <c r="Z35" s="378"/>
      <c r="AA35" s="378"/>
      <c r="AB35" s="378"/>
      <c r="AC35" s="378"/>
      <c r="AD35" s="378"/>
      <c r="AE35" s="378"/>
      <c r="AF35" s="423">
        <v>2026</v>
      </c>
      <c r="AG35" s="432" t="s">
        <v>1043</v>
      </c>
      <c r="AH35" s="432" t="s">
        <v>1044</v>
      </c>
      <c r="AI35" s="423"/>
      <c r="AJ35" s="432"/>
      <c r="AK35" s="432"/>
      <c r="AL35" s="429"/>
      <c r="AM35" s="81"/>
      <c r="AN35" s="81"/>
      <c r="AO35" s="81"/>
      <c r="AP35" s="81"/>
      <c r="AQ35" s="81"/>
      <c r="AR35" s="81"/>
      <c r="AS35" s="81"/>
      <c r="AT35" s="81"/>
      <c r="AU35" s="81"/>
      <c r="AV35" s="81"/>
      <c r="AW35" s="81"/>
      <c r="AX35" s="81"/>
      <c r="AY35" s="81"/>
      <c r="AZ35" s="81"/>
      <c r="BA35" s="81"/>
      <c r="BB35" s="81"/>
      <c r="BC35" s="81"/>
      <c r="BD35" s="81"/>
      <c r="BE35" s="81"/>
      <c r="BF35" s="81"/>
    </row>
    <row r="36" ht="11.25" customHeight="1" spans="1:58">
      <c r="A36" s="297" t="s">
        <v>1004</v>
      </c>
      <c r="E36" s="53"/>
      <c r="F36" s="313"/>
      <c r="G36" s="314"/>
      <c r="H36" s="278" t="s">
        <v>91</v>
      </c>
      <c r="I36" s="374"/>
      <c r="J36" s="375"/>
      <c r="K36" s="213"/>
      <c r="L36" s="140"/>
      <c r="M36" s="232"/>
      <c r="N36" s="367"/>
      <c r="O36" s="379">
        <v>1</v>
      </c>
      <c r="P36" s="369" t="s">
        <v>66</v>
      </c>
      <c r="Q36" s="375" t="s">
        <v>1065</v>
      </c>
      <c r="R36" s="387" t="s">
        <v>1046</v>
      </c>
      <c r="S36" s="387" t="s">
        <v>1047</v>
      </c>
      <c r="T36" s="387" t="s">
        <v>1047</v>
      </c>
      <c r="U36" s="387" t="s">
        <v>1048</v>
      </c>
      <c r="V36" s="387" t="s">
        <v>1049</v>
      </c>
      <c r="W36" s="387" t="s">
        <v>1050</v>
      </c>
      <c r="X36" s="387" t="s">
        <v>1066</v>
      </c>
      <c r="Y36" s="387" t="s">
        <v>1067</v>
      </c>
      <c r="Z36" s="380"/>
      <c r="AA36" s="381"/>
      <c r="AB36" s="381"/>
      <c r="AC36" s="413"/>
      <c r="AD36" s="413"/>
      <c r="AE36" s="424"/>
      <c r="AF36" s="423"/>
      <c r="AG36" s="432"/>
      <c r="AH36" s="432"/>
      <c r="AI36" s="423"/>
      <c r="AJ36" s="432"/>
      <c r="AK36" s="432"/>
      <c r="AL36" s="429"/>
      <c r="AM36" s="81"/>
      <c r="AN36" s="81"/>
      <c r="AO36" s="81"/>
      <c r="AP36" s="81"/>
      <c r="AQ36" s="81"/>
      <c r="AR36" s="81"/>
      <c r="AS36" s="81"/>
      <c r="AT36" s="81"/>
      <c r="AU36" s="81"/>
      <c r="AV36" s="81"/>
      <c r="AW36" s="81"/>
      <c r="AX36" s="81"/>
      <c r="AY36" s="81"/>
      <c r="AZ36" s="81"/>
      <c r="BA36" s="81"/>
      <c r="BB36" s="81"/>
      <c r="BC36" s="81"/>
      <c r="BD36" s="81"/>
      <c r="BE36" s="81"/>
      <c r="BF36" s="81"/>
    </row>
    <row r="37" ht="34.5" customHeight="1" spans="1:58">
      <c r="A37" s="297" t="s">
        <v>1004</v>
      </c>
      <c r="E37" s="53"/>
      <c r="F37" s="313"/>
      <c r="G37" s="314"/>
      <c r="H37" s="278" t="s">
        <v>91</v>
      </c>
      <c r="I37" s="374"/>
      <c r="J37" s="375"/>
      <c r="K37" s="213"/>
      <c r="L37" s="140"/>
      <c r="M37" s="232"/>
      <c r="N37" s="367"/>
      <c r="O37" s="379"/>
      <c r="P37" s="371"/>
      <c r="Q37" s="375"/>
      <c r="R37" s="104"/>
      <c r="S37" s="387"/>
      <c r="T37" s="104"/>
      <c r="U37" s="104"/>
      <c r="V37" s="104"/>
      <c r="W37" s="104"/>
      <c r="X37" s="104"/>
      <c r="Y37" s="104"/>
      <c r="Z37" s="415"/>
      <c r="AA37" s="368">
        <v>1</v>
      </c>
      <c r="AB37" s="416" t="s">
        <v>1053</v>
      </c>
      <c r="AC37" s="417">
        <v>5276.48</v>
      </c>
      <c r="AD37" s="416" t="str">
        <f>AB37</f>
        <v>      Амортизационные отчисления с выделением результатов переоценки основных средств и нематериальных активов</v>
      </c>
      <c r="AE37" s="417"/>
      <c r="AF37" s="423"/>
      <c r="AG37" s="432"/>
      <c r="AH37" s="432"/>
      <c r="AI37" s="423"/>
      <c r="AJ37" s="432"/>
      <c r="AK37" s="432"/>
      <c r="AL37" s="429"/>
      <c r="AM37" s="81"/>
      <c r="AN37" s="81"/>
      <c r="AO37" s="81"/>
      <c r="AP37" s="81"/>
      <c r="AQ37" s="81"/>
      <c r="AR37" s="81"/>
      <c r="AS37" s="81"/>
      <c r="AT37" s="81"/>
      <c r="AU37" s="81"/>
      <c r="AV37" s="81"/>
      <c r="AW37" s="81"/>
      <c r="AX37" s="81"/>
      <c r="AY37" s="81"/>
      <c r="AZ37" s="81"/>
      <c r="BA37" s="81"/>
      <c r="BB37" s="81"/>
      <c r="BC37" s="81"/>
      <c r="BD37" s="81"/>
      <c r="BE37" s="81"/>
      <c r="BF37" s="81"/>
    </row>
    <row r="38" ht="11.25" customHeight="1" spans="1:58">
      <c r="A38" s="297" t="s">
        <v>1004</v>
      </c>
      <c r="E38" s="53"/>
      <c r="F38" s="313"/>
      <c r="G38" s="314"/>
      <c r="H38" s="278" t="s">
        <v>91</v>
      </c>
      <c r="I38" s="374"/>
      <c r="J38" s="375"/>
      <c r="K38" s="213"/>
      <c r="L38" s="140"/>
      <c r="M38" s="232"/>
      <c r="N38" s="367"/>
      <c r="O38" s="379"/>
      <c r="P38" s="373"/>
      <c r="Q38" s="375"/>
      <c r="R38" s="104"/>
      <c r="S38" s="387"/>
      <c r="T38" s="104"/>
      <c r="U38" s="104"/>
      <c r="V38" s="104"/>
      <c r="W38" s="104"/>
      <c r="X38" s="104"/>
      <c r="Y38" s="104"/>
      <c r="Z38" s="380"/>
      <c r="AA38" s="381"/>
      <c r="AB38" s="227" t="s">
        <v>1054</v>
      </c>
      <c r="AC38" s="413"/>
      <c r="AD38" s="413"/>
      <c r="AE38" s="425"/>
      <c r="AF38" s="423"/>
      <c r="AG38" s="432"/>
      <c r="AH38" s="432"/>
      <c r="AI38" s="423"/>
      <c r="AJ38" s="432"/>
      <c r="AK38" s="432"/>
      <c r="AL38" s="429"/>
      <c r="AM38" s="81"/>
      <c r="AN38" s="81"/>
      <c r="AO38" s="81"/>
      <c r="AP38" s="81"/>
      <c r="AQ38" s="81"/>
      <c r="AR38" s="81"/>
      <c r="AS38" s="81"/>
      <c r="AT38" s="81"/>
      <c r="AU38" s="81"/>
      <c r="AV38" s="81"/>
      <c r="AW38" s="81"/>
      <c r="AX38" s="81"/>
      <c r="AY38" s="81"/>
      <c r="AZ38" s="81"/>
      <c r="BA38" s="81"/>
      <c r="BB38" s="81"/>
      <c r="BC38" s="81"/>
      <c r="BD38" s="81"/>
      <c r="BE38" s="81"/>
      <c r="BF38" s="81"/>
    </row>
    <row r="39" ht="11.25" customHeight="1" spans="1:58">
      <c r="A39" s="297" t="s">
        <v>1004</v>
      </c>
      <c r="E39" s="53"/>
      <c r="F39" s="313"/>
      <c r="G39" s="314"/>
      <c r="H39" s="278" t="s">
        <v>91</v>
      </c>
      <c r="I39" s="374"/>
      <c r="J39" s="375"/>
      <c r="K39" s="213"/>
      <c r="L39" s="140"/>
      <c r="M39" s="232"/>
      <c r="N39" s="380"/>
      <c r="O39" s="381"/>
      <c r="P39" s="227" t="s">
        <v>1055</v>
      </c>
      <c r="Q39" s="381"/>
      <c r="R39" s="381"/>
      <c r="S39" s="381"/>
      <c r="T39" s="381"/>
      <c r="U39" s="381"/>
      <c r="V39" s="381"/>
      <c r="W39" s="381"/>
      <c r="X39" s="381"/>
      <c r="Y39" s="381"/>
      <c r="Z39" s="381"/>
      <c r="AA39" s="381"/>
      <c r="AB39" s="381"/>
      <c r="AC39" s="381"/>
      <c r="AD39" s="381"/>
      <c r="AE39" s="426"/>
      <c r="AF39" s="423"/>
      <c r="AG39" s="432"/>
      <c r="AH39" s="432"/>
      <c r="AI39" s="423"/>
      <c r="AJ39" s="432"/>
      <c r="AK39" s="432"/>
      <c r="AL39" s="429"/>
      <c r="AM39" s="81"/>
      <c r="AN39" s="81"/>
      <c r="AO39" s="81"/>
      <c r="AP39" s="81"/>
      <c r="AQ39" s="81"/>
      <c r="AR39" s="81"/>
      <c r="AS39" s="81"/>
      <c r="AT39" s="81"/>
      <c r="AU39" s="81"/>
      <c r="AV39" s="81"/>
      <c r="AW39" s="81"/>
      <c r="AX39" s="81"/>
      <c r="AY39" s="81"/>
      <c r="AZ39" s="81"/>
      <c r="BA39" s="81"/>
      <c r="BB39" s="81"/>
      <c r="BC39" s="81"/>
      <c r="BD39" s="81"/>
      <c r="BE39" s="81"/>
      <c r="BF39" s="81"/>
    </row>
    <row r="40" ht="11.25" customHeight="1" spans="1:58">
      <c r="A40" s="297" t="s">
        <v>1004</v>
      </c>
      <c r="B40" s="297" t="s">
        <v>1039</v>
      </c>
      <c r="E40" s="53"/>
      <c r="F40" s="313"/>
      <c r="G40" s="235" t="s">
        <v>683</v>
      </c>
      <c r="H40" s="278" t="s">
        <v>109</v>
      </c>
      <c r="I40" s="374" t="s">
        <v>1040</v>
      </c>
      <c r="J40" s="375" t="s">
        <v>1041</v>
      </c>
      <c r="K40" s="213" t="s">
        <v>1068</v>
      </c>
      <c r="L40" s="140" t="s">
        <v>19</v>
      </c>
      <c r="M40" s="232"/>
      <c r="N40" s="376"/>
      <c r="O40" s="377" t="s">
        <v>372</v>
      </c>
      <c r="P40" s="378"/>
      <c r="Q40" s="378"/>
      <c r="R40" s="378"/>
      <c r="S40" s="378"/>
      <c r="T40" s="378"/>
      <c r="U40" s="378"/>
      <c r="V40" s="378"/>
      <c r="W40" s="378"/>
      <c r="X40" s="378"/>
      <c r="Y40" s="378"/>
      <c r="Z40" s="378"/>
      <c r="AA40" s="378"/>
      <c r="AB40" s="378"/>
      <c r="AC40" s="378"/>
      <c r="AD40" s="378"/>
      <c r="AE40" s="378"/>
      <c r="AF40" s="423">
        <v>2026</v>
      </c>
      <c r="AG40" s="432" t="s">
        <v>1043</v>
      </c>
      <c r="AH40" s="432" t="s">
        <v>1044</v>
      </c>
      <c r="AI40" s="423"/>
      <c r="AJ40" s="432"/>
      <c r="AK40" s="432"/>
      <c r="AL40" s="429"/>
      <c r="AM40" s="81"/>
      <c r="AN40" s="81"/>
      <c r="AO40" s="81"/>
      <c r="AP40" s="81"/>
      <c r="AQ40" s="81"/>
      <c r="AR40" s="81"/>
      <c r="AS40" s="81"/>
      <c r="AT40" s="81"/>
      <c r="AU40" s="81"/>
      <c r="AV40" s="81"/>
      <c r="AW40" s="81"/>
      <c r="AX40" s="81"/>
      <c r="AY40" s="81"/>
      <c r="AZ40" s="81"/>
      <c r="BA40" s="81"/>
      <c r="BB40" s="81"/>
      <c r="BC40" s="81"/>
      <c r="BD40" s="81"/>
      <c r="BE40" s="81"/>
      <c r="BF40" s="81"/>
    </row>
    <row r="41" ht="11.25" customHeight="1" spans="1:58">
      <c r="A41" s="297" t="s">
        <v>1004</v>
      </c>
      <c r="E41" s="53"/>
      <c r="F41" s="313"/>
      <c r="G41" s="314"/>
      <c r="H41" s="278" t="s">
        <v>92</v>
      </c>
      <c r="I41" s="374"/>
      <c r="J41" s="375"/>
      <c r="K41" s="213"/>
      <c r="L41" s="140"/>
      <c r="M41" s="232"/>
      <c r="N41" s="367"/>
      <c r="O41" s="379">
        <v>1</v>
      </c>
      <c r="P41" s="369" t="s">
        <v>66</v>
      </c>
      <c r="Q41" s="375" t="s">
        <v>1069</v>
      </c>
      <c r="R41" s="387" t="s">
        <v>1070</v>
      </c>
      <c r="S41" s="387" t="s">
        <v>1047</v>
      </c>
      <c r="T41" s="387" t="s">
        <v>1047</v>
      </c>
      <c r="U41" s="387" t="s">
        <v>1048</v>
      </c>
      <c r="V41" s="387" t="s">
        <v>1049</v>
      </c>
      <c r="W41" s="387" t="s">
        <v>1050</v>
      </c>
      <c r="X41" s="387" t="s">
        <v>1071</v>
      </c>
      <c r="Y41" s="387" t="s">
        <v>1072</v>
      </c>
      <c r="Z41" s="380"/>
      <c r="AA41" s="381"/>
      <c r="AB41" s="381"/>
      <c r="AC41" s="413"/>
      <c r="AD41" s="413"/>
      <c r="AE41" s="424"/>
      <c r="AF41" s="423"/>
      <c r="AG41" s="432"/>
      <c r="AH41" s="432"/>
      <c r="AI41" s="423"/>
      <c r="AJ41" s="432"/>
      <c r="AK41" s="432"/>
      <c r="AL41" s="429"/>
      <c r="AM41" s="81"/>
      <c r="AN41" s="81"/>
      <c r="AO41" s="81"/>
      <c r="AP41" s="81"/>
      <c r="AQ41" s="81"/>
      <c r="AR41" s="81"/>
      <c r="AS41" s="81"/>
      <c r="AT41" s="81"/>
      <c r="AU41" s="81"/>
      <c r="AV41" s="81"/>
      <c r="AW41" s="81"/>
      <c r="AX41" s="81"/>
      <c r="AY41" s="81"/>
      <c r="AZ41" s="81"/>
      <c r="BA41" s="81"/>
      <c r="BB41" s="81"/>
      <c r="BC41" s="81"/>
      <c r="BD41" s="81"/>
      <c r="BE41" s="81"/>
      <c r="BF41" s="81"/>
    </row>
    <row r="42" ht="33" customHeight="1" spans="1:58">
      <c r="A42" s="297" t="s">
        <v>1004</v>
      </c>
      <c r="E42" s="53"/>
      <c r="F42" s="313"/>
      <c r="G42" s="314"/>
      <c r="H42" s="278" t="s">
        <v>92</v>
      </c>
      <c r="I42" s="374"/>
      <c r="J42" s="375"/>
      <c r="K42" s="213"/>
      <c r="L42" s="140"/>
      <c r="M42" s="232"/>
      <c r="N42" s="367"/>
      <c r="O42" s="379"/>
      <c r="P42" s="371"/>
      <c r="Q42" s="375"/>
      <c r="R42" s="104"/>
      <c r="S42" s="387"/>
      <c r="T42" s="104"/>
      <c r="U42" s="104"/>
      <c r="V42" s="104"/>
      <c r="W42" s="104"/>
      <c r="X42" s="104"/>
      <c r="Y42" s="104"/>
      <c r="Z42" s="415"/>
      <c r="AA42" s="368">
        <v>1</v>
      </c>
      <c r="AB42" s="416" t="s">
        <v>1053</v>
      </c>
      <c r="AC42" s="417">
        <v>3983.38</v>
      </c>
      <c r="AD42" s="416" t="str">
        <f>AB42</f>
        <v>      Амортизационные отчисления с выделением результатов переоценки основных средств и нематериальных активов</v>
      </c>
      <c r="AE42" s="417"/>
      <c r="AF42" s="423"/>
      <c r="AG42" s="432"/>
      <c r="AH42" s="432"/>
      <c r="AI42" s="423"/>
      <c r="AJ42" s="432"/>
      <c r="AK42" s="432"/>
      <c r="AL42" s="429"/>
      <c r="AM42" s="81"/>
      <c r="AN42" s="81"/>
      <c r="AO42" s="81"/>
      <c r="AP42" s="81"/>
      <c r="AQ42" s="81"/>
      <c r="AR42" s="81"/>
      <c r="AS42" s="81"/>
      <c r="AT42" s="81"/>
      <c r="AU42" s="81"/>
      <c r="AV42" s="81"/>
      <c r="AW42" s="81"/>
      <c r="AX42" s="81"/>
      <c r="AY42" s="81"/>
      <c r="AZ42" s="81"/>
      <c r="BA42" s="81"/>
      <c r="BB42" s="81"/>
      <c r="BC42" s="81"/>
      <c r="BD42" s="81"/>
      <c r="BE42" s="81"/>
      <c r="BF42" s="81"/>
    </row>
    <row r="43" ht="11.25" customHeight="1" spans="1:58">
      <c r="A43" s="297" t="s">
        <v>1004</v>
      </c>
      <c r="E43" s="53"/>
      <c r="F43" s="313"/>
      <c r="G43" s="314"/>
      <c r="H43" s="278" t="s">
        <v>92</v>
      </c>
      <c r="I43" s="374"/>
      <c r="J43" s="375"/>
      <c r="K43" s="213"/>
      <c r="L43" s="140"/>
      <c r="M43" s="232"/>
      <c r="N43" s="367"/>
      <c r="O43" s="379"/>
      <c r="P43" s="373"/>
      <c r="Q43" s="375"/>
      <c r="R43" s="104"/>
      <c r="S43" s="387"/>
      <c r="T43" s="104"/>
      <c r="U43" s="104"/>
      <c r="V43" s="104"/>
      <c r="W43" s="104"/>
      <c r="X43" s="104"/>
      <c r="Y43" s="104"/>
      <c r="Z43" s="380"/>
      <c r="AA43" s="381"/>
      <c r="AB43" s="227" t="s">
        <v>1054</v>
      </c>
      <c r="AC43" s="413"/>
      <c r="AD43" s="413"/>
      <c r="AE43" s="425"/>
      <c r="AF43" s="423"/>
      <c r="AG43" s="432"/>
      <c r="AH43" s="432"/>
      <c r="AI43" s="423"/>
      <c r="AJ43" s="432"/>
      <c r="AK43" s="432"/>
      <c r="AL43" s="429"/>
      <c r="AM43" s="81"/>
      <c r="AN43" s="81"/>
      <c r="AO43" s="81"/>
      <c r="AP43" s="81"/>
      <c r="AQ43" s="81"/>
      <c r="AR43" s="81"/>
      <c r="AS43" s="81"/>
      <c r="AT43" s="81"/>
      <c r="AU43" s="81"/>
      <c r="AV43" s="81"/>
      <c r="AW43" s="81"/>
      <c r="AX43" s="81"/>
      <c r="AY43" s="81"/>
      <c r="AZ43" s="81"/>
      <c r="BA43" s="81"/>
      <c r="BB43" s="81"/>
      <c r="BC43" s="81"/>
      <c r="BD43" s="81"/>
      <c r="BE43" s="81"/>
      <c r="BF43" s="81"/>
    </row>
    <row r="44" ht="11.25" customHeight="1" spans="1:58">
      <c r="A44" s="297" t="s">
        <v>1004</v>
      </c>
      <c r="E44" s="53"/>
      <c r="F44" s="313"/>
      <c r="G44" s="314"/>
      <c r="H44" s="278" t="s">
        <v>92</v>
      </c>
      <c r="I44" s="374"/>
      <c r="J44" s="375"/>
      <c r="K44" s="213"/>
      <c r="L44" s="140"/>
      <c r="M44" s="232"/>
      <c r="N44" s="380"/>
      <c r="O44" s="381"/>
      <c r="P44" s="227" t="s">
        <v>1055</v>
      </c>
      <c r="Q44" s="381"/>
      <c r="R44" s="381"/>
      <c r="S44" s="381"/>
      <c r="T44" s="381"/>
      <c r="U44" s="381"/>
      <c r="V44" s="381"/>
      <c r="W44" s="381"/>
      <c r="X44" s="381"/>
      <c r="Y44" s="381"/>
      <c r="Z44" s="381"/>
      <c r="AA44" s="381"/>
      <c r="AB44" s="381"/>
      <c r="AC44" s="381"/>
      <c r="AD44" s="381"/>
      <c r="AE44" s="426"/>
      <c r="AF44" s="423"/>
      <c r="AG44" s="432"/>
      <c r="AH44" s="432"/>
      <c r="AI44" s="423"/>
      <c r="AJ44" s="432"/>
      <c r="AK44" s="432"/>
      <c r="AL44" s="429"/>
      <c r="AM44" s="81"/>
      <c r="AN44" s="81"/>
      <c r="AO44" s="81"/>
      <c r="AP44" s="81"/>
      <c r="AQ44" s="81"/>
      <c r="AR44" s="81"/>
      <c r="AS44" s="81"/>
      <c r="AT44" s="81"/>
      <c r="AU44" s="81"/>
      <c r="AV44" s="81"/>
      <c r="AW44" s="81"/>
      <c r="AX44" s="81"/>
      <c r="AY44" s="81"/>
      <c r="AZ44" s="81"/>
      <c r="BA44" s="81"/>
      <c r="BB44" s="81"/>
      <c r="BC44" s="81"/>
      <c r="BD44" s="81"/>
      <c r="BE44" s="81"/>
      <c r="BF44" s="81"/>
    </row>
    <row r="45" ht="11.25" customHeight="1" spans="1:58">
      <c r="A45" s="297" t="s">
        <v>1004</v>
      </c>
      <c r="B45" s="297" t="s">
        <v>1039</v>
      </c>
      <c r="E45" s="53"/>
      <c r="F45" s="313"/>
      <c r="G45" s="235" t="s">
        <v>683</v>
      </c>
      <c r="H45" s="278" t="s">
        <v>93</v>
      </c>
      <c r="I45" s="374" t="s">
        <v>1040</v>
      </c>
      <c r="J45" s="375" t="s">
        <v>1041</v>
      </c>
      <c r="K45" s="213" t="s">
        <v>1073</v>
      </c>
      <c r="L45" s="140" t="s">
        <v>19</v>
      </c>
      <c r="M45" s="232"/>
      <c r="N45" s="376"/>
      <c r="O45" s="377" t="s">
        <v>372</v>
      </c>
      <c r="P45" s="378"/>
      <c r="Q45" s="378"/>
      <c r="R45" s="378"/>
      <c r="S45" s="378"/>
      <c r="T45" s="378"/>
      <c r="U45" s="378"/>
      <c r="V45" s="378"/>
      <c r="W45" s="378"/>
      <c r="X45" s="378"/>
      <c r="Y45" s="378"/>
      <c r="Z45" s="378"/>
      <c r="AA45" s="378"/>
      <c r="AB45" s="378"/>
      <c r="AC45" s="378"/>
      <c r="AD45" s="378"/>
      <c r="AE45" s="378"/>
      <c r="AF45" s="423">
        <v>2026</v>
      </c>
      <c r="AG45" s="432" t="s">
        <v>1043</v>
      </c>
      <c r="AH45" s="432" t="s">
        <v>1044</v>
      </c>
      <c r="AI45" s="423"/>
      <c r="AJ45" s="432"/>
      <c r="AK45" s="432"/>
      <c r="AL45" s="429"/>
      <c r="AM45" s="81"/>
      <c r="AN45" s="81"/>
      <c r="AO45" s="81"/>
      <c r="AP45" s="81"/>
      <c r="AQ45" s="81"/>
      <c r="AR45" s="81"/>
      <c r="AS45" s="81"/>
      <c r="AT45" s="81"/>
      <c r="AU45" s="81"/>
      <c r="AV45" s="81"/>
      <c r="AW45" s="81"/>
      <c r="AX45" s="81"/>
      <c r="AY45" s="81"/>
      <c r="AZ45" s="81"/>
      <c r="BA45" s="81"/>
      <c r="BB45" s="81"/>
      <c r="BC45" s="81"/>
      <c r="BD45" s="81"/>
      <c r="BE45" s="81"/>
      <c r="BF45" s="81"/>
    </row>
    <row r="46" ht="11.25" customHeight="1" spans="1:58">
      <c r="A46" s="297" t="s">
        <v>1004</v>
      </c>
      <c r="E46" s="53"/>
      <c r="F46" s="313"/>
      <c r="G46" s="314"/>
      <c r="H46" s="278" t="s">
        <v>109</v>
      </c>
      <c r="I46" s="374"/>
      <c r="J46" s="375"/>
      <c r="K46" s="213"/>
      <c r="L46" s="140"/>
      <c r="M46" s="232"/>
      <c r="N46" s="367"/>
      <c r="O46" s="379">
        <v>1</v>
      </c>
      <c r="P46" s="369" t="s">
        <v>66</v>
      </c>
      <c r="Q46" s="375" t="s">
        <v>1074</v>
      </c>
      <c r="R46" s="387" t="s">
        <v>1070</v>
      </c>
      <c r="S46" s="387" t="s">
        <v>1047</v>
      </c>
      <c r="T46" s="387" t="s">
        <v>1047</v>
      </c>
      <c r="U46" s="387" t="s">
        <v>1048</v>
      </c>
      <c r="V46" s="387" t="s">
        <v>1049</v>
      </c>
      <c r="W46" s="387" t="s">
        <v>1050</v>
      </c>
      <c r="X46" s="387" t="s">
        <v>1075</v>
      </c>
      <c r="Y46" s="387" t="s">
        <v>1076</v>
      </c>
      <c r="Z46" s="380"/>
      <c r="AA46" s="381"/>
      <c r="AB46" s="381"/>
      <c r="AC46" s="413"/>
      <c r="AD46" s="413"/>
      <c r="AE46" s="424"/>
      <c r="AF46" s="423"/>
      <c r="AG46" s="432"/>
      <c r="AH46" s="432"/>
      <c r="AI46" s="423"/>
      <c r="AJ46" s="432"/>
      <c r="AK46" s="432"/>
      <c r="AL46" s="429"/>
      <c r="AM46" s="81"/>
      <c r="AN46" s="81"/>
      <c r="AO46" s="81"/>
      <c r="AP46" s="81"/>
      <c r="AQ46" s="81"/>
      <c r="AR46" s="81"/>
      <c r="AS46" s="81"/>
      <c r="AT46" s="81"/>
      <c r="AU46" s="81"/>
      <c r="AV46" s="81"/>
      <c r="AW46" s="81"/>
      <c r="AX46" s="81"/>
      <c r="AY46" s="81"/>
      <c r="AZ46" s="81"/>
      <c r="BA46" s="81"/>
      <c r="BB46" s="81"/>
      <c r="BC46" s="81"/>
      <c r="BD46" s="81"/>
      <c r="BE46" s="81"/>
      <c r="BF46" s="81"/>
    </row>
    <row r="47" ht="29.25" customHeight="1" spans="1:58">
      <c r="A47" s="297" t="s">
        <v>1004</v>
      </c>
      <c r="E47" s="53"/>
      <c r="F47" s="313"/>
      <c r="G47" s="314"/>
      <c r="H47" s="278" t="s">
        <v>109</v>
      </c>
      <c r="I47" s="374"/>
      <c r="J47" s="375"/>
      <c r="K47" s="213"/>
      <c r="L47" s="140"/>
      <c r="M47" s="232"/>
      <c r="N47" s="367"/>
      <c r="O47" s="379"/>
      <c r="P47" s="371"/>
      <c r="Q47" s="375"/>
      <c r="R47" s="104"/>
      <c r="S47" s="387"/>
      <c r="T47" s="104"/>
      <c r="U47" s="104"/>
      <c r="V47" s="104"/>
      <c r="W47" s="104"/>
      <c r="X47" s="104"/>
      <c r="Y47" s="104"/>
      <c r="Z47" s="415"/>
      <c r="AA47" s="368">
        <v>1</v>
      </c>
      <c r="AB47" s="416" t="s">
        <v>1053</v>
      </c>
      <c r="AC47" s="417">
        <v>9321.25</v>
      </c>
      <c r="AD47" s="416" t="str">
        <f>AB47</f>
        <v>      Амортизационные отчисления с выделением результатов переоценки основных средств и нематериальных активов</v>
      </c>
      <c r="AE47" s="417"/>
      <c r="AF47" s="423"/>
      <c r="AG47" s="432"/>
      <c r="AH47" s="432"/>
      <c r="AI47" s="423"/>
      <c r="AJ47" s="432"/>
      <c r="AK47" s="432"/>
      <c r="AL47" s="429"/>
      <c r="AM47" s="81"/>
      <c r="AN47" s="81"/>
      <c r="AO47" s="81"/>
      <c r="AP47" s="81"/>
      <c r="AQ47" s="81"/>
      <c r="AR47" s="81"/>
      <c r="AS47" s="81"/>
      <c r="AT47" s="81"/>
      <c r="AU47" s="81"/>
      <c r="AV47" s="81"/>
      <c r="AW47" s="81"/>
      <c r="AX47" s="81"/>
      <c r="AY47" s="81"/>
      <c r="AZ47" s="81"/>
      <c r="BA47" s="81"/>
      <c r="BB47" s="81"/>
      <c r="BC47" s="81"/>
      <c r="BD47" s="81"/>
      <c r="BE47" s="81"/>
      <c r="BF47" s="81"/>
    </row>
    <row r="48" ht="11.25" customHeight="1" spans="1:58">
      <c r="A48" s="297" t="s">
        <v>1004</v>
      </c>
      <c r="E48" s="53"/>
      <c r="F48" s="313"/>
      <c r="G48" s="314"/>
      <c r="H48" s="278" t="s">
        <v>109</v>
      </c>
      <c r="I48" s="374"/>
      <c r="J48" s="375"/>
      <c r="K48" s="213"/>
      <c r="L48" s="140"/>
      <c r="M48" s="232"/>
      <c r="N48" s="367"/>
      <c r="O48" s="379"/>
      <c r="P48" s="373"/>
      <c r="Q48" s="375"/>
      <c r="R48" s="104"/>
      <c r="S48" s="387"/>
      <c r="T48" s="104"/>
      <c r="U48" s="104"/>
      <c r="V48" s="104"/>
      <c r="W48" s="104"/>
      <c r="X48" s="104"/>
      <c r="Y48" s="104"/>
      <c r="Z48" s="380"/>
      <c r="AA48" s="381"/>
      <c r="AB48" s="227" t="s">
        <v>1054</v>
      </c>
      <c r="AC48" s="413"/>
      <c r="AD48" s="413"/>
      <c r="AE48" s="425"/>
      <c r="AF48" s="423"/>
      <c r="AG48" s="432"/>
      <c r="AH48" s="432"/>
      <c r="AI48" s="423"/>
      <c r="AJ48" s="432"/>
      <c r="AK48" s="432"/>
      <c r="AL48" s="429"/>
      <c r="AM48" s="81"/>
      <c r="AN48" s="81"/>
      <c r="AO48" s="81"/>
      <c r="AP48" s="81"/>
      <c r="AQ48" s="81"/>
      <c r="AR48" s="81"/>
      <c r="AS48" s="81"/>
      <c r="AT48" s="81"/>
      <c r="AU48" s="81"/>
      <c r="AV48" s="81"/>
      <c r="AW48" s="81"/>
      <c r="AX48" s="81"/>
      <c r="AY48" s="81"/>
      <c r="AZ48" s="81"/>
      <c r="BA48" s="81"/>
      <c r="BB48" s="81"/>
      <c r="BC48" s="81"/>
      <c r="BD48" s="81"/>
      <c r="BE48" s="81"/>
      <c r="BF48" s="81"/>
    </row>
    <row r="49" ht="11.25" customHeight="1" spans="1:58">
      <c r="A49" s="297" t="s">
        <v>1004</v>
      </c>
      <c r="E49" s="53"/>
      <c r="F49" s="313"/>
      <c r="G49" s="314"/>
      <c r="H49" s="278" t="s">
        <v>109</v>
      </c>
      <c r="I49" s="374"/>
      <c r="J49" s="375"/>
      <c r="K49" s="213"/>
      <c r="L49" s="140"/>
      <c r="M49" s="232"/>
      <c r="N49" s="380"/>
      <c r="O49" s="381"/>
      <c r="P49" s="227" t="s">
        <v>1055</v>
      </c>
      <c r="Q49" s="381"/>
      <c r="R49" s="381"/>
      <c r="S49" s="381"/>
      <c r="T49" s="381"/>
      <c r="U49" s="381"/>
      <c r="V49" s="381"/>
      <c r="W49" s="381"/>
      <c r="X49" s="381"/>
      <c r="Y49" s="381"/>
      <c r="Z49" s="381"/>
      <c r="AA49" s="381"/>
      <c r="AB49" s="381"/>
      <c r="AC49" s="381"/>
      <c r="AD49" s="381"/>
      <c r="AE49" s="426"/>
      <c r="AF49" s="423"/>
      <c r="AG49" s="432"/>
      <c r="AH49" s="432"/>
      <c r="AI49" s="423"/>
      <c r="AJ49" s="432"/>
      <c r="AK49" s="432"/>
      <c r="AL49" s="429"/>
      <c r="AM49" s="81"/>
      <c r="AN49" s="81"/>
      <c r="AO49" s="81"/>
      <c r="AP49" s="81"/>
      <c r="AQ49" s="81"/>
      <c r="AR49" s="81"/>
      <c r="AS49" s="81"/>
      <c r="AT49" s="81"/>
      <c r="AU49" s="81"/>
      <c r="AV49" s="81"/>
      <c r="AW49" s="81"/>
      <c r="AX49" s="81"/>
      <c r="AY49" s="81"/>
      <c r="AZ49" s="81"/>
      <c r="BA49" s="81"/>
      <c r="BB49" s="81"/>
      <c r="BC49" s="81"/>
      <c r="BD49" s="81"/>
      <c r="BE49" s="81"/>
      <c r="BF49" s="81"/>
    </row>
    <row r="50" ht="11.25" customHeight="1" spans="1:58">
      <c r="A50" s="297" t="s">
        <v>1004</v>
      </c>
      <c r="B50" s="297" t="s">
        <v>1039</v>
      </c>
      <c r="E50" s="53"/>
      <c r="F50" s="313"/>
      <c r="G50" s="235" t="s">
        <v>683</v>
      </c>
      <c r="H50" s="278" t="s">
        <v>94</v>
      </c>
      <c r="I50" s="374" t="s">
        <v>1040</v>
      </c>
      <c r="J50" s="375" t="s">
        <v>1077</v>
      </c>
      <c r="K50" s="213" t="s">
        <v>1078</v>
      </c>
      <c r="L50" s="140" t="s">
        <v>19</v>
      </c>
      <c r="M50" s="232"/>
      <c r="N50" s="376"/>
      <c r="O50" s="377" t="s">
        <v>372</v>
      </c>
      <c r="P50" s="378"/>
      <c r="Q50" s="378"/>
      <c r="R50" s="378"/>
      <c r="S50" s="378"/>
      <c r="T50" s="378"/>
      <c r="U50" s="378"/>
      <c r="V50" s="378"/>
      <c r="W50" s="378"/>
      <c r="X50" s="378"/>
      <c r="Y50" s="378"/>
      <c r="Z50" s="378"/>
      <c r="AA50" s="378"/>
      <c r="AB50" s="378"/>
      <c r="AC50" s="378"/>
      <c r="AD50" s="378"/>
      <c r="AE50" s="378"/>
      <c r="AF50" s="423">
        <v>2026</v>
      </c>
      <c r="AG50" s="432" t="s">
        <v>1043</v>
      </c>
      <c r="AH50" s="432" t="s">
        <v>1044</v>
      </c>
      <c r="AI50" s="423"/>
      <c r="AJ50" s="432"/>
      <c r="AK50" s="432"/>
      <c r="AL50" s="429"/>
      <c r="AM50" s="81"/>
      <c r="AN50" s="81"/>
      <c r="AO50" s="81"/>
      <c r="AP50" s="81"/>
      <c r="AQ50" s="81"/>
      <c r="AR50" s="81"/>
      <c r="AS50" s="81"/>
      <c r="AT50" s="81"/>
      <c r="AU50" s="81"/>
      <c r="AV50" s="81"/>
      <c r="AW50" s="81"/>
      <c r="AX50" s="81"/>
      <c r="AY50" s="81"/>
      <c r="AZ50" s="81"/>
      <c r="BA50" s="81"/>
      <c r="BB50" s="81"/>
      <c r="BC50" s="81"/>
      <c r="BD50" s="81"/>
      <c r="BE50" s="81"/>
      <c r="BF50" s="81"/>
    </row>
    <row r="51" ht="11.25" customHeight="1" spans="1:58">
      <c r="A51" s="297" t="s">
        <v>1004</v>
      </c>
      <c r="E51" s="53"/>
      <c r="F51" s="313"/>
      <c r="G51" s="314"/>
      <c r="H51" s="278" t="s">
        <v>93</v>
      </c>
      <c r="I51" s="374"/>
      <c r="J51" s="375"/>
      <c r="K51" s="213"/>
      <c r="L51" s="140"/>
      <c r="M51" s="232"/>
      <c r="N51" s="367"/>
      <c r="O51" s="379">
        <v>1</v>
      </c>
      <c r="P51" s="369" t="s">
        <v>66</v>
      </c>
      <c r="Q51" s="375" t="s">
        <v>1079</v>
      </c>
      <c r="R51" s="387" t="s">
        <v>1046</v>
      </c>
      <c r="S51" s="387" t="s">
        <v>1047</v>
      </c>
      <c r="T51" s="387" t="s">
        <v>1047</v>
      </c>
      <c r="U51" s="387" t="s">
        <v>1048</v>
      </c>
      <c r="V51" s="387" t="s">
        <v>1049</v>
      </c>
      <c r="W51" s="387" t="s">
        <v>1050</v>
      </c>
      <c r="X51" s="387" t="s">
        <v>1080</v>
      </c>
      <c r="Y51" s="387" t="s">
        <v>1081</v>
      </c>
      <c r="Z51" s="380"/>
      <c r="AA51" s="381"/>
      <c r="AB51" s="381"/>
      <c r="AC51" s="413"/>
      <c r="AD51" s="413"/>
      <c r="AE51" s="424"/>
      <c r="AF51" s="423"/>
      <c r="AG51" s="432"/>
      <c r="AH51" s="432"/>
      <c r="AI51" s="423"/>
      <c r="AJ51" s="432"/>
      <c r="AK51" s="432"/>
      <c r="AL51" s="429"/>
      <c r="AM51" s="81"/>
      <c r="AN51" s="81"/>
      <c r="AO51" s="81"/>
      <c r="AP51" s="81"/>
      <c r="AQ51" s="81"/>
      <c r="AR51" s="81"/>
      <c r="AS51" s="81"/>
      <c r="AT51" s="81"/>
      <c r="AU51" s="81"/>
      <c r="AV51" s="81"/>
      <c r="AW51" s="81"/>
      <c r="AX51" s="81"/>
      <c r="AY51" s="81"/>
      <c r="AZ51" s="81"/>
      <c r="BA51" s="81"/>
      <c r="BB51" s="81"/>
      <c r="BC51" s="81"/>
      <c r="BD51" s="81"/>
      <c r="BE51" s="81"/>
      <c r="BF51" s="81"/>
    </row>
    <row r="52" ht="11.25" customHeight="1" spans="1:58">
      <c r="A52" s="297" t="s">
        <v>1004</v>
      </c>
      <c r="E52" s="53"/>
      <c r="F52" s="313"/>
      <c r="G52" s="314"/>
      <c r="H52" s="278" t="s">
        <v>93</v>
      </c>
      <c r="I52" s="374"/>
      <c r="J52" s="375"/>
      <c r="K52" s="213"/>
      <c r="L52" s="140"/>
      <c r="M52" s="232"/>
      <c r="N52" s="367"/>
      <c r="O52" s="379"/>
      <c r="P52" s="371"/>
      <c r="Q52" s="375"/>
      <c r="R52" s="104"/>
      <c r="S52" s="387"/>
      <c r="T52" s="104"/>
      <c r="U52" s="104"/>
      <c r="V52" s="104"/>
      <c r="W52" s="104"/>
      <c r="X52" s="104"/>
      <c r="Y52" s="104"/>
      <c r="Z52" s="415"/>
      <c r="AA52" s="368">
        <v>1</v>
      </c>
      <c r="AB52" s="416" t="s">
        <v>1082</v>
      </c>
      <c r="AC52" s="417">
        <v>33763.24</v>
      </c>
      <c r="AD52" s="416" t="str">
        <f>AB52</f>
        <v>  Прибыль направляемая на инвестиции</v>
      </c>
      <c r="AE52" s="417"/>
      <c r="AF52" s="423"/>
      <c r="AG52" s="432"/>
      <c r="AH52" s="432"/>
      <c r="AI52" s="423"/>
      <c r="AJ52" s="432"/>
      <c r="AK52" s="432"/>
      <c r="AL52" s="429"/>
      <c r="AM52" s="81"/>
      <c r="AN52" s="81"/>
      <c r="AO52" s="81"/>
      <c r="AP52" s="81"/>
      <c r="AQ52" s="81"/>
      <c r="AR52" s="81"/>
      <c r="AS52" s="81"/>
      <c r="AT52" s="81"/>
      <c r="AU52" s="81"/>
      <c r="AV52" s="81"/>
      <c r="AW52" s="81"/>
      <c r="AX52" s="81"/>
      <c r="AY52" s="81"/>
      <c r="AZ52" s="81"/>
      <c r="BA52" s="81"/>
      <c r="BB52" s="81"/>
      <c r="BC52" s="81"/>
      <c r="BD52" s="81"/>
      <c r="BE52" s="81"/>
      <c r="BF52" s="81"/>
    </row>
    <row r="53" ht="11.25" customHeight="1" spans="1:58">
      <c r="A53" s="297" t="s">
        <v>1004</v>
      </c>
      <c r="E53" s="53"/>
      <c r="F53" s="313"/>
      <c r="G53" s="314"/>
      <c r="H53" s="278" t="s">
        <v>93</v>
      </c>
      <c r="I53" s="374"/>
      <c r="J53" s="375"/>
      <c r="K53" s="213"/>
      <c r="L53" s="140"/>
      <c r="M53" s="232"/>
      <c r="N53" s="367"/>
      <c r="O53" s="379"/>
      <c r="P53" s="373"/>
      <c r="Q53" s="375"/>
      <c r="R53" s="104"/>
      <c r="S53" s="387"/>
      <c r="T53" s="104"/>
      <c r="U53" s="104"/>
      <c r="V53" s="104"/>
      <c r="W53" s="104"/>
      <c r="X53" s="104"/>
      <c r="Y53" s="104"/>
      <c r="Z53" s="380"/>
      <c r="AA53" s="381"/>
      <c r="AB53" s="227" t="s">
        <v>1054</v>
      </c>
      <c r="AC53" s="413"/>
      <c r="AD53" s="413"/>
      <c r="AE53" s="425"/>
      <c r="AF53" s="423"/>
      <c r="AG53" s="432"/>
      <c r="AH53" s="432"/>
      <c r="AI53" s="423"/>
      <c r="AJ53" s="432"/>
      <c r="AK53" s="432"/>
      <c r="AL53" s="429"/>
      <c r="AM53" s="81"/>
      <c r="AN53" s="81"/>
      <c r="AO53" s="81"/>
      <c r="AP53" s="81"/>
      <c r="AQ53" s="81"/>
      <c r="AR53" s="81"/>
      <c r="AS53" s="81"/>
      <c r="AT53" s="81"/>
      <c r="AU53" s="81"/>
      <c r="AV53" s="81"/>
      <c r="AW53" s="81"/>
      <c r="AX53" s="81"/>
      <c r="AY53" s="81"/>
      <c r="AZ53" s="81"/>
      <c r="BA53" s="81"/>
      <c r="BB53" s="81"/>
      <c r="BC53" s="81"/>
      <c r="BD53" s="81"/>
      <c r="BE53" s="81"/>
      <c r="BF53" s="81"/>
    </row>
    <row r="54" ht="11.25" customHeight="1" spans="1:58">
      <c r="A54" s="297" t="s">
        <v>1004</v>
      </c>
      <c r="E54" s="53"/>
      <c r="F54" s="313"/>
      <c r="G54" s="314"/>
      <c r="H54" s="278" t="s">
        <v>93</v>
      </c>
      <c r="I54" s="374"/>
      <c r="J54" s="375"/>
      <c r="K54" s="213"/>
      <c r="L54" s="140"/>
      <c r="M54" s="232"/>
      <c r="N54" s="380"/>
      <c r="O54" s="381"/>
      <c r="P54" s="227" t="s">
        <v>1055</v>
      </c>
      <c r="Q54" s="381"/>
      <c r="R54" s="381"/>
      <c r="S54" s="381"/>
      <c r="T54" s="381"/>
      <c r="U54" s="381"/>
      <c r="V54" s="381"/>
      <c r="W54" s="381"/>
      <c r="X54" s="381"/>
      <c r="Y54" s="381"/>
      <c r="Z54" s="381"/>
      <c r="AA54" s="381"/>
      <c r="AB54" s="381"/>
      <c r="AC54" s="381"/>
      <c r="AD54" s="381"/>
      <c r="AE54" s="426"/>
      <c r="AF54" s="423"/>
      <c r="AG54" s="432"/>
      <c r="AH54" s="432"/>
      <c r="AI54" s="423"/>
      <c r="AJ54" s="432"/>
      <c r="AK54" s="432"/>
      <c r="AL54" s="429"/>
      <c r="AM54" s="81"/>
      <c r="AN54" s="81"/>
      <c r="AO54" s="81"/>
      <c r="AP54" s="81"/>
      <c r="AQ54" s="81"/>
      <c r="AR54" s="81"/>
      <c r="AS54" s="81"/>
      <c r="AT54" s="81"/>
      <c r="AU54" s="81"/>
      <c r="AV54" s="81"/>
      <c r="AW54" s="81"/>
      <c r="AX54" s="81"/>
      <c r="AY54" s="81"/>
      <c r="AZ54" s="81"/>
      <c r="BA54" s="81"/>
      <c r="BB54" s="81"/>
      <c r="BC54" s="81"/>
      <c r="BD54" s="81"/>
      <c r="BE54" s="81"/>
      <c r="BF54" s="81"/>
    </row>
    <row r="55" ht="11.25" customHeight="1" spans="1:58">
      <c r="A55" s="297" t="s">
        <v>1004</v>
      </c>
      <c r="B55" s="297" t="s">
        <v>22</v>
      </c>
      <c r="E55" s="53"/>
      <c r="F55" s="313"/>
      <c r="G55" s="235" t="s">
        <v>683</v>
      </c>
      <c r="H55" s="278" t="s">
        <v>110</v>
      </c>
      <c r="I55" s="374" t="s">
        <v>1083</v>
      </c>
      <c r="J55" s="901" t="s">
        <v>22</v>
      </c>
      <c r="K55" s="213" t="s">
        <v>1084</v>
      </c>
      <c r="L55" s="140" t="s">
        <v>19</v>
      </c>
      <c r="M55" s="232"/>
      <c r="N55" s="376"/>
      <c r="O55" s="377" t="s">
        <v>372</v>
      </c>
      <c r="P55" s="378"/>
      <c r="Q55" s="378"/>
      <c r="R55" s="378"/>
      <c r="S55" s="378"/>
      <c r="T55" s="378"/>
      <c r="U55" s="378"/>
      <c r="V55" s="378"/>
      <c r="W55" s="378"/>
      <c r="X55" s="378"/>
      <c r="Y55" s="378"/>
      <c r="Z55" s="378"/>
      <c r="AA55" s="378"/>
      <c r="AB55" s="378"/>
      <c r="AC55" s="378"/>
      <c r="AD55" s="378"/>
      <c r="AE55" s="378"/>
      <c r="AF55" s="423">
        <v>2026</v>
      </c>
      <c r="AG55" s="432" t="s">
        <v>1043</v>
      </c>
      <c r="AH55" s="432" t="s">
        <v>1044</v>
      </c>
      <c r="AI55" s="423"/>
      <c r="AJ55" s="432"/>
      <c r="AK55" s="432"/>
      <c r="AL55" s="429"/>
      <c r="AM55" s="81"/>
      <c r="AN55" s="81"/>
      <c r="AO55" s="81"/>
      <c r="AP55" s="81"/>
      <c r="AQ55" s="81"/>
      <c r="AR55" s="81"/>
      <c r="AS55" s="81"/>
      <c r="AT55" s="81"/>
      <c r="AU55" s="81"/>
      <c r="AV55" s="81"/>
      <c r="AW55" s="81"/>
      <c r="AX55" s="81"/>
      <c r="AY55" s="81"/>
      <c r="AZ55" s="81"/>
      <c r="BA55" s="81"/>
      <c r="BB55" s="81"/>
      <c r="BC55" s="81"/>
      <c r="BD55" s="81"/>
      <c r="BE55" s="81"/>
      <c r="BF55" s="81"/>
    </row>
    <row r="56" ht="11.25" customHeight="1" spans="1:58">
      <c r="A56" s="297" t="s">
        <v>1004</v>
      </c>
      <c r="E56" s="53"/>
      <c r="F56" s="313"/>
      <c r="G56" s="314"/>
      <c r="H56" s="278" t="s">
        <v>94</v>
      </c>
      <c r="I56" s="374"/>
      <c r="J56" s="901"/>
      <c r="K56" s="213"/>
      <c r="L56" s="140"/>
      <c r="M56" s="232"/>
      <c r="N56" s="367"/>
      <c r="O56" s="379">
        <v>1</v>
      </c>
      <c r="P56" s="369" t="s">
        <v>66</v>
      </c>
      <c r="Q56" s="375" t="s">
        <v>1061</v>
      </c>
      <c r="R56" s="387" t="s">
        <v>1046</v>
      </c>
      <c r="S56" s="387" t="s">
        <v>1047</v>
      </c>
      <c r="T56" s="387" t="s">
        <v>1047</v>
      </c>
      <c r="U56" s="387" t="s">
        <v>1048</v>
      </c>
      <c r="V56" s="387" t="s">
        <v>1049</v>
      </c>
      <c r="W56" s="387" t="s">
        <v>1050</v>
      </c>
      <c r="X56" s="387" t="s">
        <v>1062</v>
      </c>
      <c r="Y56" s="387" t="s">
        <v>1063</v>
      </c>
      <c r="Z56" s="380"/>
      <c r="AA56" s="381"/>
      <c r="AB56" s="381"/>
      <c r="AC56" s="413"/>
      <c r="AD56" s="413"/>
      <c r="AE56" s="424"/>
      <c r="AF56" s="423"/>
      <c r="AG56" s="432"/>
      <c r="AH56" s="432"/>
      <c r="AI56" s="423"/>
      <c r="AJ56" s="432"/>
      <c r="AK56" s="432"/>
      <c r="AL56" s="429"/>
      <c r="AM56" s="81"/>
      <c r="AN56" s="81"/>
      <c r="AO56" s="81"/>
      <c r="AP56" s="81"/>
      <c r="AQ56" s="81"/>
      <c r="AR56" s="81"/>
      <c r="AS56" s="81"/>
      <c r="AT56" s="81"/>
      <c r="AU56" s="81"/>
      <c r="AV56" s="81"/>
      <c r="AW56" s="81"/>
      <c r="AX56" s="81"/>
      <c r="AY56" s="81"/>
      <c r="AZ56" s="81"/>
      <c r="BA56" s="81"/>
      <c r="BB56" s="81"/>
      <c r="BC56" s="81"/>
      <c r="BD56" s="81"/>
      <c r="BE56" s="81"/>
      <c r="BF56" s="81"/>
    </row>
    <row r="57" ht="28.5" customHeight="1" spans="1:58">
      <c r="A57" s="297" t="s">
        <v>1004</v>
      </c>
      <c r="E57" s="53"/>
      <c r="F57" s="313"/>
      <c r="G57" s="314"/>
      <c r="H57" s="278" t="s">
        <v>94</v>
      </c>
      <c r="I57" s="374"/>
      <c r="J57" s="901"/>
      <c r="K57" s="213"/>
      <c r="L57" s="140"/>
      <c r="M57" s="232"/>
      <c r="N57" s="367"/>
      <c r="O57" s="379"/>
      <c r="P57" s="371"/>
      <c r="Q57" s="375"/>
      <c r="R57" s="104"/>
      <c r="S57" s="387"/>
      <c r="T57" s="104"/>
      <c r="U57" s="104"/>
      <c r="V57" s="104"/>
      <c r="W57" s="104"/>
      <c r="X57" s="104"/>
      <c r="Y57" s="104"/>
      <c r="Z57" s="415"/>
      <c r="AA57" s="368">
        <v>1</v>
      </c>
      <c r="AB57" s="416" t="s">
        <v>1053</v>
      </c>
      <c r="AC57" s="417">
        <v>14787.03</v>
      </c>
      <c r="AD57" s="416" t="str">
        <f>AB57</f>
        <v>      Амортизационные отчисления с выделением результатов переоценки основных средств и нематериальных активов</v>
      </c>
      <c r="AE57" s="417"/>
      <c r="AF57" s="423"/>
      <c r="AG57" s="432"/>
      <c r="AH57" s="432"/>
      <c r="AI57" s="423"/>
      <c r="AJ57" s="432"/>
      <c r="AK57" s="432"/>
      <c r="AL57" s="429"/>
      <c r="AM57" s="81"/>
      <c r="AN57" s="81"/>
      <c r="AO57" s="81"/>
      <c r="AP57" s="81"/>
      <c r="AQ57" s="81"/>
      <c r="AR57" s="81"/>
      <c r="AS57" s="81"/>
      <c r="AT57" s="81"/>
      <c r="AU57" s="81"/>
      <c r="AV57" s="81"/>
      <c r="AW57" s="81"/>
      <c r="AX57" s="81"/>
      <c r="AY57" s="81"/>
      <c r="AZ57" s="81"/>
      <c r="BA57" s="81"/>
      <c r="BB57" s="81"/>
      <c r="BC57" s="81"/>
      <c r="BD57" s="81"/>
      <c r="BE57" s="81"/>
      <c r="BF57" s="81"/>
    </row>
    <row r="58" ht="11.25" customHeight="1" spans="1:58">
      <c r="A58" s="297" t="s">
        <v>1004</v>
      </c>
      <c r="E58" s="53"/>
      <c r="F58" s="313"/>
      <c r="G58" s="314"/>
      <c r="H58" s="278" t="s">
        <v>94</v>
      </c>
      <c r="I58" s="374"/>
      <c r="J58" s="901"/>
      <c r="K58" s="213"/>
      <c r="L58" s="140"/>
      <c r="M58" s="232"/>
      <c r="N58" s="367"/>
      <c r="O58" s="379"/>
      <c r="P58" s="373"/>
      <c r="Q58" s="375"/>
      <c r="R58" s="104"/>
      <c r="S58" s="387"/>
      <c r="T58" s="104"/>
      <c r="U58" s="104"/>
      <c r="V58" s="104"/>
      <c r="W58" s="104"/>
      <c r="X58" s="104"/>
      <c r="Y58" s="104"/>
      <c r="Z58" s="380"/>
      <c r="AA58" s="381"/>
      <c r="AB58" s="227" t="s">
        <v>1054</v>
      </c>
      <c r="AC58" s="413"/>
      <c r="AD58" s="413"/>
      <c r="AE58" s="425"/>
      <c r="AF58" s="423"/>
      <c r="AG58" s="432"/>
      <c r="AH58" s="432"/>
      <c r="AI58" s="423"/>
      <c r="AJ58" s="432"/>
      <c r="AK58" s="432"/>
      <c r="AL58" s="429"/>
      <c r="AM58" s="81"/>
      <c r="AN58" s="81"/>
      <c r="AO58" s="81"/>
      <c r="AP58" s="81"/>
      <c r="AQ58" s="81"/>
      <c r="AR58" s="81"/>
      <c r="AS58" s="81"/>
      <c r="AT58" s="81"/>
      <c r="AU58" s="81"/>
      <c r="AV58" s="81"/>
      <c r="AW58" s="81"/>
      <c r="AX58" s="81"/>
      <c r="AY58" s="81"/>
      <c r="AZ58" s="81"/>
      <c r="BA58" s="81"/>
      <c r="BB58" s="81"/>
      <c r="BC58" s="81"/>
      <c r="BD58" s="81"/>
      <c r="BE58" s="81"/>
      <c r="BF58" s="81"/>
    </row>
    <row r="59" ht="11.25" customHeight="1" spans="1:58">
      <c r="A59" s="297" t="s">
        <v>1004</v>
      </c>
      <c r="E59" s="53"/>
      <c r="F59" s="313"/>
      <c r="G59" s="314"/>
      <c r="H59" s="278" t="s">
        <v>94</v>
      </c>
      <c r="I59" s="374"/>
      <c r="J59" s="901"/>
      <c r="K59" s="213"/>
      <c r="L59" s="140"/>
      <c r="M59" s="232"/>
      <c r="N59" s="380"/>
      <c r="O59" s="381"/>
      <c r="P59" s="227" t="s">
        <v>1055</v>
      </c>
      <c r="Q59" s="381"/>
      <c r="R59" s="381"/>
      <c r="S59" s="381"/>
      <c r="T59" s="381"/>
      <c r="U59" s="381"/>
      <c r="V59" s="381"/>
      <c r="W59" s="381"/>
      <c r="X59" s="381"/>
      <c r="Y59" s="381"/>
      <c r="Z59" s="381"/>
      <c r="AA59" s="381"/>
      <c r="AB59" s="381"/>
      <c r="AC59" s="381"/>
      <c r="AD59" s="381"/>
      <c r="AE59" s="426"/>
      <c r="AF59" s="423"/>
      <c r="AG59" s="432"/>
      <c r="AH59" s="432"/>
      <c r="AI59" s="423"/>
      <c r="AJ59" s="432"/>
      <c r="AK59" s="432"/>
      <c r="AL59" s="429"/>
      <c r="AM59" s="81"/>
      <c r="AN59" s="81"/>
      <c r="AO59" s="81"/>
      <c r="AP59" s="81"/>
      <c r="AQ59" s="81"/>
      <c r="AR59" s="81"/>
      <c r="AS59" s="81"/>
      <c r="AT59" s="81"/>
      <c r="AU59" s="81"/>
      <c r="AV59" s="81"/>
      <c r="AW59" s="81"/>
      <c r="AX59" s="81"/>
      <c r="AY59" s="81"/>
      <c r="AZ59" s="81"/>
      <c r="BA59" s="81"/>
      <c r="BB59" s="81"/>
      <c r="BC59" s="81"/>
      <c r="BD59" s="81"/>
      <c r="BE59" s="81"/>
      <c r="BF59" s="81"/>
    </row>
    <row r="60" ht="11.25" customHeight="1" spans="1:58">
      <c r="A60" s="297" t="s">
        <v>1004</v>
      </c>
      <c r="B60" s="297" t="s">
        <v>22</v>
      </c>
      <c r="E60" s="53"/>
      <c r="F60" s="313"/>
      <c r="G60" s="235" t="s">
        <v>683</v>
      </c>
      <c r="H60" s="278" t="s">
        <v>146</v>
      </c>
      <c r="I60" s="374" t="s">
        <v>1083</v>
      </c>
      <c r="J60" s="901" t="s">
        <v>22</v>
      </c>
      <c r="K60" s="213" t="s">
        <v>1085</v>
      </c>
      <c r="L60" s="140" t="s">
        <v>19</v>
      </c>
      <c r="M60" s="232"/>
      <c r="N60" s="376"/>
      <c r="O60" s="377" t="s">
        <v>372</v>
      </c>
      <c r="P60" s="378"/>
      <c r="Q60" s="378"/>
      <c r="R60" s="378"/>
      <c r="S60" s="378"/>
      <c r="T60" s="378"/>
      <c r="U60" s="378"/>
      <c r="V60" s="378"/>
      <c r="W60" s="378"/>
      <c r="X60" s="378"/>
      <c r="Y60" s="378"/>
      <c r="Z60" s="378"/>
      <c r="AA60" s="378"/>
      <c r="AB60" s="378"/>
      <c r="AC60" s="378"/>
      <c r="AD60" s="378"/>
      <c r="AE60" s="378"/>
      <c r="AF60" s="423">
        <v>2026</v>
      </c>
      <c r="AG60" s="432" t="s">
        <v>1043</v>
      </c>
      <c r="AH60" s="432" t="s">
        <v>1044</v>
      </c>
      <c r="AI60" s="423"/>
      <c r="AJ60" s="432"/>
      <c r="AK60" s="432"/>
      <c r="AL60" s="429"/>
      <c r="AM60" s="81"/>
      <c r="AN60" s="81"/>
      <c r="AO60" s="81"/>
      <c r="AP60" s="81"/>
      <c r="AQ60" s="81"/>
      <c r="AR60" s="81"/>
      <c r="AS60" s="81"/>
      <c r="AT60" s="81"/>
      <c r="AU60" s="81"/>
      <c r="AV60" s="81"/>
      <c r="AW60" s="81"/>
      <c r="AX60" s="81"/>
      <c r="AY60" s="81"/>
      <c r="AZ60" s="81"/>
      <c r="BA60" s="81"/>
      <c r="BB60" s="81"/>
      <c r="BC60" s="81"/>
      <c r="BD60" s="81"/>
      <c r="BE60" s="81"/>
      <c r="BF60" s="81"/>
    </row>
    <row r="61" ht="11.25" customHeight="1" spans="1:58">
      <c r="A61" s="297" t="s">
        <v>1004</v>
      </c>
      <c r="E61" s="53"/>
      <c r="F61" s="313"/>
      <c r="G61" s="314"/>
      <c r="H61" s="278" t="s">
        <v>110</v>
      </c>
      <c r="I61" s="374"/>
      <c r="J61" s="901"/>
      <c r="K61" s="213"/>
      <c r="L61" s="140"/>
      <c r="M61" s="232"/>
      <c r="N61" s="367"/>
      <c r="O61" s="379">
        <v>1</v>
      </c>
      <c r="P61" s="369" t="s">
        <v>66</v>
      </c>
      <c r="Q61" s="375" t="s">
        <v>1057</v>
      </c>
      <c r="R61" s="387" t="s">
        <v>1046</v>
      </c>
      <c r="S61" s="387" t="s">
        <v>1047</v>
      </c>
      <c r="T61" s="387" t="s">
        <v>1047</v>
      </c>
      <c r="U61" s="387" t="s">
        <v>1048</v>
      </c>
      <c r="V61" s="387" t="s">
        <v>1049</v>
      </c>
      <c r="W61" s="387" t="s">
        <v>1050</v>
      </c>
      <c r="X61" s="387" t="s">
        <v>1058</v>
      </c>
      <c r="Y61" s="387" t="s">
        <v>1059</v>
      </c>
      <c r="Z61" s="380"/>
      <c r="AA61" s="381"/>
      <c r="AB61" s="381"/>
      <c r="AC61" s="413"/>
      <c r="AD61" s="413"/>
      <c r="AE61" s="424"/>
      <c r="AF61" s="423"/>
      <c r="AG61" s="432"/>
      <c r="AH61" s="432"/>
      <c r="AI61" s="423"/>
      <c r="AJ61" s="432"/>
      <c r="AK61" s="432"/>
      <c r="AL61" s="429"/>
      <c r="AM61" s="81"/>
      <c r="AN61" s="81"/>
      <c r="AO61" s="81"/>
      <c r="AP61" s="81"/>
      <c r="AQ61" s="81"/>
      <c r="AR61" s="81"/>
      <c r="AS61" s="81"/>
      <c r="AT61" s="81"/>
      <c r="AU61" s="81"/>
      <c r="AV61" s="81"/>
      <c r="AW61" s="81"/>
      <c r="AX61" s="81"/>
      <c r="AY61" s="81"/>
      <c r="AZ61" s="81"/>
      <c r="BA61" s="81"/>
      <c r="BB61" s="81"/>
      <c r="BC61" s="81"/>
      <c r="BD61" s="81"/>
      <c r="BE61" s="81"/>
      <c r="BF61" s="81"/>
    </row>
    <row r="62" ht="27" customHeight="1" spans="1:58">
      <c r="A62" s="297" t="s">
        <v>1004</v>
      </c>
      <c r="E62" s="53"/>
      <c r="F62" s="313"/>
      <c r="G62" s="314"/>
      <c r="H62" s="278" t="s">
        <v>110</v>
      </c>
      <c r="I62" s="374"/>
      <c r="J62" s="901"/>
      <c r="K62" s="213"/>
      <c r="L62" s="140"/>
      <c r="M62" s="232"/>
      <c r="N62" s="367"/>
      <c r="O62" s="379"/>
      <c r="P62" s="371"/>
      <c r="Q62" s="375"/>
      <c r="R62" s="104"/>
      <c r="S62" s="387"/>
      <c r="T62" s="104"/>
      <c r="U62" s="104"/>
      <c r="V62" s="104"/>
      <c r="W62" s="104"/>
      <c r="X62" s="104"/>
      <c r="Y62" s="104"/>
      <c r="Z62" s="415"/>
      <c r="AA62" s="368">
        <v>1</v>
      </c>
      <c r="AB62" s="416" t="s">
        <v>1053</v>
      </c>
      <c r="AC62" s="417">
        <v>5346.61</v>
      </c>
      <c r="AD62" s="416" t="str">
        <f>AB62</f>
        <v>      Амортизационные отчисления с выделением результатов переоценки основных средств и нематериальных активов</v>
      </c>
      <c r="AE62" s="417"/>
      <c r="AF62" s="423"/>
      <c r="AG62" s="432"/>
      <c r="AH62" s="432"/>
      <c r="AI62" s="423"/>
      <c r="AJ62" s="432"/>
      <c r="AK62" s="432"/>
      <c r="AL62" s="429"/>
      <c r="AM62" s="81"/>
      <c r="AN62" s="81"/>
      <c r="AO62" s="81"/>
      <c r="AP62" s="81"/>
      <c r="AQ62" s="81"/>
      <c r="AR62" s="81"/>
      <c r="AS62" s="81"/>
      <c r="AT62" s="81"/>
      <c r="AU62" s="81"/>
      <c r="AV62" s="81"/>
      <c r="AW62" s="81"/>
      <c r="AX62" s="81"/>
      <c r="AY62" s="81"/>
      <c r="AZ62" s="81"/>
      <c r="BA62" s="81"/>
      <c r="BB62" s="81"/>
      <c r="BC62" s="81"/>
      <c r="BD62" s="81"/>
      <c r="BE62" s="81"/>
      <c r="BF62" s="81"/>
    </row>
    <row r="63" ht="11.25" customHeight="1" spans="1:58">
      <c r="A63" s="297" t="s">
        <v>1004</v>
      </c>
      <c r="E63" s="53"/>
      <c r="F63" s="313"/>
      <c r="G63" s="314"/>
      <c r="H63" s="278" t="s">
        <v>110</v>
      </c>
      <c r="I63" s="374"/>
      <c r="J63" s="901"/>
      <c r="K63" s="213"/>
      <c r="L63" s="140"/>
      <c r="M63" s="232"/>
      <c r="N63" s="367"/>
      <c r="O63" s="379"/>
      <c r="P63" s="373"/>
      <c r="Q63" s="375"/>
      <c r="R63" s="104"/>
      <c r="S63" s="387"/>
      <c r="T63" s="104"/>
      <c r="U63" s="104"/>
      <c r="V63" s="104"/>
      <c r="W63" s="104"/>
      <c r="X63" s="104"/>
      <c r="Y63" s="104"/>
      <c r="Z63" s="380"/>
      <c r="AA63" s="381"/>
      <c r="AB63" s="227" t="s">
        <v>1054</v>
      </c>
      <c r="AC63" s="413"/>
      <c r="AD63" s="413"/>
      <c r="AE63" s="425"/>
      <c r="AF63" s="423"/>
      <c r="AG63" s="432"/>
      <c r="AH63" s="432"/>
      <c r="AI63" s="423"/>
      <c r="AJ63" s="432"/>
      <c r="AK63" s="432"/>
      <c r="AL63" s="429"/>
      <c r="AM63" s="81"/>
      <c r="AN63" s="81"/>
      <c r="AO63" s="81"/>
      <c r="AP63" s="81"/>
      <c r="AQ63" s="81"/>
      <c r="AR63" s="81"/>
      <c r="AS63" s="81"/>
      <c r="AT63" s="81"/>
      <c r="AU63" s="81"/>
      <c r="AV63" s="81"/>
      <c r="AW63" s="81"/>
      <c r="AX63" s="81"/>
      <c r="AY63" s="81"/>
      <c r="AZ63" s="81"/>
      <c r="BA63" s="81"/>
      <c r="BB63" s="81"/>
      <c r="BC63" s="81"/>
      <c r="BD63" s="81"/>
      <c r="BE63" s="81"/>
      <c r="BF63" s="81"/>
    </row>
    <row r="64" ht="11.25" customHeight="1" spans="1:58">
      <c r="A64" s="297" t="s">
        <v>1004</v>
      </c>
      <c r="E64" s="53"/>
      <c r="F64" s="313"/>
      <c r="G64" s="314"/>
      <c r="H64" s="278" t="s">
        <v>110</v>
      </c>
      <c r="I64" s="374"/>
      <c r="J64" s="901"/>
      <c r="K64" s="213"/>
      <c r="L64" s="140"/>
      <c r="M64" s="232"/>
      <c r="N64" s="380"/>
      <c r="O64" s="381"/>
      <c r="P64" s="227" t="s">
        <v>1055</v>
      </c>
      <c r="Q64" s="381"/>
      <c r="R64" s="381"/>
      <c r="S64" s="381"/>
      <c r="T64" s="381"/>
      <c r="U64" s="381"/>
      <c r="V64" s="381"/>
      <c r="W64" s="381"/>
      <c r="X64" s="381"/>
      <c r="Y64" s="381"/>
      <c r="Z64" s="381"/>
      <c r="AA64" s="381"/>
      <c r="AB64" s="381"/>
      <c r="AC64" s="381"/>
      <c r="AD64" s="381"/>
      <c r="AE64" s="426"/>
      <c r="AF64" s="423"/>
      <c r="AG64" s="432"/>
      <c r="AH64" s="432"/>
      <c r="AI64" s="423"/>
      <c r="AJ64" s="432"/>
      <c r="AK64" s="432"/>
      <c r="AL64" s="429"/>
      <c r="AM64" s="81"/>
      <c r="AN64" s="81"/>
      <c r="AO64" s="81"/>
      <c r="AP64" s="81"/>
      <c r="AQ64" s="81"/>
      <c r="AR64" s="81"/>
      <c r="AS64" s="81"/>
      <c r="AT64" s="81"/>
      <c r="AU64" s="81"/>
      <c r="AV64" s="81"/>
      <c r="AW64" s="81"/>
      <c r="AX64" s="81"/>
      <c r="AY64" s="81"/>
      <c r="AZ64" s="81"/>
      <c r="BA64" s="81"/>
      <c r="BB64" s="81"/>
      <c r="BC64" s="81"/>
      <c r="BD64" s="81"/>
      <c r="BE64" s="81"/>
      <c r="BF64" s="81"/>
    </row>
    <row r="65" ht="11.25" customHeight="1" spans="1:58">
      <c r="A65" s="297" t="s">
        <v>1004</v>
      </c>
      <c r="B65" s="297" t="s">
        <v>22</v>
      </c>
      <c r="E65" s="53"/>
      <c r="F65" s="313"/>
      <c r="G65" s="235" t="s">
        <v>683</v>
      </c>
      <c r="H65" s="278" t="s">
        <v>147</v>
      </c>
      <c r="I65" s="374" t="s">
        <v>1083</v>
      </c>
      <c r="J65" s="901" t="s">
        <v>22</v>
      </c>
      <c r="K65" s="213" t="s">
        <v>1086</v>
      </c>
      <c r="L65" s="140" t="s">
        <v>19</v>
      </c>
      <c r="M65" s="232"/>
      <c r="N65" s="376"/>
      <c r="O65" s="377" t="s">
        <v>372</v>
      </c>
      <c r="P65" s="378"/>
      <c r="Q65" s="378"/>
      <c r="R65" s="378"/>
      <c r="S65" s="378"/>
      <c r="T65" s="378"/>
      <c r="U65" s="378"/>
      <c r="V65" s="378"/>
      <c r="W65" s="378"/>
      <c r="X65" s="378"/>
      <c r="Y65" s="378"/>
      <c r="Z65" s="378"/>
      <c r="AA65" s="378"/>
      <c r="AB65" s="378"/>
      <c r="AC65" s="378"/>
      <c r="AD65" s="378"/>
      <c r="AE65" s="378"/>
      <c r="AF65" s="423">
        <v>2026</v>
      </c>
      <c r="AG65" s="432" t="s">
        <v>1043</v>
      </c>
      <c r="AH65" s="432" t="s">
        <v>1044</v>
      </c>
      <c r="AI65" s="423"/>
      <c r="AJ65" s="432"/>
      <c r="AK65" s="432"/>
      <c r="AL65" s="429"/>
      <c r="AM65" s="81"/>
      <c r="AN65" s="81"/>
      <c r="AO65" s="81"/>
      <c r="AP65" s="81"/>
      <c r="AQ65" s="81"/>
      <c r="AR65" s="81"/>
      <c r="AS65" s="81"/>
      <c r="AT65" s="81"/>
      <c r="AU65" s="81"/>
      <c r="AV65" s="81"/>
      <c r="AW65" s="81"/>
      <c r="AX65" s="81"/>
      <c r="AY65" s="81"/>
      <c r="AZ65" s="81"/>
      <c r="BA65" s="81"/>
      <c r="BB65" s="81"/>
      <c r="BC65" s="81"/>
      <c r="BD65" s="81"/>
      <c r="BE65" s="81"/>
      <c r="BF65" s="81"/>
    </row>
    <row r="66" ht="11.25" customHeight="1" spans="1:58">
      <c r="A66" s="297" t="s">
        <v>1004</v>
      </c>
      <c r="E66" s="53"/>
      <c r="F66" s="313"/>
      <c r="G66" s="314"/>
      <c r="H66" s="278" t="s">
        <v>146</v>
      </c>
      <c r="I66" s="374"/>
      <c r="J66" s="901"/>
      <c r="K66" s="213"/>
      <c r="L66" s="140"/>
      <c r="M66" s="232"/>
      <c r="N66" s="367"/>
      <c r="O66" s="379">
        <v>1</v>
      </c>
      <c r="P66" s="369" t="s">
        <v>66</v>
      </c>
      <c r="Q66" s="375" t="s">
        <v>1045</v>
      </c>
      <c r="R66" s="387" t="s">
        <v>1046</v>
      </c>
      <c r="S66" s="387" t="s">
        <v>1047</v>
      </c>
      <c r="T66" s="387" t="s">
        <v>1047</v>
      </c>
      <c r="U66" s="387" t="s">
        <v>1048</v>
      </c>
      <c r="V66" s="387" t="s">
        <v>1049</v>
      </c>
      <c r="W66" s="387" t="s">
        <v>1050</v>
      </c>
      <c r="X66" s="387" t="s">
        <v>1051</v>
      </c>
      <c r="Y66" s="387" t="s">
        <v>1052</v>
      </c>
      <c r="Z66" s="380"/>
      <c r="AA66" s="381"/>
      <c r="AB66" s="381"/>
      <c r="AC66" s="413"/>
      <c r="AD66" s="413"/>
      <c r="AE66" s="424"/>
      <c r="AF66" s="423"/>
      <c r="AG66" s="432"/>
      <c r="AH66" s="432"/>
      <c r="AI66" s="423"/>
      <c r="AJ66" s="432"/>
      <c r="AK66" s="432"/>
      <c r="AL66" s="429"/>
      <c r="AM66" s="81"/>
      <c r="AN66" s="81"/>
      <c r="AO66" s="81"/>
      <c r="AP66" s="81"/>
      <c r="AQ66" s="81"/>
      <c r="AR66" s="81"/>
      <c r="AS66" s="81"/>
      <c r="AT66" s="81"/>
      <c r="AU66" s="81"/>
      <c r="AV66" s="81"/>
      <c r="AW66" s="81"/>
      <c r="AX66" s="81"/>
      <c r="AY66" s="81"/>
      <c r="AZ66" s="81"/>
      <c r="BA66" s="81"/>
      <c r="BB66" s="81"/>
      <c r="BC66" s="81"/>
      <c r="BD66" s="81"/>
      <c r="BE66" s="81"/>
      <c r="BF66" s="81"/>
    </row>
    <row r="67" ht="27.75" customHeight="1" spans="1:58">
      <c r="A67" s="297" t="s">
        <v>1004</v>
      </c>
      <c r="E67" s="53"/>
      <c r="F67" s="313"/>
      <c r="G67" s="314"/>
      <c r="H67" s="278" t="s">
        <v>146</v>
      </c>
      <c r="I67" s="374"/>
      <c r="J67" s="901"/>
      <c r="K67" s="213"/>
      <c r="L67" s="140"/>
      <c r="M67" s="232"/>
      <c r="N67" s="367"/>
      <c r="O67" s="379"/>
      <c r="P67" s="371"/>
      <c r="Q67" s="375"/>
      <c r="R67" s="104"/>
      <c r="S67" s="387"/>
      <c r="T67" s="104"/>
      <c r="U67" s="104"/>
      <c r="V67" s="104"/>
      <c r="W67" s="104"/>
      <c r="X67" s="104"/>
      <c r="Y67" s="104"/>
      <c r="Z67" s="415"/>
      <c r="AA67" s="368">
        <v>1</v>
      </c>
      <c r="AB67" s="416" t="s">
        <v>1053</v>
      </c>
      <c r="AC67" s="417">
        <v>16259.05</v>
      </c>
      <c r="AD67" s="416" t="str">
        <f>AB67</f>
        <v>      Амортизационные отчисления с выделением результатов переоценки основных средств и нематериальных активов</v>
      </c>
      <c r="AE67" s="417"/>
      <c r="AF67" s="423"/>
      <c r="AG67" s="432"/>
      <c r="AH67" s="432"/>
      <c r="AI67" s="423"/>
      <c r="AJ67" s="432"/>
      <c r="AK67" s="432"/>
      <c r="AL67" s="429"/>
      <c r="AM67" s="81"/>
      <c r="AN67" s="81"/>
      <c r="AO67" s="81"/>
      <c r="AP67" s="81"/>
      <c r="AQ67" s="81"/>
      <c r="AR67" s="81"/>
      <c r="AS67" s="81"/>
      <c r="AT67" s="81"/>
      <c r="AU67" s="81"/>
      <c r="AV67" s="81"/>
      <c r="AW67" s="81"/>
      <c r="AX67" s="81"/>
      <c r="AY67" s="81"/>
      <c r="AZ67" s="81"/>
      <c r="BA67" s="81"/>
      <c r="BB67" s="81"/>
      <c r="BC67" s="81"/>
      <c r="BD67" s="81"/>
      <c r="BE67" s="81"/>
      <c r="BF67" s="81"/>
    </row>
    <row r="68" ht="11.25" customHeight="1" spans="1:58">
      <c r="A68" s="297" t="s">
        <v>1004</v>
      </c>
      <c r="E68" s="53"/>
      <c r="F68" s="313"/>
      <c r="G68" s="314"/>
      <c r="H68" s="278" t="s">
        <v>146</v>
      </c>
      <c r="I68" s="374"/>
      <c r="J68" s="901"/>
      <c r="K68" s="213"/>
      <c r="L68" s="140"/>
      <c r="M68" s="232"/>
      <c r="N68" s="367"/>
      <c r="O68" s="379"/>
      <c r="P68" s="373"/>
      <c r="Q68" s="375"/>
      <c r="R68" s="104"/>
      <c r="S68" s="387"/>
      <c r="T68" s="104"/>
      <c r="U68" s="104"/>
      <c r="V68" s="104"/>
      <c r="W68" s="104"/>
      <c r="X68" s="104"/>
      <c r="Y68" s="104"/>
      <c r="Z68" s="380"/>
      <c r="AA68" s="381"/>
      <c r="AB68" s="227" t="s">
        <v>1054</v>
      </c>
      <c r="AC68" s="413"/>
      <c r="AD68" s="413"/>
      <c r="AE68" s="425"/>
      <c r="AF68" s="423"/>
      <c r="AG68" s="432"/>
      <c r="AH68" s="432"/>
      <c r="AI68" s="423"/>
      <c r="AJ68" s="432"/>
      <c r="AK68" s="432"/>
      <c r="AL68" s="429"/>
      <c r="AM68" s="81"/>
      <c r="AN68" s="81"/>
      <c r="AO68" s="81"/>
      <c r="AP68" s="81"/>
      <c r="AQ68" s="81"/>
      <c r="AR68" s="81"/>
      <c r="AS68" s="81"/>
      <c r="AT68" s="81"/>
      <c r="AU68" s="81"/>
      <c r="AV68" s="81"/>
      <c r="AW68" s="81"/>
      <c r="AX68" s="81"/>
      <c r="AY68" s="81"/>
      <c r="AZ68" s="81"/>
      <c r="BA68" s="81"/>
      <c r="BB68" s="81"/>
      <c r="BC68" s="81"/>
      <c r="BD68" s="81"/>
      <c r="BE68" s="81"/>
      <c r="BF68" s="81"/>
    </row>
    <row r="69" ht="11.25" customHeight="1" spans="1:58">
      <c r="A69" s="297" t="s">
        <v>1004</v>
      </c>
      <c r="E69" s="53"/>
      <c r="F69" s="313"/>
      <c r="G69" s="314"/>
      <c r="H69" s="278" t="s">
        <v>146</v>
      </c>
      <c r="I69" s="374"/>
      <c r="J69" s="901"/>
      <c r="K69" s="213"/>
      <c r="L69" s="140"/>
      <c r="M69" s="232"/>
      <c r="N69" s="380"/>
      <c r="O69" s="381"/>
      <c r="P69" s="227" t="s">
        <v>1055</v>
      </c>
      <c r="Q69" s="381"/>
      <c r="R69" s="381"/>
      <c r="S69" s="381"/>
      <c r="T69" s="381"/>
      <c r="U69" s="381"/>
      <c r="V69" s="381"/>
      <c r="W69" s="381"/>
      <c r="X69" s="381"/>
      <c r="Y69" s="381"/>
      <c r="Z69" s="381"/>
      <c r="AA69" s="381"/>
      <c r="AB69" s="381"/>
      <c r="AC69" s="381"/>
      <c r="AD69" s="381"/>
      <c r="AE69" s="426"/>
      <c r="AF69" s="423"/>
      <c r="AG69" s="432"/>
      <c r="AH69" s="432"/>
      <c r="AI69" s="423"/>
      <c r="AJ69" s="432"/>
      <c r="AK69" s="432"/>
      <c r="AL69" s="429"/>
      <c r="AM69" s="81"/>
      <c r="AN69" s="81"/>
      <c r="AO69" s="81"/>
      <c r="AP69" s="81"/>
      <c r="AQ69" s="81"/>
      <c r="AR69" s="81"/>
      <c r="AS69" s="81"/>
      <c r="AT69" s="81"/>
      <c r="AU69" s="81"/>
      <c r="AV69" s="81"/>
      <c r="AW69" s="81"/>
      <c r="AX69" s="81"/>
      <c r="AY69" s="81"/>
      <c r="AZ69" s="81"/>
      <c r="BA69" s="81"/>
      <c r="BB69" s="81"/>
      <c r="BC69" s="81"/>
      <c r="BD69" s="81"/>
      <c r="BE69" s="81"/>
      <c r="BF69" s="81"/>
    </row>
    <row r="70" ht="11.25" customHeight="1" spans="1:58">
      <c r="A70" s="297" t="s">
        <v>1004</v>
      </c>
      <c r="B70" s="297" t="s">
        <v>22</v>
      </c>
      <c r="E70" s="53"/>
      <c r="F70" s="313"/>
      <c r="G70" s="235" t="s">
        <v>683</v>
      </c>
      <c r="H70" s="278" t="s">
        <v>148</v>
      </c>
      <c r="I70" s="374" t="s">
        <v>1083</v>
      </c>
      <c r="J70" s="901" t="s">
        <v>22</v>
      </c>
      <c r="K70" s="213" t="s">
        <v>1087</v>
      </c>
      <c r="L70" s="140" t="s">
        <v>19</v>
      </c>
      <c r="M70" s="232"/>
      <c r="N70" s="376"/>
      <c r="O70" s="377" t="s">
        <v>372</v>
      </c>
      <c r="P70" s="378"/>
      <c r="Q70" s="378"/>
      <c r="R70" s="378"/>
      <c r="S70" s="378"/>
      <c r="T70" s="378"/>
      <c r="U70" s="378"/>
      <c r="V70" s="378"/>
      <c r="W70" s="378"/>
      <c r="X70" s="378"/>
      <c r="Y70" s="378"/>
      <c r="Z70" s="378"/>
      <c r="AA70" s="378"/>
      <c r="AB70" s="378"/>
      <c r="AC70" s="378"/>
      <c r="AD70" s="378"/>
      <c r="AE70" s="378"/>
      <c r="AF70" s="423">
        <v>2026</v>
      </c>
      <c r="AG70" s="432" t="s">
        <v>1043</v>
      </c>
      <c r="AH70" s="432" t="s">
        <v>1044</v>
      </c>
      <c r="AI70" s="423"/>
      <c r="AJ70" s="432"/>
      <c r="AK70" s="432"/>
      <c r="AL70" s="429"/>
      <c r="AM70" s="81"/>
      <c r="AN70" s="81"/>
      <c r="AO70" s="81"/>
      <c r="AP70" s="81"/>
      <c r="AQ70" s="81"/>
      <c r="AR70" s="81"/>
      <c r="AS70" s="81"/>
      <c r="AT70" s="81"/>
      <c r="AU70" s="81"/>
      <c r="AV70" s="81"/>
      <c r="AW70" s="81"/>
      <c r="AX70" s="81"/>
      <c r="AY70" s="81"/>
      <c r="AZ70" s="81"/>
      <c r="BA70" s="81"/>
      <c r="BB70" s="81"/>
      <c r="BC70" s="81"/>
      <c r="BD70" s="81"/>
      <c r="BE70" s="81"/>
      <c r="BF70" s="81"/>
    </row>
    <row r="71" ht="11.25" customHeight="1" spans="1:58">
      <c r="A71" s="297" t="s">
        <v>1004</v>
      </c>
      <c r="E71" s="53"/>
      <c r="F71" s="313"/>
      <c r="G71" s="314"/>
      <c r="H71" s="278" t="s">
        <v>147</v>
      </c>
      <c r="I71" s="374"/>
      <c r="J71" s="901"/>
      <c r="K71" s="213"/>
      <c r="L71" s="140"/>
      <c r="M71" s="232"/>
      <c r="N71" s="367"/>
      <c r="O71" s="379">
        <v>1</v>
      </c>
      <c r="P71" s="369" t="s">
        <v>66</v>
      </c>
      <c r="Q71" s="375" t="s">
        <v>1088</v>
      </c>
      <c r="R71" s="387" t="s">
        <v>1046</v>
      </c>
      <c r="S71" s="387" t="s">
        <v>1047</v>
      </c>
      <c r="T71" s="387" t="s">
        <v>1047</v>
      </c>
      <c r="U71" s="387" t="s">
        <v>1048</v>
      </c>
      <c r="V71" s="387" t="s">
        <v>1049</v>
      </c>
      <c r="W71" s="387" t="s">
        <v>1050</v>
      </c>
      <c r="X71" s="387" t="s">
        <v>1089</v>
      </c>
      <c r="Y71" s="387" t="s">
        <v>1090</v>
      </c>
      <c r="Z71" s="380"/>
      <c r="AA71" s="381"/>
      <c r="AB71" s="381"/>
      <c r="AC71" s="413"/>
      <c r="AD71" s="413"/>
      <c r="AE71" s="424"/>
      <c r="AF71" s="423"/>
      <c r="AG71" s="432"/>
      <c r="AH71" s="432"/>
      <c r="AI71" s="423"/>
      <c r="AJ71" s="432"/>
      <c r="AK71" s="432"/>
      <c r="AL71" s="429"/>
      <c r="AM71" s="81"/>
      <c r="AN71" s="81"/>
      <c r="AO71" s="81"/>
      <c r="AP71" s="81"/>
      <c r="AQ71" s="81"/>
      <c r="AR71" s="81"/>
      <c r="AS71" s="81"/>
      <c r="AT71" s="81"/>
      <c r="AU71" s="81"/>
      <c r="AV71" s="81"/>
      <c r="AW71" s="81"/>
      <c r="AX71" s="81"/>
      <c r="AY71" s="81"/>
      <c r="AZ71" s="81"/>
      <c r="BA71" s="81"/>
      <c r="BB71" s="81"/>
      <c r="BC71" s="81"/>
      <c r="BD71" s="81"/>
      <c r="BE71" s="81"/>
      <c r="BF71" s="81"/>
    </row>
    <row r="72" ht="11.25" customHeight="1" spans="1:58">
      <c r="A72" s="297" t="s">
        <v>1004</v>
      </c>
      <c r="E72" s="53"/>
      <c r="F72" s="313"/>
      <c r="G72" s="314"/>
      <c r="H72" s="278" t="s">
        <v>147</v>
      </c>
      <c r="I72" s="374"/>
      <c r="J72" s="901"/>
      <c r="K72" s="213"/>
      <c r="L72" s="140"/>
      <c r="M72" s="232"/>
      <c r="N72" s="367"/>
      <c r="O72" s="379"/>
      <c r="P72" s="371"/>
      <c r="Q72" s="375"/>
      <c r="R72" s="104"/>
      <c r="S72" s="387"/>
      <c r="T72" s="104"/>
      <c r="U72" s="104"/>
      <c r="V72" s="104"/>
      <c r="W72" s="104"/>
      <c r="X72" s="104"/>
      <c r="Y72" s="104"/>
      <c r="Z72" s="415"/>
      <c r="AA72" s="368">
        <v>1</v>
      </c>
      <c r="AB72" s="416" t="s">
        <v>1082</v>
      </c>
      <c r="AC72" s="417">
        <v>45510.22</v>
      </c>
      <c r="AD72" s="416" t="str">
        <f>AB72</f>
        <v>  Прибыль направляемая на инвестиции</v>
      </c>
      <c r="AE72" s="417"/>
      <c r="AF72" s="423"/>
      <c r="AG72" s="432"/>
      <c r="AH72" s="432"/>
      <c r="AI72" s="423"/>
      <c r="AJ72" s="432"/>
      <c r="AK72" s="432"/>
      <c r="AL72" s="429"/>
      <c r="AM72" s="81"/>
      <c r="AN72" s="81"/>
      <c r="AO72" s="81"/>
      <c r="AP72" s="81"/>
      <c r="AQ72" s="81"/>
      <c r="AR72" s="81"/>
      <c r="AS72" s="81"/>
      <c r="AT72" s="81"/>
      <c r="AU72" s="81"/>
      <c r="AV72" s="81"/>
      <c r="AW72" s="81"/>
      <c r="AX72" s="81"/>
      <c r="AY72" s="81"/>
      <c r="AZ72" s="81"/>
      <c r="BA72" s="81"/>
      <c r="BB72" s="81"/>
      <c r="BC72" s="81"/>
      <c r="BD72" s="81"/>
      <c r="BE72" s="81"/>
      <c r="BF72" s="81"/>
    </row>
    <row r="73" ht="11.25" customHeight="1" spans="1:58">
      <c r="A73" s="297" t="s">
        <v>1004</v>
      </c>
      <c r="E73" s="53"/>
      <c r="F73" s="313"/>
      <c r="G73" s="314"/>
      <c r="H73" s="278" t="s">
        <v>147</v>
      </c>
      <c r="I73" s="374"/>
      <c r="J73" s="901"/>
      <c r="K73" s="213"/>
      <c r="L73" s="140"/>
      <c r="M73" s="232"/>
      <c r="N73" s="367"/>
      <c r="O73" s="379"/>
      <c r="P73" s="373"/>
      <c r="Q73" s="375"/>
      <c r="R73" s="104"/>
      <c r="S73" s="387"/>
      <c r="T73" s="104"/>
      <c r="U73" s="104"/>
      <c r="V73" s="104"/>
      <c r="W73" s="104"/>
      <c r="X73" s="104"/>
      <c r="Y73" s="104"/>
      <c r="Z73" s="380"/>
      <c r="AA73" s="381"/>
      <c r="AB73" s="227" t="s">
        <v>1054</v>
      </c>
      <c r="AC73" s="413"/>
      <c r="AD73" s="413"/>
      <c r="AE73" s="425"/>
      <c r="AF73" s="423"/>
      <c r="AG73" s="432"/>
      <c r="AH73" s="432"/>
      <c r="AI73" s="423"/>
      <c r="AJ73" s="432"/>
      <c r="AK73" s="432"/>
      <c r="AL73" s="429"/>
      <c r="AM73" s="81"/>
      <c r="AN73" s="81"/>
      <c r="AO73" s="81"/>
      <c r="AP73" s="81"/>
      <c r="AQ73" s="81"/>
      <c r="AR73" s="81"/>
      <c r="AS73" s="81"/>
      <c r="AT73" s="81"/>
      <c r="AU73" s="81"/>
      <c r="AV73" s="81"/>
      <c r="AW73" s="81"/>
      <c r="AX73" s="81"/>
      <c r="AY73" s="81"/>
      <c r="AZ73" s="81"/>
      <c r="BA73" s="81"/>
      <c r="BB73" s="81"/>
      <c r="BC73" s="81"/>
      <c r="BD73" s="81"/>
      <c r="BE73" s="81"/>
      <c r="BF73" s="81"/>
    </row>
    <row r="74" ht="11.25" customHeight="1" spans="1:58">
      <c r="A74" s="297" t="s">
        <v>1004</v>
      </c>
      <c r="E74" s="53"/>
      <c r="F74" s="313"/>
      <c r="G74" s="314"/>
      <c r="H74" s="278" t="s">
        <v>147</v>
      </c>
      <c r="I74" s="374"/>
      <c r="J74" s="901"/>
      <c r="K74" s="213"/>
      <c r="L74" s="140"/>
      <c r="M74" s="232"/>
      <c r="N74" s="380"/>
      <c r="O74" s="381"/>
      <c r="P74" s="227" t="s">
        <v>1055</v>
      </c>
      <c r="Q74" s="381"/>
      <c r="R74" s="381"/>
      <c r="S74" s="381"/>
      <c r="T74" s="381"/>
      <c r="U74" s="381"/>
      <c r="V74" s="381"/>
      <c r="W74" s="381"/>
      <c r="X74" s="381"/>
      <c r="Y74" s="381"/>
      <c r="Z74" s="381"/>
      <c r="AA74" s="381"/>
      <c r="AB74" s="381"/>
      <c r="AC74" s="381"/>
      <c r="AD74" s="381"/>
      <c r="AE74" s="426"/>
      <c r="AF74" s="423"/>
      <c r="AG74" s="432"/>
      <c r="AH74" s="432"/>
      <c r="AI74" s="423"/>
      <c r="AJ74" s="432"/>
      <c r="AK74" s="432"/>
      <c r="AL74" s="429"/>
      <c r="AM74" s="81"/>
      <c r="AN74" s="81"/>
      <c r="AO74" s="81"/>
      <c r="AP74" s="81"/>
      <c r="AQ74" s="81"/>
      <c r="AR74" s="81"/>
      <c r="AS74" s="81"/>
      <c r="AT74" s="81"/>
      <c r="AU74" s="81"/>
      <c r="AV74" s="81"/>
      <c r="AW74" s="81"/>
      <c r="AX74" s="81"/>
      <c r="AY74" s="81"/>
      <c r="AZ74" s="81"/>
      <c r="BA74" s="81"/>
      <c r="BB74" s="81"/>
      <c r="BC74" s="81"/>
      <c r="BD74" s="81"/>
      <c r="BE74" s="81"/>
      <c r="BF74" s="81"/>
    </row>
    <row r="75" ht="11.25" customHeight="1" spans="1:58">
      <c r="A75" s="297" t="s">
        <v>1004</v>
      </c>
      <c r="B75" s="297" t="s">
        <v>22</v>
      </c>
      <c r="E75" s="53"/>
      <c r="F75" s="313"/>
      <c r="G75" s="235" t="s">
        <v>683</v>
      </c>
      <c r="H75" s="278" t="s">
        <v>149</v>
      </c>
      <c r="I75" s="374" t="s">
        <v>1083</v>
      </c>
      <c r="J75" s="901" t="s">
        <v>22</v>
      </c>
      <c r="K75" s="213" t="s">
        <v>1091</v>
      </c>
      <c r="L75" s="140" t="s">
        <v>19</v>
      </c>
      <c r="M75" s="232"/>
      <c r="N75" s="376"/>
      <c r="O75" s="377" t="s">
        <v>372</v>
      </c>
      <c r="P75" s="378"/>
      <c r="Q75" s="378"/>
      <c r="R75" s="378"/>
      <c r="S75" s="378"/>
      <c r="T75" s="378"/>
      <c r="U75" s="378"/>
      <c r="V75" s="378"/>
      <c r="W75" s="378"/>
      <c r="X75" s="378"/>
      <c r="Y75" s="378"/>
      <c r="Z75" s="378"/>
      <c r="AA75" s="378"/>
      <c r="AB75" s="378"/>
      <c r="AC75" s="378"/>
      <c r="AD75" s="378"/>
      <c r="AE75" s="378"/>
      <c r="AF75" s="423">
        <v>2026</v>
      </c>
      <c r="AG75" s="432" t="s">
        <v>1043</v>
      </c>
      <c r="AH75" s="432" t="s">
        <v>1044</v>
      </c>
      <c r="AI75" s="423"/>
      <c r="AJ75" s="432"/>
      <c r="AK75" s="432"/>
      <c r="AL75" s="429"/>
      <c r="AM75" s="81"/>
      <c r="AN75" s="81"/>
      <c r="AO75" s="81"/>
      <c r="AP75" s="81"/>
      <c r="AQ75" s="81"/>
      <c r="AR75" s="81"/>
      <c r="AS75" s="81"/>
      <c r="AT75" s="81"/>
      <c r="AU75" s="81"/>
      <c r="AV75" s="81"/>
      <c r="AW75" s="81"/>
      <c r="AX75" s="81"/>
      <c r="AY75" s="81"/>
      <c r="AZ75" s="81"/>
      <c r="BA75" s="81"/>
      <c r="BB75" s="81"/>
      <c r="BC75" s="81"/>
      <c r="BD75" s="81"/>
      <c r="BE75" s="81"/>
      <c r="BF75" s="81"/>
    </row>
    <row r="76" ht="11.25" customHeight="1" spans="1:58">
      <c r="A76" s="297" t="s">
        <v>1004</v>
      </c>
      <c r="E76" s="53"/>
      <c r="F76" s="313"/>
      <c r="G76" s="314"/>
      <c r="H76" s="278" t="s">
        <v>148</v>
      </c>
      <c r="I76" s="374"/>
      <c r="J76" s="901"/>
      <c r="K76" s="213"/>
      <c r="L76" s="140"/>
      <c r="M76" s="232"/>
      <c r="N76" s="367"/>
      <c r="O76" s="379">
        <v>1</v>
      </c>
      <c r="P76" s="369" t="s">
        <v>66</v>
      </c>
      <c r="Q76" s="375" t="s">
        <v>1092</v>
      </c>
      <c r="R76" s="387" t="s">
        <v>1046</v>
      </c>
      <c r="S76" s="387" t="s">
        <v>1047</v>
      </c>
      <c r="T76" s="387" t="s">
        <v>1047</v>
      </c>
      <c r="U76" s="387" t="s">
        <v>1048</v>
      </c>
      <c r="V76" s="387" t="s">
        <v>1049</v>
      </c>
      <c r="W76" s="387" t="s">
        <v>1050</v>
      </c>
      <c r="X76" s="387" t="s">
        <v>1093</v>
      </c>
      <c r="Y76" s="387" t="s">
        <v>1094</v>
      </c>
      <c r="Z76" s="380"/>
      <c r="AA76" s="381"/>
      <c r="AB76" s="381"/>
      <c r="AC76" s="413"/>
      <c r="AD76" s="413"/>
      <c r="AE76" s="424"/>
      <c r="AF76" s="423"/>
      <c r="AG76" s="432"/>
      <c r="AH76" s="432"/>
      <c r="AI76" s="423"/>
      <c r="AJ76" s="432"/>
      <c r="AK76" s="432"/>
      <c r="AL76" s="429"/>
      <c r="AM76" s="81"/>
      <c r="AN76" s="81"/>
      <c r="AO76" s="81"/>
      <c r="AP76" s="81"/>
      <c r="AQ76" s="81"/>
      <c r="AR76" s="81"/>
      <c r="AS76" s="81"/>
      <c r="AT76" s="81"/>
      <c r="AU76" s="81"/>
      <c r="AV76" s="81"/>
      <c r="AW76" s="81"/>
      <c r="AX76" s="81"/>
      <c r="AY76" s="81"/>
      <c r="AZ76" s="81"/>
      <c r="BA76" s="81"/>
      <c r="BB76" s="81"/>
      <c r="BC76" s="81"/>
      <c r="BD76" s="81"/>
      <c r="BE76" s="81"/>
      <c r="BF76" s="81"/>
    </row>
    <row r="77" ht="11.25" customHeight="1" spans="1:58">
      <c r="A77" s="297" t="s">
        <v>1004</v>
      </c>
      <c r="E77" s="53"/>
      <c r="F77" s="313"/>
      <c r="G77" s="314"/>
      <c r="H77" s="278" t="s">
        <v>148</v>
      </c>
      <c r="I77" s="374"/>
      <c r="J77" s="901"/>
      <c r="K77" s="213"/>
      <c r="L77" s="140"/>
      <c r="M77" s="232"/>
      <c r="N77" s="367"/>
      <c r="O77" s="379"/>
      <c r="P77" s="371"/>
      <c r="Q77" s="375"/>
      <c r="R77" s="104"/>
      <c r="S77" s="387"/>
      <c r="T77" s="104"/>
      <c r="U77" s="104"/>
      <c r="V77" s="104"/>
      <c r="W77" s="104"/>
      <c r="X77" s="104"/>
      <c r="Y77" s="104"/>
      <c r="Z77" s="415"/>
      <c r="AA77" s="368">
        <v>1</v>
      </c>
      <c r="AB77" s="416" t="s">
        <v>1082</v>
      </c>
      <c r="AC77" s="417">
        <v>20950.91</v>
      </c>
      <c r="AD77" s="416" t="str">
        <f>AB77</f>
        <v>  Прибыль направляемая на инвестиции</v>
      </c>
      <c r="AE77" s="417"/>
      <c r="AF77" s="423"/>
      <c r="AG77" s="432"/>
      <c r="AH77" s="432"/>
      <c r="AI77" s="423"/>
      <c r="AJ77" s="432"/>
      <c r="AK77" s="432"/>
      <c r="AL77" s="429"/>
      <c r="AM77" s="81"/>
      <c r="AN77" s="81"/>
      <c r="AO77" s="81"/>
      <c r="AP77" s="81"/>
      <c r="AQ77" s="81"/>
      <c r="AR77" s="81"/>
      <c r="AS77" s="81"/>
      <c r="AT77" s="81"/>
      <c r="AU77" s="81"/>
      <c r="AV77" s="81"/>
      <c r="AW77" s="81"/>
      <c r="AX77" s="81"/>
      <c r="AY77" s="81"/>
      <c r="AZ77" s="81"/>
      <c r="BA77" s="81"/>
      <c r="BB77" s="81"/>
      <c r="BC77" s="81"/>
      <c r="BD77" s="81"/>
      <c r="BE77" s="81"/>
      <c r="BF77" s="81"/>
    </row>
    <row r="78" ht="11.25" customHeight="1" spans="1:58">
      <c r="A78" s="297" t="s">
        <v>1004</v>
      </c>
      <c r="E78" s="53"/>
      <c r="F78" s="313"/>
      <c r="G78" s="314"/>
      <c r="H78" s="278" t="s">
        <v>148</v>
      </c>
      <c r="I78" s="374"/>
      <c r="J78" s="901"/>
      <c r="K78" s="213"/>
      <c r="L78" s="140"/>
      <c r="M78" s="232"/>
      <c r="N78" s="367"/>
      <c r="O78" s="379"/>
      <c r="P78" s="373"/>
      <c r="Q78" s="375"/>
      <c r="R78" s="104"/>
      <c r="S78" s="387"/>
      <c r="T78" s="104"/>
      <c r="U78" s="104"/>
      <c r="V78" s="104"/>
      <c r="W78" s="104"/>
      <c r="X78" s="104"/>
      <c r="Y78" s="104"/>
      <c r="Z78" s="380"/>
      <c r="AA78" s="381"/>
      <c r="AB78" s="227" t="s">
        <v>1054</v>
      </c>
      <c r="AC78" s="413"/>
      <c r="AD78" s="413"/>
      <c r="AE78" s="425"/>
      <c r="AF78" s="423"/>
      <c r="AG78" s="432"/>
      <c r="AH78" s="432"/>
      <c r="AI78" s="423"/>
      <c r="AJ78" s="432"/>
      <c r="AK78" s="432"/>
      <c r="AL78" s="429"/>
      <c r="AM78" s="81"/>
      <c r="AN78" s="81"/>
      <c r="AO78" s="81"/>
      <c r="AP78" s="81"/>
      <c r="AQ78" s="81"/>
      <c r="AR78" s="81"/>
      <c r="AS78" s="81"/>
      <c r="AT78" s="81"/>
      <c r="AU78" s="81"/>
      <c r="AV78" s="81"/>
      <c r="AW78" s="81"/>
      <c r="AX78" s="81"/>
      <c r="AY78" s="81"/>
      <c r="AZ78" s="81"/>
      <c r="BA78" s="81"/>
      <c r="BB78" s="81"/>
      <c r="BC78" s="81"/>
      <c r="BD78" s="81"/>
      <c r="BE78" s="81"/>
      <c r="BF78" s="81"/>
    </row>
    <row r="79" ht="11.25" customHeight="1" spans="1:58">
      <c r="A79" s="297" t="s">
        <v>1004</v>
      </c>
      <c r="E79" s="53"/>
      <c r="F79" s="313"/>
      <c r="G79" s="314"/>
      <c r="H79" s="278" t="s">
        <v>148</v>
      </c>
      <c r="I79" s="374"/>
      <c r="J79" s="901"/>
      <c r="K79" s="213"/>
      <c r="L79" s="140"/>
      <c r="M79" s="232"/>
      <c r="N79" s="380"/>
      <c r="O79" s="381"/>
      <c r="P79" s="227" t="s">
        <v>1055</v>
      </c>
      <c r="Q79" s="381"/>
      <c r="R79" s="381"/>
      <c r="S79" s="381"/>
      <c r="T79" s="381"/>
      <c r="U79" s="381"/>
      <c r="V79" s="381"/>
      <c r="W79" s="381"/>
      <c r="X79" s="381"/>
      <c r="Y79" s="381"/>
      <c r="Z79" s="381"/>
      <c r="AA79" s="381"/>
      <c r="AB79" s="381"/>
      <c r="AC79" s="381"/>
      <c r="AD79" s="381"/>
      <c r="AE79" s="426"/>
      <c r="AF79" s="423"/>
      <c r="AG79" s="432"/>
      <c r="AH79" s="432"/>
      <c r="AI79" s="423"/>
      <c r="AJ79" s="432"/>
      <c r="AK79" s="432"/>
      <c r="AL79" s="429"/>
      <c r="AM79" s="81"/>
      <c r="AN79" s="81"/>
      <c r="AO79" s="81"/>
      <c r="AP79" s="81"/>
      <c r="AQ79" s="81"/>
      <c r="AR79" s="81"/>
      <c r="AS79" s="81"/>
      <c r="AT79" s="81"/>
      <c r="AU79" s="81"/>
      <c r="AV79" s="81"/>
      <c r="AW79" s="81"/>
      <c r="AX79" s="81"/>
      <c r="AY79" s="81"/>
      <c r="AZ79" s="81"/>
      <c r="BA79" s="81"/>
      <c r="BB79" s="81"/>
      <c r="BC79" s="81"/>
      <c r="BD79" s="81"/>
      <c r="BE79" s="81"/>
      <c r="BF79" s="81"/>
    </row>
    <row r="80" ht="11.25" customHeight="1" spans="1:58">
      <c r="A80" s="297" t="s">
        <v>1004</v>
      </c>
      <c r="B80" s="297" t="s">
        <v>22</v>
      </c>
      <c r="E80" s="53"/>
      <c r="F80" s="313"/>
      <c r="G80" s="235" t="s">
        <v>683</v>
      </c>
      <c r="H80" s="278" t="s">
        <v>150</v>
      </c>
      <c r="I80" s="374" t="s">
        <v>1083</v>
      </c>
      <c r="J80" s="901" t="s">
        <v>22</v>
      </c>
      <c r="K80" s="213" t="s">
        <v>1095</v>
      </c>
      <c r="L80" s="140" t="s">
        <v>19</v>
      </c>
      <c r="M80" s="232"/>
      <c r="N80" s="376"/>
      <c r="O80" s="377" t="s">
        <v>372</v>
      </c>
      <c r="P80" s="378"/>
      <c r="Q80" s="378"/>
      <c r="R80" s="378"/>
      <c r="S80" s="378"/>
      <c r="T80" s="378"/>
      <c r="U80" s="378"/>
      <c r="V80" s="378"/>
      <c r="W80" s="378"/>
      <c r="X80" s="378"/>
      <c r="Y80" s="378"/>
      <c r="Z80" s="378"/>
      <c r="AA80" s="378"/>
      <c r="AB80" s="378"/>
      <c r="AC80" s="378"/>
      <c r="AD80" s="378"/>
      <c r="AE80" s="378"/>
      <c r="AF80" s="423">
        <v>2026</v>
      </c>
      <c r="AG80" s="432" t="s">
        <v>1043</v>
      </c>
      <c r="AH80" s="432" t="s">
        <v>1044</v>
      </c>
      <c r="AI80" s="423"/>
      <c r="AJ80" s="432"/>
      <c r="AK80" s="432"/>
      <c r="AL80" s="429"/>
      <c r="AM80" s="81"/>
      <c r="AN80" s="81"/>
      <c r="AO80" s="81"/>
      <c r="AP80" s="81"/>
      <c r="AQ80" s="81"/>
      <c r="AR80" s="81"/>
      <c r="AS80" s="81"/>
      <c r="AT80" s="81"/>
      <c r="AU80" s="81"/>
      <c r="AV80" s="81"/>
      <c r="AW80" s="81"/>
      <c r="AX80" s="81"/>
      <c r="AY80" s="81"/>
      <c r="AZ80" s="81"/>
      <c r="BA80" s="81"/>
      <c r="BB80" s="81"/>
      <c r="BC80" s="81"/>
      <c r="BD80" s="81"/>
      <c r="BE80" s="81"/>
      <c r="BF80" s="81"/>
    </row>
    <row r="81" ht="11.25" customHeight="1" spans="1:58">
      <c r="A81" s="297" t="s">
        <v>1004</v>
      </c>
      <c r="E81" s="53"/>
      <c r="F81" s="313"/>
      <c r="G81" s="314"/>
      <c r="H81" s="278" t="s">
        <v>149</v>
      </c>
      <c r="I81" s="374"/>
      <c r="J81" s="901"/>
      <c r="K81" s="213"/>
      <c r="L81" s="140"/>
      <c r="M81" s="232"/>
      <c r="N81" s="367"/>
      <c r="O81" s="379">
        <v>1</v>
      </c>
      <c r="P81" s="369" t="s">
        <v>66</v>
      </c>
      <c r="Q81" s="375" t="s">
        <v>1096</v>
      </c>
      <c r="R81" s="387" t="s">
        <v>1046</v>
      </c>
      <c r="S81" s="387" t="s">
        <v>1047</v>
      </c>
      <c r="T81" s="387" t="s">
        <v>1047</v>
      </c>
      <c r="U81" s="387" t="s">
        <v>1048</v>
      </c>
      <c r="V81" s="387" t="s">
        <v>1049</v>
      </c>
      <c r="W81" s="387" t="s">
        <v>1050</v>
      </c>
      <c r="X81" s="387" t="s">
        <v>1097</v>
      </c>
      <c r="Y81" s="387" t="s">
        <v>1098</v>
      </c>
      <c r="Z81" s="380"/>
      <c r="AA81" s="381"/>
      <c r="AB81" s="381"/>
      <c r="AC81" s="413"/>
      <c r="AD81" s="413"/>
      <c r="AE81" s="424"/>
      <c r="AF81" s="423"/>
      <c r="AG81" s="432"/>
      <c r="AH81" s="432"/>
      <c r="AI81" s="423"/>
      <c r="AJ81" s="432"/>
      <c r="AK81" s="432"/>
      <c r="AL81" s="429"/>
      <c r="AM81" s="81"/>
      <c r="AN81" s="81"/>
      <c r="AO81" s="81"/>
      <c r="AP81" s="81"/>
      <c r="AQ81" s="81"/>
      <c r="AR81" s="81"/>
      <c r="AS81" s="81"/>
      <c r="AT81" s="81"/>
      <c r="AU81" s="81"/>
      <c r="AV81" s="81"/>
      <c r="AW81" s="81"/>
      <c r="AX81" s="81"/>
      <c r="AY81" s="81"/>
      <c r="AZ81" s="81"/>
      <c r="BA81" s="81"/>
      <c r="BB81" s="81"/>
      <c r="BC81" s="81"/>
      <c r="BD81" s="81"/>
      <c r="BE81" s="81"/>
      <c r="BF81" s="81"/>
    </row>
    <row r="82" ht="11.25" customHeight="1" spans="1:58">
      <c r="A82" s="297" t="s">
        <v>1004</v>
      </c>
      <c r="E82" s="53"/>
      <c r="F82" s="313"/>
      <c r="G82" s="314"/>
      <c r="H82" s="278" t="s">
        <v>149</v>
      </c>
      <c r="I82" s="374"/>
      <c r="J82" s="901"/>
      <c r="K82" s="213"/>
      <c r="L82" s="140"/>
      <c r="M82" s="232"/>
      <c r="N82" s="367"/>
      <c r="O82" s="379"/>
      <c r="P82" s="371"/>
      <c r="Q82" s="375"/>
      <c r="R82" s="104"/>
      <c r="S82" s="387"/>
      <c r="T82" s="104"/>
      <c r="U82" s="104"/>
      <c r="V82" s="104"/>
      <c r="W82" s="104"/>
      <c r="X82" s="104"/>
      <c r="Y82" s="104"/>
      <c r="Z82" s="415"/>
      <c r="AA82" s="368">
        <v>1</v>
      </c>
      <c r="AB82" s="416" t="s">
        <v>1082</v>
      </c>
      <c r="AC82" s="417">
        <v>11550.91</v>
      </c>
      <c r="AD82" s="416" t="str">
        <f>AB82</f>
        <v>  Прибыль направляемая на инвестиции</v>
      </c>
      <c r="AE82" s="417"/>
      <c r="AF82" s="423"/>
      <c r="AG82" s="432"/>
      <c r="AH82" s="432"/>
      <c r="AI82" s="423"/>
      <c r="AJ82" s="432"/>
      <c r="AK82" s="432"/>
      <c r="AL82" s="429"/>
      <c r="AM82" s="81"/>
      <c r="AN82" s="81"/>
      <c r="AO82" s="81"/>
      <c r="AP82" s="81"/>
      <c r="AQ82" s="81"/>
      <c r="AR82" s="81"/>
      <c r="AS82" s="81"/>
      <c r="AT82" s="81"/>
      <c r="AU82" s="81"/>
      <c r="AV82" s="81"/>
      <c r="AW82" s="81"/>
      <c r="AX82" s="81"/>
      <c r="AY82" s="81"/>
      <c r="AZ82" s="81"/>
      <c r="BA82" s="81"/>
      <c r="BB82" s="81"/>
      <c r="BC82" s="81"/>
      <c r="BD82" s="81"/>
      <c r="BE82" s="81"/>
      <c r="BF82" s="81"/>
    </row>
    <row r="83" ht="11.25" customHeight="1" spans="1:58">
      <c r="A83" s="297" t="s">
        <v>1004</v>
      </c>
      <c r="E83" s="53"/>
      <c r="F83" s="313"/>
      <c r="G83" s="314"/>
      <c r="H83" s="278" t="s">
        <v>149</v>
      </c>
      <c r="I83" s="374"/>
      <c r="J83" s="901"/>
      <c r="K83" s="213"/>
      <c r="L83" s="140"/>
      <c r="M83" s="232"/>
      <c r="N83" s="367"/>
      <c r="O83" s="379"/>
      <c r="P83" s="373"/>
      <c r="Q83" s="375"/>
      <c r="R83" s="104"/>
      <c r="S83" s="387"/>
      <c r="T83" s="104"/>
      <c r="U83" s="104"/>
      <c r="V83" s="104"/>
      <c r="W83" s="104"/>
      <c r="X83" s="104"/>
      <c r="Y83" s="104"/>
      <c r="Z83" s="380"/>
      <c r="AA83" s="381"/>
      <c r="AB83" s="227" t="s">
        <v>1054</v>
      </c>
      <c r="AC83" s="413"/>
      <c r="AD83" s="413"/>
      <c r="AE83" s="425"/>
      <c r="AF83" s="423"/>
      <c r="AG83" s="432"/>
      <c r="AH83" s="432"/>
      <c r="AI83" s="423"/>
      <c r="AJ83" s="432"/>
      <c r="AK83" s="432"/>
      <c r="AL83" s="429"/>
      <c r="AM83" s="81"/>
      <c r="AN83" s="81"/>
      <c r="AO83" s="81"/>
      <c r="AP83" s="81"/>
      <c r="AQ83" s="81"/>
      <c r="AR83" s="81"/>
      <c r="AS83" s="81"/>
      <c r="AT83" s="81"/>
      <c r="AU83" s="81"/>
      <c r="AV83" s="81"/>
      <c r="AW83" s="81"/>
      <c r="AX83" s="81"/>
      <c r="AY83" s="81"/>
      <c r="AZ83" s="81"/>
      <c r="BA83" s="81"/>
      <c r="BB83" s="81"/>
      <c r="BC83" s="81"/>
      <c r="BD83" s="81"/>
      <c r="BE83" s="81"/>
      <c r="BF83" s="81"/>
    </row>
    <row r="84" ht="11.25" customHeight="1" spans="1:58">
      <c r="A84" s="297" t="s">
        <v>1004</v>
      </c>
      <c r="E84" s="53"/>
      <c r="F84" s="313"/>
      <c r="G84" s="314"/>
      <c r="H84" s="278" t="s">
        <v>149</v>
      </c>
      <c r="I84" s="374"/>
      <c r="J84" s="901"/>
      <c r="K84" s="213"/>
      <c r="L84" s="140"/>
      <c r="M84" s="232"/>
      <c r="N84" s="380"/>
      <c r="O84" s="381"/>
      <c r="P84" s="227" t="s">
        <v>1055</v>
      </c>
      <c r="Q84" s="381"/>
      <c r="R84" s="381"/>
      <c r="S84" s="381"/>
      <c r="T84" s="381"/>
      <c r="U84" s="381"/>
      <c r="V84" s="381"/>
      <c r="W84" s="381"/>
      <c r="X84" s="381"/>
      <c r="Y84" s="381"/>
      <c r="Z84" s="381"/>
      <c r="AA84" s="381"/>
      <c r="AB84" s="381"/>
      <c r="AC84" s="381"/>
      <c r="AD84" s="381"/>
      <c r="AE84" s="426"/>
      <c r="AF84" s="423"/>
      <c r="AG84" s="432"/>
      <c r="AH84" s="432"/>
      <c r="AI84" s="423"/>
      <c r="AJ84" s="432"/>
      <c r="AK84" s="432"/>
      <c r="AL84" s="429"/>
      <c r="AM84" s="81"/>
      <c r="AN84" s="81"/>
      <c r="AO84" s="81"/>
      <c r="AP84" s="81"/>
      <c r="AQ84" s="81"/>
      <c r="AR84" s="81"/>
      <c r="AS84" s="81"/>
      <c r="AT84" s="81"/>
      <c r="AU84" s="81"/>
      <c r="AV84" s="81"/>
      <c r="AW84" s="81"/>
      <c r="AX84" s="81"/>
      <c r="AY84" s="81"/>
      <c r="AZ84" s="81"/>
      <c r="BA84" s="81"/>
      <c r="BB84" s="81"/>
      <c r="BC84" s="81"/>
      <c r="BD84" s="81"/>
      <c r="BE84" s="81"/>
      <c r="BF84" s="81"/>
    </row>
    <row r="85" ht="11.25" customHeight="1" spans="1:58">
      <c r="A85" s="297" t="s">
        <v>1004</v>
      </c>
      <c r="B85" s="297" t="s">
        <v>22</v>
      </c>
      <c r="E85" s="53"/>
      <c r="F85" s="313"/>
      <c r="G85" s="235" t="s">
        <v>683</v>
      </c>
      <c r="H85" s="278" t="s">
        <v>151</v>
      </c>
      <c r="I85" s="374" t="s">
        <v>1083</v>
      </c>
      <c r="J85" s="901" t="s">
        <v>22</v>
      </c>
      <c r="K85" s="213" t="s">
        <v>1099</v>
      </c>
      <c r="L85" s="140" t="s">
        <v>19</v>
      </c>
      <c r="M85" s="232"/>
      <c r="N85" s="376"/>
      <c r="O85" s="377" t="s">
        <v>372</v>
      </c>
      <c r="P85" s="378"/>
      <c r="Q85" s="378"/>
      <c r="R85" s="378"/>
      <c r="S85" s="378"/>
      <c r="T85" s="378"/>
      <c r="U85" s="378"/>
      <c r="V85" s="378"/>
      <c r="W85" s="378"/>
      <c r="X85" s="378"/>
      <c r="Y85" s="378"/>
      <c r="Z85" s="378"/>
      <c r="AA85" s="378"/>
      <c r="AB85" s="378"/>
      <c r="AC85" s="378"/>
      <c r="AD85" s="378"/>
      <c r="AE85" s="378"/>
      <c r="AF85" s="423">
        <v>2026</v>
      </c>
      <c r="AG85" s="432" t="s">
        <v>1043</v>
      </c>
      <c r="AH85" s="432" t="s">
        <v>1044</v>
      </c>
      <c r="AI85" s="423"/>
      <c r="AJ85" s="432"/>
      <c r="AK85" s="432"/>
      <c r="AL85" s="429"/>
      <c r="AM85" s="81"/>
      <c r="AN85" s="81"/>
      <c r="AO85" s="81"/>
      <c r="AP85" s="81"/>
      <c r="AQ85" s="81"/>
      <c r="AR85" s="81"/>
      <c r="AS85" s="81"/>
      <c r="AT85" s="81"/>
      <c r="AU85" s="81"/>
      <c r="AV85" s="81"/>
      <c r="AW85" s="81"/>
      <c r="AX85" s="81"/>
      <c r="AY85" s="81"/>
      <c r="AZ85" s="81"/>
      <c r="BA85" s="81"/>
      <c r="BB85" s="81"/>
      <c r="BC85" s="81"/>
      <c r="BD85" s="81"/>
      <c r="BE85" s="81"/>
      <c r="BF85" s="81"/>
    </row>
    <row r="86" ht="11.25" customHeight="1" spans="1:58">
      <c r="A86" s="297" t="s">
        <v>1004</v>
      </c>
      <c r="E86" s="53"/>
      <c r="F86" s="313"/>
      <c r="G86" s="314"/>
      <c r="H86" s="278" t="s">
        <v>150</v>
      </c>
      <c r="I86" s="374"/>
      <c r="J86" s="901"/>
      <c r="K86" s="213"/>
      <c r="L86" s="140"/>
      <c r="M86" s="232"/>
      <c r="N86" s="367"/>
      <c r="O86" s="379">
        <v>1</v>
      </c>
      <c r="P86" s="369" t="s">
        <v>66</v>
      </c>
      <c r="Q86" s="375" t="s">
        <v>1065</v>
      </c>
      <c r="R86" s="387" t="s">
        <v>1046</v>
      </c>
      <c r="S86" s="387" t="s">
        <v>1047</v>
      </c>
      <c r="T86" s="387" t="s">
        <v>1047</v>
      </c>
      <c r="U86" s="387" t="s">
        <v>1048</v>
      </c>
      <c r="V86" s="387" t="s">
        <v>1049</v>
      </c>
      <c r="W86" s="387" t="s">
        <v>1050</v>
      </c>
      <c r="X86" s="387" t="s">
        <v>1066</v>
      </c>
      <c r="Y86" s="387" t="s">
        <v>1067</v>
      </c>
      <c r="Z86" s="380"/>
      <c r="AA86" s="381"/>
      <c r="AB86" s="381"/>
      <c r="AC86" s="413"/>
      <c r="AD86" s="413"/>
      <c r="AE86" s="424"/>
      <c r="AF86" s="423"/>
      <c r="AG86" s="432"/>
      <c r="AH86" s="432"/>
      <c r="AI86" s="423"/>
      <c r="AJ86" s="432"/>
      <c r="AK86" s="432"/>
      <c r="AL86" s="429"/>
      <c r="AM86" s="81"/>
      <c r="AN86" s="81"/>
      <c r="AO86" s="81"/>
      <c r="AP86" s="81"/>
      <c r="AQ86" s="81"/>
      <c r="AR86" s="81"/>
      <c r="AS86" s="81"/>
      <c r="AT86" s="81"/>
      <c r="AU86" s="81"/>
      <c r="AV86" s="81"/>
      <c r="AW86" s="81"/>
      <c r="AX86" s="81"/>
      <c r="AY86" s="81"/>
      <c r="AZ86" s="81"/>
      <c r="BA86" s="81"/>
      <c r="BB86" s="81"/>
      <c r="BC86" s="81"/>
      <c r="BD86" s="81"/>
      <c r="BE86" s="81"/>
      <c r="BF86" s="81"/>
    </row>
    <row r="87" ht="28.5" customHeight="1" spans="1:58">
      <c r="A87" s="297" t="s">
        <v>1004</v>
      </c>
      <c r="E87" s="53"/>
      <c r="F87" s="313"/>
      <c r="G87" s="314"/>
      <c r="H87" s="278" t="s">
        <v>150</v>
      </c>
      <c r="I87" s="374"/>
      <c r="J87" s="901"/>
      <c r="K87" s="213"/>
      <c r="L87" s="140"/>
      <c r="M87" s="232"/>
      <c r="N87" s="367"/>
      <c r="O87" s="379"/>
      <c r="P87" s="371"/>
      <c r="Q87" s="375"/>
      <c r="R87" s="104"/>
      <c r="S87" s="387"/>
      <c r="T87" s="104"/>
      <c r="U87" s="104"/>
      <c r="V87" s="104"/>
      <c r="W87" s="104"/>
      <c r="X87" s="104"/>
      <c r="Y87" s="104"/>
      <c r="Z87" s="415"/>
      <c r="AA87" s="368">
        <v>1</v>
      </c>
      <c r="AB87" s="416" t="s">
        <v>1053</v>
      </c>
      <c r="AC87" s="417">
        <v>12582.87</v>
      </c>
      <c r="AD87" s="416" t="str">
        <f>AB87</f>
        <v>      Амортизационные отчисления с выделением результатов переоценки основных средств и нематериальных активов</v>
      </c>
      <c r="AE87" s="417"/>
      <c r="AF87" s="423"/>
      <c r="AG87" s="432"/>
      <c r="AH87" s="432"/>
      <c r="AI87" s="423"/>
      <c r="AJ87" s="432"/>
      <c r="AK87" s="432"/>
      <c r="AL87" s="429"/>
      <c r="AM87" s="81"/>
      <c r="AN87" s="81"/>
      <c r="AO87" s="81"/>
      <c r="AP87" s="81"/>
      <c r="AQ87" s="81"/>
      <c r="AR87" s="81"/>
      <c r="AS87" s="81"/>
      <c r="AT87" s="81"/>
      <c r="AU87" s="81"/>
      <c r="AV87" s="81"/>
      <c r="AW87" s="81"/>
      <c r="AX87" s="81"/>
      <c r="AY87" s="81"/>
      <c r="AZ87" s="81"/>
      <c r="BA87" s="81"/>
      <c r="BB87" s="81"/>
      <c r="BC87" s="81"/>
      <c r="BD87" s="81"/>
      <c r="BE87" s="81"/>
      <c r="BF87" s="81"/>
    </row>
    <row r="88" ht="11.25" customHeight="1" spans="1:58">
      <c r="A88" s="297" t="s">
        <v>1004</v>
      </c>
      <c r="E88" s="53"/>
      <c r="F88" s="313"/>
      <c r="G88" s="314"/>
      <c r="H88" s="278" t="s">
        <v>150</v>
      </c>
      <c r="I88" s="374"/>
      <c r="J88" s="901"/>
      <c r="K88" s="213"/>
      <c r="L88" s="140"/>
      <c r="M88" s="232"/>
      <c r="N88" s="367"/>
      <c r="O88" s="379"/>
      <c r="P88" s="373"/>
      <c r="Q88" s="375"/>
      <c r="R88" s="104"/>
      <c r="S88" s="387"/>
      <c r="T88" s="104"/>
      <c r="U88" s="104"/>
      <c r="V88" s="104"/>
      <c r="W88" s="104"/>
      <c r="X88" s="104"/>
      <c r="Y88" s="104"/>
      <c r="Z88" s="380"/>
      <c r="AA88" s="381"/>
      <c r="AB88" s="227" t="s">
        <v>1054</v>
      </c>
      <c r="AC88" s="413"/>
      <c r="AD88" s="413"/>
      <c r="AE88" s="425"/>
      <c r="AF88" s="423"/>
      <c r="AG88" s="432"/>
      <c r="AH88" s="432"/>
      <c r="AI88" s="423"/>
      <c r="AJ88" s="432"/>
      <c r="AK88" s="432"/>
      <c r="AL88" s="429"/>
      <c r="AM88" s="81"/>
      <c r="AN88" s="81"/>
      <c r="AO88" s="81"/>
      <c r="AP88" s="81"/>
      <c r="AQ88" s="81"/>
      <c r="AR88" s="81"/>
      <c r="AS88" s="81"/>
      <c r="AT88" s="81"/>
      <c r="AU88" s="81"/>
      <c r="AV88" s="81"/>
      <c r="AW88" s="81"/>
      <c r="AX88" s="81"/>
      <c r="AY88" s="81"/>
      <c r="AZ88" s="81"/>
      <c r="BA88" s="81"/>
      <c r="BB88" s="81"/>
      <c r="BC88" s="81"/>
      <c r="BD88" s="81"/>
      <c r="BE88" s="81"/>
      <c r="BF88" s="81"/>
    </row>
    <row r="89" ht="11.25" customHeight="1" spans="1:58">
      <c r="A89" s="297" t="s">
        <v>1004</v>
      </c>
      <c r="E89" s="53"/>
      <c r="F89" s="313"/>
      <c r="G89" s="314"/>
      <c r="H89" s="278" t="s">
        <v>150</v>
      </c>
      <c r="I89" s="374"/>
      <c r="J89" s="901"/>
      <c r="K89" s="213"/>
      <c r="L89" s="140"/>
      <c r="M89" s="232"/>
      <c r="N89" s="380"/>
      <c r="O89" s="381"/>
      <c r="P89" s="227" t="s">
        <v>1055</v>
      </c>
      <c r="Q89" s="381"/>
      <c r="R89" s="381"/>
      <c r="S89" s="381"/>
      <c r="T89" s="381"/>
      <c r="U89" s="381"/>
      <c r="V89" s="381"/>
      <c r="W89" s="381"/>
      <c r="X89" s="381"/>
      <c r="Y89" s="381"/>
      <c r="Z89" s="381"/>
      <c r="AA89" s="381"/>
      <c r="AB89" s="381"/>
      <c r="AC89" s="381"/>
      <c r="AD89" s="381"/>
      <c r="AE89" s="426"/>
      <c r="AF89" s="423"/>
      <c r="AG89" s="432"/>
      <c r="AH89" s="432"/>
      <c r="AI89" s="423"/>
      <c r="AJ89" s="432"/>
      <c r="AK89" s="432"/>
      <c r="AL89" s="429"/>
      <c r="AM89" s="81"/>
      <c r="AN89" s="81"/>
      <c r="AO89" s="81"/>
      <c r="AP89" s="81"/>
      <c r="AQ89" s="81"/>
      <c r="AR89" s="81"/>
      <c r="AS89" s="81"/>
      <c r="AT89" s="81"/>
      <c r="AU89" s="81"/>
      <c r="AV89" s="81"/>
      <c r="AW89" s="81"/>
      <c r="AX89" s="81"/>
      <c r="AY89" s="81"/>
      <c r="AZ89" s="81"/>
      <c r="BA89" s="81"/>
      <c r="BB89" s="81"/>
      <c r="BC89" s="81"/>
      <c r="BD89" s="81"/>
      <c r="BE89" s="81"/>
      <c r="BF89" s="81"/>
    </row>
    <row r="90" ht="11.25" customHeight="1" spans="1:58">
      <c r="A90" s="297" t="s">
        <v>1004</v>
      </c>
      <c r="B90" s="297" t="s">
        <v>22</v>
      </c>
      <c r="E90" s="53"/>
      <c r="F90" s="313"/>
      <c r="G90" s="235" t="s">
        <v>683</v>
      </c>
      <c r="H90" s="278" t="s">
        <v>1100</v>
      </c>
      <c r="I90" s="374" t="s">
        <v>1083</v>
      </c>
      <c r="J90" s="901" t="s">
        <v>22</v>
      </c>
      <c r="K90" s="213" t="s">
        <v>1101</v>
      </c>
      <c r="L90" s="140" t="s">
        <v>19</v>
      </c>
      <c r="M90" s="232"/>
      <c r="N90" s="376"/>
      <c r="O90" s="377" t="s">
        <v>372</v>
      </c>
      <c r="P90" s="378"/>
      <c r="Q90" s="378"/>
      <c r="R90" s="378"/>
      <c r="S90" s="378"/>
      <c r="T90" s="378"/>
      <c r="U90" s="378"/>
      <c r="V90" s="378"/>
      <c r="W90" s="378"/>
      <c r="X90" s="378"/>
      <c r="Y90" s="378"/>
      <c r="Z90" s="378"/>
      <c r="AA90" s="378"/>
      <c r="AB90" s="378"/>
      <c r="AC90" s="378"/>
      <c r="AD90" s="378"/>
      <c r="AE90" s="378"/>
      <c r="AF90" s="423">
        <v>2026</v>
      </c>
      <c r="AG90" s="432" t="s">
        <v>1043</v>
      </c>
      <c r="AH90" s="432" t="s">
        <v>1044</v>
      </c>
      <c r="AI90" s="423"/>
      <c r="AJ90" s="432"/>
      <c r="AK90" s="432"/>
      <c r="AL90" s="429"/>
      <c r="AM90" s="81"/>
      <c r="AN90" s="81"/>
      <c r="AO90" s="81"/>
      <c r="AP90" s="81"/>
      <c r="AQ90" s="81"/>
      <c r="AR90" s="81"/>
      <c r="AS90" s="81"/>
      <c r="AT90" s="81"/>
      <c r="AU90" s="81"/>
      <c r="AV90" s="81"/>
      <c r="AW90" s="81"/>
      <c r="AX90" s="81"/>
      <c r="AY90" s="81"/>
      <c r="AZ90" s="81"/>
      <c r="BA90" s="81"/>
      <c r="BB90" s="81"/>
      <c r="BC90" s="81"/>
      <c r="BD90" s="81"/>
      <c r="BE90" s="81"/>
      <c r="BF90" s="81"/>
    </row>
    <row r="91" ht="11.25" customHeight="1" spans="1:58">
      <c r="A91" s="297" t="s">
        <v>1004</v>
      </c>
      <c r="E91" s="53"/>
      <c r="F91" s="313"/>
      <c r="G91" s="314"/>
      <c r="H91" s="278" t="s">
        <v>151</v>
      </c>
      <c r="I91" s="374"/>
      <c r="J91" s="901"/>
      <c r="K91" s="213"/>
      <c r="L91" s="140"/>
      <c r="M91" s="232"/>
      <c r="N91" s="367"/>
      <c r="O91" s="379">
        <v>1</v>
      </c>
      <c r="P91" s="369" t="s">
        <v>66</v>
      </c>
      <c r="Q91" s="375" t="s">
        <v>1069</v>
      </c>
      <c r="R91" s="387" t="s">
        <v>1070</v>
      </c>
      <c r="S91" s="387" t="s">
        <v>1047</v>
      </c>
      <c r="T91" s="387" t="s">
        <v>1047</v>
      </c>
      <c r="U91" s="387" t="s">
        <v>1048</v>
      </c>
      <c r="V91" s="387" t="s">
        <v>1049</v>
      </c>
      <c r="W91" s="387" t="s">
        <v>1050</v>
      </c>
      <c r="X91" s="387" t="s">
        <v>1071</v>
      </c>
      <c r="Y91" s="387" t="s">
        <v>1072</v>
      </c>
      <c r="Z91" s="380"/>
      <c r="AA91" s="381"/>
      <c r="AB91" s="381"/>
      <c r="AC91" s="413"/>
      <c r="AD91" s="413"/>
      <c r="AE91" s="424"/>
      <c r="AF91" s="423"/>
      <c r="AG91" s="432"/>
      <c r="AH91" s="432"/>
      <c r="AI91" s="423"/>
      <c r="AJ91" s="432"/>
      <c r="AK91" s="432"/>
      <c r="AL91" s="429"/>
      <c r="AM91" s="81"/>
      <c r="AN91" s="81"/>
      <c r="AO91" s="81"/>
      <c r="AP91" s="81"/>
      <c r="AQ91" s="81"/>
      <c r="AR91" s="81"/>
      <c r="AS91" s="81"/>
      <c r="AT91" s="81"/>
      <c r="AU91" s="81"/>
      <c r="AV91" s="81"/>
      <c r="AW91" s="81"/>
      <c r="AX91" s="81"/>
      <c r="AY91" s="81"/>
      <c r="AZ91" s="81"/>
      <c r="BA91" s="81"/>
      <c r="BB91" s="81"/>
      <c r="BC91" s="81"/>
      <c r="BD91" s="81"/>
      <c r="BE91" s="81"/>
      <c r="BF91" s="81"/>
    </row>
    <row r="92" ht="31.5" customHeight="1" spans="1:58">
      <c r="A92" s="297" t="s">
        <v>1004</v>
      </c>
      <c r="E92" s="53"/>
      <c r="F92" s="313"/>
      <c r="G92" s="314"/>
      <c r="H92" s="278" t="s">
        <v>151</v>
      </c>
      <c r="I92" s="374"/>
      <c r="J92" s="901"/>
      <c r="K92" s="213"/>
      <c r="L92" s="140"/>
      <c r="M92" s="232"/>
      <c r="N92" s="367"/>
      <c r="O92" s="379"/>
      <c r="P92" s="371"/>
      <c r="Q92" s="375"/>
      <c r="R92" s="104"/>
      <c r="S92" s="387"/>
      <c r="T92" s="104"/>
      <c r="U92" s="104"/>
      <c r="V92" s="104"/>
      <c r="W92" s="104"/>
      <c r="X92" s="104"/>
      <c r="Y92" s="104"/>
      <c r="Z92" s="415"/>
      <c r="AA92" s="368">
        <v>1</v>
      </c>
      <c r="AB92" s="416" t="s">
        <v>1053</v>
      </c>
      <c r="AC92" s="417">
        <v>8362.49</v>
      </c>
      <c r="AD92" s="416" t="str">
        <f>AB92</f>
        <v>      Амортизационные отчисления с выделением результатов переоценки основных средств и нематериальных активов</v>
      </c>
      <c r="AE92" s="417"/>
      <c r="AF92" s="423"/>
      <c r="AG92" s="432"/>
      <c r="AH92" s="432"/>
      <c r="AI92" s="423"/>
      <c r="AJ92" s="432"/>
      <c r="AK92" s="432"/>
      <c r="AL92" s="429"/>
      <c r="AM92" s="81"/>
      <c r="AN92" s="81"/>
      <c r="AO92" s="81"/>
      <c r="AP92" s="81"/>
      <c r="AQ92" s="81"/>
      <c r="AR92" s="81"/>
      <c r="AS92" s="81"/>
      <c r="AT92" s="81"/>
      <c r="AU92" s="81"/>
      <c r="AV92" s="81"/>
      <c r="AW92" s="81"/>
      <c r="AX92" s="81"/>
      <c r="AY92" s="81"/>
      <c r="AZ92" s="81"/>
      <c r="BA92" s="81"/>
      <c r="BB92" s="81"/>
      <c r="BC92" s="81"/>
      <c r="BD92" s="81"/>
      <c r="BE92" s="81"/>
      <c r="BF92" s="81"/>
    </row>
    <row r="93" ht="11.25" customHeight="1" spans="1:58">
      <c r="A93" s="297" t="s">
        <v>1004</v>
      </c>
      <c r="E93" s="53"/>
      <c r="F93" s="313"/>
      <c r="G93" s="314"/>
      <c r="H93" s="278" t="s">
        <v>151</v>
      </c>
      <c r="I93" s="374"/>
      <c r="J93" s="901"/>
      <c r="K93" s="213"/>
      <c r="L93" s="140"/>
      <c r="M93" s="232"/>
      <c r="N93" s="367"/>
      <c r="O93" s="379"/>
      <c r="P93" s="373"/>
      <c r="Q93" s="375"/>
      <c r="R93" s="104"/>
      <c r="S93" s="387"/>
      <c r="T93" s="104"/>
      <c r="U93" s="104"/>
      <c r="V93" s="104"/>
      <c r="W93" s="104"/>
      <c r="X93" s="104"/>
      <c r="Y93" s="104"/>
      <c r="Z93" s="380"/>
      <c r="AA93" s="381"/>
      <c r="AB93" s="227" t="s">
        <v>1054</v>
      </c>
      <c r="AC93" s="413"/>
      <c r="AD93" s="413"/>
      <c r="AE93" s="425"/>
      <c r="AF93" s="423"/>
      <c r="AG93" s="432"/>
      <c r="AH93" s="432"/>
      <c r="AI93" s="423"/>
      <c r="AJ93" s="432"/>
      <c r="AK93" s="432"/>
      <c r="AL93" s="429"/>
      <c r="AM93" s="81"/>
      <c r="AN93" s="81"/>
      <c r="AO93" s="81"/>
      <c r="AP93" s="81"/>
      <c r="AQ93" s="81"/>
      <c r="AR93" s="81"/>
      <c r="AS93" s="81"/>
      <c r="AT93" s="81"/>
      <c r="AU93" s="81"/>
      <c r="AV93" s="81"/>
      <c r="AW93" s="81"/>
      <c r="AX93" s="81"/>
      <c r="AY93" s="81"/>
      <c r="AZ93" s="81"/>
      <c r="BA93" s="81"/>
      <c r="BB93" s="81"/>
      <c r="BC93" s="81"/>
      <c r="BD93" s="81"/>
      <c r="BE93" s="81"/>
      <c r="BF93" s="81"/>
    </row>
    <row r="94" ht="11.25" customHeight="1" spans="1:58">
      <c r="A94" s="297" t="s">
        <v>1004</v>
      </c>
      <c r="E94" s="53"/>
      <c r="F94" s="313"/>
      <c r="G94" s="314"/>
      <c r="H94" s="278" t="s">
        <v>151</v>
      </c>
      <c r="I94" s="374"/>
      <c r="J94" s="901"/>
      <c r="K94" s="213"/>
      <c r="L94" s="140"/>
      <c r="M94" s="232"/>
      <c r="N94" s="380"/>
      <c r="O94" s="381"/>
      <c r="P94" s="227" t="s">
        <v>1055</v>
      </c>
      <c r="Q94" s="381"/>
      <c r="R94" s="381"/>
      <c r="S94" s="381"/>
      <c r="T94" s="381"/>
      <c r="U94" s="381"/>
      <c r="V94" s="381"/>
      <c r="W94" s="381"/>
      <c r="X94" s="381"/>
      <c r="Y94" s="381"/>
      <c r="Z94" s="381"/>
      <c r="AA94" s="381"/>
      <c r="AB94" s="381"/>
      <c r="AC94" s="381"/>
      <c r="AD94" s="381"/>
      <c r="AE94" s="426"/>
      <c r="AF94" s="423"/>
      <c r="AG94" s="432"/>
      <c r="AH94" s="432"/>
      <c r="AI94" s="423"/>
      <c r="AJ94" s="432"/>
      <c r="AK94" s="432"/>
      <c r="AL94" s="429"/>
      <c r="AM94" s="81"/>
      <c r="AN94" s="81"/>
      <c r="AO94" s="81"/>
      <c r="AP94" s="81"/>
      <c r="AQ94" s="81"/>
      <c r="AR94" s="81"/>
      <c r="AS94" s="81"/>
      <c r="AT94" s="81"/>
      <c r="AU94" s="81"/>
      <c r="AV94" s="81"/>
      <c r="AW94" s="81"/>
      <c r="AX94" s="81"/>
      <c r="AY94" s="81"/>
      <c r="AZ94" s="81"/>
      <c r="BA94" s="81"/>
      <c r="BB94" s="81"/>
      <c r="BC94" s="81"/>
      <c r="BD94" s="81"/>
      <c r="BE94" s="81"/>
      <c r="BF94" s="81"/>
    </row>
    <row r="95" ht="11.25" customHeight="1" spans="1:58">
      <c r="A95" s="297" t="s">
        <v>1004</v>
      </c>
      <c r="B95" s="297" t="s">
        <v>22</v>
      </c>
      <c r="E95" s="53"/>
      <c r="F95" s="313"/>
      <c r="G95" s="235" t="s">
        <v>683</v>
      </c>
      <c r="H95" s="278" t="s">
        <v>1102</v>
      </c>
      <c r="I95" s="374" t="s">
        <v>1083</v>
      </c>
      <c r="J95" s="901" t="s">
        <v>22</v>
      </c>
      <c r="K95" s="213" t="s">
        <v>1103</v>
      </c>
      <c r="L95" s="140" t="s">
        <v>19</v>
      </c>
      <c r="M95" s="232"/>
      <c r="N95" s="376"/>
      <c r="O95" s="377" t="s">
        <v>372</v>
      </c>
      <c r="P95" s="378"/>
      <c r="Q95" s="378"/>
      <c r="R95" s="378"/>
      <c r="S95" s="378"/>
      <c r="T95" s="378"/>
      <c r="U95" s="378"/>
      <c r="V95" s="378"/>
      <c r="W95" s="378"/>
      <c r="X95" s="378"/>
      <c r="Y95" s="378"/>
      <c r="Z95" s="378"/>
      <c r="AA95" s="378"/>
      <c r="AB95" s="378"/>
      <c r="AC95" s="378"/>
      <c r="AD95" s="378"/>
      <c r="AE95" s="378"/>
      <c r="AF95" s="423">
        <v>2026</v>
      </c>
      <c r="AG95" s="432" t="s">
        <v>1043</v>
      </c>
      <c r="AH95" s="432" t="s">
        <v>1044</v>
      </c>
      <c r="AI95" s="423"/>
      <c r="AJ95" s="432"/>
      <c r="AK95" s="432"/>
      <c r="AL95" s="429"/>
      <c r="AM95" s="81"/>
      <c r="AN95" s="81"/>
      <c r="AO95" s="81"/>
      <c r="AP95" s="81"/>
      <c r="AQ95" s="81"/>
      <c r="AR95" s="81"/>
      <c r="AS95" s="81"/>
      <c r="AT95" s="81"/>
      <c r="AU95" s="81"/>
      <c r="AV95" s="81"/>
      <c r="AW95" s="81"/>
      <c r="AX95" s="81"/>
      <c r="AY95" s="81"/>
      <c r="AZ95" s="81"/>
      <c r="BA95" s="81"/>
      <c r="BB95" s="81"/>
      <c r="BC95" s="81"/>
      <c r="BD95" s="81"/>
      <c r="BE95" s="81"/>
      <c r="BF95" s="81"/>
    </row>
    <row r="96" ht="11.25" customHeight="1" spans="1:58">
      <c r="A96" s="297" t="s">
        <v>1004</v>
      </c>
      <c r="E96" s="53"/>
      <c r="F96" s="313"/>
      <c r="G96" s="314"/>
      <c r="H96" s="278" t="s">
        <v>1100</v>
      </c>
      <c r="I96" s="374"/>
      <c r="J96" s="901"/>
      <c r="K96" s="213"/>
      <c r="L96" s="140"/>
      <c r="M96" s="232"/>
      <c r="N96" s="367"/>
      <c r="O96" s="379">
        <v>1</v>
      </c>
      <c r="P96" s="369" t="s">
        <v>66</v>
      </c>
      <c r="Q96" s="375" t="s">
        <v>1074</v>
      </c>
      <c r="R96" s="387" t="s">
        <v>1070</v>
      </c>
      <c r="S96" s="387" t="s">
        <v>1047</v>
      </c>
      <c r="T96" s="387" t="s">
        <v>1047</v>
      </c>
      <c r="U96" s="387" t="s">
        <v>1048</v>
      </c>
      <c r="V96" s="387" t="s">
        <v>1049</v>
      </c>
      <c r="W96" s="387" t="s">
        <v>1050</v>
      </c>
      <c r="X96" s="387" t="s">
        <v>1075</v>
      </c>
      <c r="Y96" s="387" t="s">
        <v>1076</v>
      </c>
      <c r="Z96" s="380"/>
      <c r="AA96" s="381"/>
      <c r="AB96" s="381"/>
      <c r="AC96" s="413"/>
      <c r="AD96" s="413"/>
      <c r="AE96" s="424"/>
      <c r="AF96" s="423"/>
      <c r="AG96" s="432"/>
      <c r="AH96" s="432"/>
      <c r="AI96" s="423"/>
      <c r="AJ96" s="432"/>
      <c r="AK96" s="432"/>
      <c r="AL96" s="429"/>
      <c r="AM96" s="81"/>
      <c r="AN96" s="81"/>
      <c r="AO96" s="81"/>
      <c r="AP96" s="81"/>
      <c r="AQ96" s="81"/>
      <c r="AR96" s="81"/>
      <c r="AS96" s="81"/>
      <c r="AT96" s="81"/>
      <c r="AU96" s="81"/>
      <c r="AV96" s="81"/>
      <c r="AW96" s="81"/>
      <c r="AX96" s="81"/>
      <c r="AY96" s="81"/>
      <c r="AZ96" s="81"/>
      <c r="BA96" s="81"/>
      <c r="BB96" s="81"/>
      <c r="BC96" s="81"/>
      <c r="BD96" s="81"/>
      <c r="BE96" s="81"/>
      <c r="BF96" s="81"/>
    </row>
    <row r="97" ht="32.25" customHeight="1" spans="1:58">
      <c r="A97" s="297" t="s">
        <v>1004</v>
      </c>
      <c r="E97" s="53"/>
      <c r="F97" s="313"/>
      <c r="G97" s="314"/>
      <c r="H97" s="278" t="s">
        <v>1100</v>
      </c>
      <c r="I97" s="374"/>
      <c r="J97" s="901"/>
      <c r="K97" s="213"/>
      <c r="L97" s="140"/>
      <c r="M97" s="232"/>
      <c r="N97" s="367"/>
      <c r="O97" s="379"/>
      <c r="P97" s="371"/>
      <c r="Q97" s="375"/>
      <c r="R97" s="104"/>
      <c r="S97" s="387"/>
      <c r="T97" s="104"/>
      <c r="U97" s="104"/>
      <c r="V97" s="104"/>
      <c r="W97" s="104"/>
      <c r="X97" s="104"/>
      <c r="Y97" s="104"/>
      <c r="Z97" s="415"/>
      <c r="AA97" s="368">
        <v>1</v>
      </c>
      <c r="AB97" s="416" t="s">
        <v>1053</v>
      </c>
      <c r="AC97" s="417">
        <v>8405.79</v>
      </c>
      <c r="AD97" s="416" t="str">
        <f>AB97</f>
        <v>      Амортизационные отчисления с выделением результатов переоценки основных средств и нематериальных активов</v>
      </c>
      <c r="AE97" s="417"/>
      <c r="AF97" s="423"/>
      <c r="AG97" s="432"/>
      <c r="AH97" s="432"/>
      <c r="AI97" s="423"/>
      <c r="AJ97" s="432"/>
      <c r="AK97" s="432"/>
      <c r="AL97" s="429"/>
      <c r="AM97" s="81"/>
      <c r="AN97" s="81"/>
      <c r="AO97" s="81"/>
      <c r="AP97" s="81"/>
      <c r="AQ97" s="81"/>
      <c r="AR97" s="81"/>
      <c r="AS97" s="81"/>
      <c r="AT97" s="81"/>
      <c r="AU97" s="81"/>
      <c r="AV97" s="81"/>
      <c r="AW97" s="81"/>
      <c r="AX97" s="81"/>
      <c r="AY97" s="81"/>
      <c r="AZ97" s="81"/>
      <c r="BA97" s="81"/>
      <c r="BB97" s="81"/>
      <c r="BC97" s="81"/>
      <c r="BD97" s="81"/>
      <c r="BE97" s="81"/>
      <c r="BF97" s="81"/>
    </row>
    <row r="98" ht="11.25" customHeight="1" spans="1:58">
      <c r="A98" s="297" t="s">
        <v>1004</v>
      </c>
      <c r="E98" s="53"/>
      <c r="F98" s="313"/>
      <c r="G98" s="314"/>
      <c r="H98" s="278" t="s">
        <v>1100</v>
      </c>
      <c r="I98" s="374"/>
      <c r="J98" s="901"/>
      <c r="K98" s="213"/>
      <c r="L98" s="140"/>
      <c r="M98" s="232"/>
      <c r="N98" s="367"/>
      <c r="O98" s="379"/>
      <c r="P98" s="373"/>
      <c r="Q98" s="375"/>
      <c r="R98" s="104"/>
      <c r="S98" s="387"/>
      <c r="T98" s="104"/>
      <c r="U98" s="104"/>
      <c r="V98" s="104"/>
      <c r="W98" s="104"/>
      <c r="X98" s="104"/>
      <c r="Y98" s="104"/>
      <c r="Z98" s="380"/>
      <c r="AA98" s="381"/>
      <c r="AB98" s="227" t="s">
        <v>1054</v>
      </c>
      <c r="AC98" s="413"/>
      <c r="AD98" s="413"/>
      <c r="AE98" s="425"/>
      <c r="AF98" s="423"/>
      <c r="AG98" s="432"/>
      <c r="AH98" s="432"/>
      <c r="AI98" s="423"/>
      <c r="AJ98" s="432"/>
      <c r="AK98" s="432"/>
      <c r="AL98" s="429"/>
      <c r="AM98" s="81"/>
      <c r="AN98" s="81"/>
      <c r="AO98" s="81"/>
      <c r="AP98" s="81"/>
      <c r="AQ98" s="81"/>
      <c r="AR98" s="81"/>
      <c r="AS98" s="81"/>
      <c r="AT98" s="81"/>
      <c r="AU98" s="81"/>
      <c r="AV98" s="81"/>
      <c r="AW98" s="81"/>
      <c r="AX98" s="81"/>
      <c r="AY98" s="81"/>
      <c r="AZ98" s="81"/>
      <c r="BA98" s="81"/>
      <c r="BB98" s="81"/>
      <c r="BC98" s="81"/>
      <c r="BD98" s="81"/>
      <c r="BE98" s="81"/>
      <c r="BF98" s="81"/>
    </row>
    <row r="99" ht="11.25" customHeight="1" spans="1:58">
      <c r="A99" s="297" t="s">
        <v>1004</v>
      </c>
      <c r="E99" s="53"/>
      <c r="F99" s="313"/>
      <c r="G99" s="314"/>
      <c r="H99" s="278" t="s">
        <v>1100</v>
      </c>
      <c r="I99" s="374"/>
      <c r="J99" s="901"/>
      <c r="K99" s="213"/>
      <c r="L99" s="140"/>
      <c r="M99" s="232"/>
      <c r="N99" s="380"/>
      <c r="O99" s="381"/>
      <c r="P99" s="227" t="s">
        <v>1055</v>
      </c>
      <c r="Q99" s="381"/>
      <c r="R99" s="381"/>
      <c r="S99" s="381"/>
      <c r="T99" s="381"/>
      <c r="U99" s="381"/>
      <c r="V99" s="381"/>
      <c r="W99" s="381"/>
      <c r="X99" s="381"/>
      <c r="Y99" s="381"/>
      <c r="Z99" s="381"/>
      <c r="AA99" s="381"/>
      <c r="AB99" s="381"/>
      <c r="AC99" s="381"/>
      <c r="AD99" s="381"/>
      <c r="AE99" s="426"/>
      <c r="AF99" s="423"/>
      <c r="AG99" s="432"/>
      <c r="AH99" s="432"/>
      <c r="AI99" s="423"/>
      <c r="AJ99" s="432"/>
      <c r="AK99" s="432"/>
      <c r="AL99" s="429"/>
      <c r="AM99" s="81"/>
      <c r="AN99" s="81"/>
      <c r="AO99" s="81"/>
      <c r="AP99" s="81"/>
      <c r="AQ99" s="81"/>
      <c r="AR99" s="81"/>
      <c r="AS99" s="81"/>
      <c r="AT99" s="81"/>
      <c r="AU99" s="81"/>
      <c r="AV99" s="81"/>
      <c r="AW99" s="81"/>
      <c r="AX99" s="81"/>
      <c r="AY99" s="81"/>
      <c r="AZ99" s="81"/>
      <c r="BA99" s="81"/>
      <c r="BB99" s="81"/>
      <c r="BC99" s="81"/>
      <c r="BD99" s="81"/>
      <c r="BE99" s="81"/>
      <c r="BF99" s="81"/>
    </row>
    <row r="100" ht="11.25" customHeight="1" spans="1:58">
      <c r="A100" s="297" t="s">
        <v>1004</v>
      </c>
      <c r="B100" s="297" t="s">
        <v>1104</v>
      </c>
      <c r="E100" s="53"/>
      <c r="F100" s="313"/>
      <c r="G100" s="235" t="s">
        <v>683</v>
      </c>
      <c r="H100" s="278" t="s">
        <v>1105</v>
      </c>
      <c r="I100" s="374" t="s">
        <v>1106</v>
      </c>
      <c r="J100" s="375" t="s">
        <v>1107</v>
      </c>
      <c r="K100" s="213" t="s">
        <v>1108</v>
      </c>
      <c r="L100" s="140" t="s">
        <v>19</v>
      </c>
      <c r="M100" s="232"/>
      <c r="N100" s="376"/>
      <c r="O100" s="377" t="s">
        <v>372</v>
      </c>
      <c r="P100" s="378"/>
      <c r="Q100" s="378"/>
      <c r="R100" s="378"/>
      <c r="S100" s="378"/>
      <c r="T100" s="378"/>
      <c r="U100" s="378"/>
      <c r="V100" s="378"/>
      <c r="W100" s="378"/>
      <c r="X100" s="378"/>
      <c r="Y100" s="378"/>
      <c r="Z100" s="378"/>
      <c r="AA100" s="378"/>
      <c r="AB100" s="378"/>
      <c r="AC100" s="378"/>
      <c r="AD100" s="378"/>
      <c r="AE100" s="378"/>
      <c r="AF100" s="423">
        <v>2026</v>
      </c>
      <c r="AG100" s="432" t="s">
        <v>1043</v>
      </c>
      <c r="AH100" s="432" t="s">
        <v>1044</v>
      </c>
      <c r="AI100" s="423"/>
      <c r="AJ100" s="432"/>
      <c r="AK100" s="432"/>
      <c r="AL100" s="429"/>
      <c r="AM100" s="81"/>
      <c r="AN100" s="81"/>
      <c r="AO100" s="81"/>
      <c r="AP100" s="81"/>
      <c r="AQ100" s="81"/>
      <c r="AR100" s="81"/>
      <c r="AS100" s="81"/>
      <c r="AT100" s="81"/>
      <c r="AU100" s="81"/>
      <c r="AV100" s="81"/>
      <c r="AW100" s="81"/>
      <c r="AX100" s="81"/>
      <c r="AY100" s="81"/>
      <c r="AZ100" s="81"/>
      <c r="BA100" s="81"/>
      <c r="BB100" s="81"/>
      <c r="BC100" s="81"/>
      <c r="BD100" s="81"/>
      <c r="BE100" s="81"/>
      <c r="BF100" s="81"/>
    </row>
    <row r="101" ht="11.25" customHeight="1" spans="1:58">
      <c r="A101" s="297" t="s">
        <v>1004</v>
      </c>
      <c r="E101" s="53"/>
      <c r="F101" s="313"/>
      <c r="G101" s="314"/>
      <c r="H101" s="278" t="s">
        <v>1102</v>
      </c>
      <c r="I101" s="374"/>
      <c r="J101" s="375"/>
      <c r="K101" s="213"/>
      <c r="L101" s="140"/>
      <c r="M101" s="232"/>
      <c r="N101" s="367"/>
      <c r="O101" s="379">
        <v>1</v>
      </c>
      <c r="P101" s="369" t="s">
        <v>66</v>
      </c>
      <c r="Q101" s="375" t="s">
        <v>1109</v>
      </c>
      <c r="R101" s="387" t="s">
        <v>1046</v>
      </c>
      <c r="S101" s="387" t="s">
        <v>1047</v>
      </c>
      <c r="T101" s="387" t="s">
        <v>1047</v>
      </c>
      <c r="U101" s="387" t="s">
        <v>1048</v>
      </c>
      <c r="V101" s="387" t="s">
        <v>1049</v>
      </c>
      <c r="W101" s="387" t="s">
        <v>1050</v>
      </c>
      <c r="X101" s="387" t="s">
        <v>1110</v>
      </c>
      <c r="Y101" s="387" t="s">
        <v>1111</v>
      </c>
      <c r="Z101" s="380"/>
      <c r="AA101" s="381"/>
      <c r="AB101" s="381"/>
      <c r="AC101" s="413"/>
      <c r="AD101" s="413"/>
      <c r="AE101" s="424"/>
      <c r="AF101" s="423"/>
      <c r="AG101" s="432"/>
      <c r="AH101" s="432"/>
      <c r="AI101" s="423"/>
      <c r="AJ101" s="432"/>
      <c r="AK101" s="432"/>
      <c r="AL101" s="429"/>
      <c r="AM101" s="81"/>
      <c r="AN101" s="81"/>
      <c r="AO101" s="81"/>
      <c r="AP101" s="81"/>
      <c r="AQ101" s="81"/>
      <c r="AR101" s="81"/>
      <c r="AS101" s="81"/>
      <c r="AT101" s="81"/>
      <c r="AU101" s="81"/>
      <c r="AV101" s="81"/>
      <c r="AW101" s="81"/>
      <c r="AX101" s="81"/>
      <c r="AY101" s="81"/>
      <c r="AZ101" s="81"/>
      <c r="BA101" s="81"/>
      <c r="BB101" s="81"/>
      <c r="BC101" s="81"/>
      <c r="BD101" s="81"/>
      <c r="BE101" s="81"/>
      <c r="BF101" s="81"/>
    </row>
    <row r="102" ht="11.25" customHeight="1" spans="1:58">
      <c r="A102" s="297" t="s">
        <v>1004</v>
      </c>
      <c r="E102" s="53"/>
      <c r="F102" s="313"/>
      <c r="G102" s="314"/>
      <c r="H102" s="278" t="s">
        <v>1102</v>
      </c>
      <c r="I102" s="374"/>
      <c r="J102" s="375"/>
      <c r="K102" s="213"/>
      <c r="L102" s="140"/>
      <c r="M102" s="232"/>
      <c r="N102" s="367"/>
      <c r="O102" s="379"/>
      <c r="P102" s="371"/>
      <c r="Q102" s="375"/>
      <c r="R102" s="104"/>
      <c r="S102" s="387"/>
      <c r="T102" s="104"/>
      <c r="U102" s="104"/>
      <c r="V102" s="104"/>
      <c r="W102" s="104"/>
      <c r="X102" s="104"/>
      <c r="Y102" s="104"/>
      <c r="Z102" s="415"/>
      <c r="AA102" s="368">
        <v>1</v>
      </c>
      <c r="AB102" s="416" t="s">
        <v>1082</v>
      </c>
      <c r="AC102" s="417">
        <v>63406.21</v>
      </c>
      <c r="AD102" s="416" t="str">
        <f>AB102</f>
        <v>  Прибыль направляемая на инвестиции</v>
      </c>
      <c r="AE102" s="417"/>
      <c r="AF102" s="423"/>
      <c r="AG102" s="432"/>
      <c r="AH102" s="432"/>
      <c r="AI102" s="423"/>
      <c r="AJ102" s="432"/>
      <c r="AK102" s="432"/>
      <c r="AL102" s="429"/>
      <c r="AM102" s="81"/>
      <c r="AN102" s="81"/>
      <c r="AO102" s="81"/>
      <c r="AP102" s="81"/>
      <c r="AQ102" s="81"/>
      <c r="AR102" s="81"/>
      <c r="AS102" s="81"/>
      <c r="AT102" s="81"/>
      <c r="AU102" s="81"/>
      <c r="AV102" s="81"/>
      <c r="AW102" s="81"/>
      <c r="AX102" s="81"/>
      <c r="AY102" s="81"/>
      <c r="AZ102" s="81"/>
      <c r="BA102" s="81"/>
      <c r="BB102" s="81"/>
      <c r="BC102" s="81"/>
      <c r="BD102" s="81"/>
      <c r="BE102" s="81"/>
      <c r="BF102" s="81"/>
    </row>
    <row r="103" ht="11.25" customHeight="1" spans="1:58">
      <c r="A103" s="297" t="s">
        <v>1004</v>
      </c>
      <c r="E103" s="53"/>
      <c r="F103" s="313"/>
      <c r="G103" s="314"/>
      <c r="H103" s="278" t="s">
        <v>1102</v>
      </c>
      <c r="I103" s="374"/>
      <c r="J103" s="375"/>
      <c r="K103" s="213"/>
      <c r="L103" s="140"/>
      <c r="M103" s="232"/>
      <c r="N103" s="367"/>
      <c r="O103" s="379"/>
      <c r="P103" s="373"/>
      <c r="Q103" s="375"/>
      <c r="R103" s="104"/>
      <c r="S103" s="387"/>
      <c r="T103" s="104"/>
      <c r="U103" s="104"/>
      <c r="V103" s="104"/>
      <c r="W103" s="104"/>
      <c r="X103" s="104"/>
      <c r="Y103" s="104"/>
      <c r="Z103" s="380"/>
      <c r="AA103" s="381"/>
      <c r="AB103" s="227" t="s">
        <v>1054</v>
      </c>
      <c r="AC103" s="413"/>
      <c r="AD103" s="413"/>
      <c r="AE103" s="425"/>
      <c r="AF103" s="423"/>
      <c r="AG103" s="432"/>
      <c r="AH103" s="432"/>
      <c r="AI103" s="423"/>
      <c r="AJ103" s="432"/>
      <c r="AK103" s="432"/>
      <c r="AL103" s="429"/>
      <c r="AM103" s="81"/>
      <c r="AN103" s="81"/>
      <c r="AO103" s="81"/>
      <c r="AP103" s="81"/>
      <c r="AQ103" s="81"/>
      <c r="AR103" s="81"/>
      <c r="AS103" s="81"/>
      <c r="AT103" s="81"/>
      <c r="AU103" s="81"/>
      <c r="AV103" s="81"/>
      <c r="AW103" s="81"/>
      <c r="AX103" s="81"/>
      <c r="AY103" s="81"/>
      <c r="AZ103" s="81"/>
      <c r="BA103" s="81"/>
      <c r="BB103" s="81"/>
      <c r="BC103" s="81"/>
      <c r="BD103" s="81"/>
      <c r="BE103" s="81"/>
      <c r="BF103" s="81"/>
    </row>
    <row r="104" ht="11.25" customHeight="1" spans="1:58">
      <c r="A104" s="297" t="s">
        <v>1004</v>
      </c>
      <c r="E104" s="53"/>
      <c r="F104" s="313"/>
      <c r="G104" s="314"/>
      <c r="H104" s="278" t="s">
        <v>1102</v>
      </c>
      <c r="I104" s="374"/>
      <c r="J104" s="375"/>
      <c r="K104" s="213"/>
      <c r="L104" s="140"/>
      <c r="M104" s="232"/>
      <c r="N104" s="380"/>
      <c r="O104" s="381"/>
      <c r="P104" s="227" t="s">
        <v>1055</v>
      </c>
      <c r="Q104" s="381"/>
      <c r="R104" s="381"/>
      <c r="S104" s="381"/>
      <c r="T104" s="381"/>
      <c r="U104" s="381"/>
      <c r="V104" s="381"/>
      <c r="W104" s="381"/>
      <c r="X104" s="381"/>
      <c r="Y104" s="381"/>
      <c r="Z104" s="381"/>
      <c r="AA104" s="381"/>
      <c r="AB104" s="381"/>
      <c r="AC104" s="381"/>
      <c r="AD104" s="381"/>
      <c r="AE104" s="426"/>
      <c r="AF104" s="423"/>
      <c r="AG104" s="432"/>
      <c r="AH104" s="432"/>
      <c r="AI104" s="423"/>
      <c r="AJ104" s="432"/>
      <c r="AK104" s="432"/>
      <c r="AL104" s="429"/>
      <c r="AM104" s="81"/>
      <c r="AN104" s="81"/>
      <c r="AO104" s="81"/>
      <c r="AP104" s="81"/>
      <c r="AQ104" s="81"/>
      <c r="AR104" s="81"/>
      <c r="AS104" s="81"/>
      <c r="AT104" s="81"/>
      <c r="AU104" s="81"/>
      <c r="AV104" s="81"/>
      <c r="AW104" s="81"/>
      <c r="AX104" s="81"/>
      <c r="AY104" s="81"/>
      <c r="AZ104" s="81"/>
      <c r="BA104" s="81"/>
      <c r="BB104" s="81"/>
      <c r="BC104" s="81"/>
      <c r="BD104" s="81"/>
      <c r="BE104" s="81"/>
      <c r="BF104" s="81"/>
    </row>
    <row r="105" ht="11.25" customHeight="1" spans="1:58">
      <c r="A105" s="297" t="s">
        <v>1004</v>
      </c>
      <c r="B105" s="297" t="s">
        <v>1104</v>
      </c>
      <c r="E105" s="53"/>
      <c r="F105" s="313"/>
      <c r="G105" s="235" t="s">
        <v>683</v>
      </c>
      <c r="H105" s="278" t="s">
        <v>1112</v>
      </c>
      <c r="I105" s="374" t="s">
        <v>1106</v>
      </c>
      <c r="J105" s="375" t="s">
        <v>1107</v>
      </c>
      <c r="K105" s="213" t="s">
        <v>1113</v>
      </c>
      <c r="L105" s="140" t="s">
        <v>19</v>
      </c>
      <c r="M105" s="232"/>
      <c r="N105" s="376"/>
      <c r="O105" s="377" t="s">
        <v>372</v>
      </c>
      <c r="P105" s="378"/>
      <c r="Q105" s="378"/>
      <c r="R105" s="378"/>
      <c r="S105" s="378"/>
      <c r="T105" s="378"/>
      <c r="U105" s="378"/>
      <c r="V105" s="378"/>
      <c r="W105" s="378"/>
      <c r="X105" s="378"/>
      <c r="Y105" s="378"/>
      <c r="Z105" s="378"/>
      <c r="AA105" s="378"/>
      <c r="AB105" s="378"/>
      <c r="AC105" s="378"/>
      <c r="AD105" s="378"/>
      <c r="AE105" s="378"/>
      <c r="AF105" s="423">
        <v>2026</v>
      </c>
      <c r="AG105" s="432" t="s">
        <v>1043</v>
      </c>
      <c r="AH105" s="432" t="s">
        <v>1044</v>
      </c>
      <c r="AI105" s="423"/>
      <c r="AJ105" s="432"/>
      <c r="AK105" s="432"/>
      <c r="AL105" s="429"/>
      <c r="AM105" s="81"/>
      <c r="AN105" s="81"/>
      <c r="AO105" s="81"/>
      <c r="AP105" s="81"/>
      <c r="AQ105" s="81"/>
      <c r="AR105" s="81"/>
      <c r="AS105" s="81"/>
      <c r="AT105" s="81"/>
      <c r="AU105" s="81"/>
      <c r="AV105" s="81"/>
      <c r="AW105" s="81"/>
      <c r="AX105" s="81"/>
      <c r="AY105" s="81"/>
      <c r="AZ105" s="81"/>
      <c r="BA105" s="81"/>
      <c r="BB105" s="81"/>
      <c r="BC105" s="81"/>
      <c r="BD105" s="81"/>
      <c r="BE105" s="81"/>
      <c r="BF105" s="81"/>
    </row>
    <row r="106" ht="11.25" customHeight="1" spans="1:58">
      <c r="A106" s="297" t="s">
        <v>1004</v>
      </c>
      <c r="E106" s="53"/>
      <c r="F106" s="313"/>
      <c r="G106" s="314"/>
      <c r="H106" s="278" t="s">
        <v>1105</v>
      </c>
      <c r="I106" s="374"/>
      <c r="J106" s="375"/>
      <c r="K106" s="213"/>
      <c r="L106" s="140"/>
      <c r="M106" s="232"/>
      <c r="N106" s="367"/>
      <c r="O106" s="379">
        <v>1</v>
      </c>
      <c r="P106" s="369" t="s">
        <v>66</v>
      </c>
      <c r="Q106" s="375" t="s">
        <v>1114</v>
      </c>
      <c r="R106" s="387" t="s">
        <v>1046</v>
      </c>
      <c r="S106" s="387" t="s">
        <v>1047</v>
      </c>
      <c r="T106" s="387" t="s">
        <v>1047</v>
      </c>
      <c r="U106" s="387" t="s">
        <v>1048</v>
      </c>
      <c r="V106" s="387" t="s">
        <v>1049</v>
      </c>
      <c r="W106" s="387" t="s">
        <v>1050</v>
      </c>
      <c r="X106" s="387" t="s">
        <v>1115</v>
      </c>
      <c r="Y106" s="387" t="s">
        <v>1116</v>
      </c>
      <c r="Z106" s="380"/>
      <c r="AA106" s="381"/>
      <c r="AB106" s="381"/>
      <c r="AC106" s="413"/>
      <c r="AD106" s="413"/>
      <c r="AE106" s="424"/>
      <c r="AF106" s="423"/>
      <c r="AG106" s="432"/>
      <c r="AH106" s="432"/>
      <c r="AI106" s="423"/>
      <c r="AJ106" s="432"/>
      <c r="AK106" s="432"/>
      <c r="AL106" s="429"/>
      <c r="AM106" s="81"/>
      <c r="AN106" s="81"/>
      <c r="AO106" s="81"/>
      <c r="AP106" s="81"/>
      <c r="AQ106" s="81"/>
      <c r="AR106" s="81"/>
      <c r="AS106" s="81"/>
      <c r="AT106" s="81"/>
      <c r="AU106" s="81"/>
      <c r="AV106" s="81"/>
      <c r="AW106" s="81"/>
      <c r="AX106" s="81"/>
      <c r="AY106" s="81"/>
      <c r="AZ106" s="81"/>
      <c r="BA106" s="81"/>
      <c r="BB106" s="81"/>
      <c r="BC106" s="81"/>
      <c r="BD106" s="81"/>
      <c r="BE106" s="81"/>
      <c r="BF106" s="81"/>
    </row>
    <row r="107" ht="11.25" customHeight="1" spans="1:58">
      <c r="A107" s="297" t="s">
        <v>1004</v>
      </c>
      <c r="E107" s="53"/>
      <c r="F107" s="313"/>
      <c r="G107" s="314"/>
      <c r="H107" s="278" t="s">
        <v>1105</v>
      </c>
      <c r="I107" s="374"/>
      <c r="J107" s="375"/>
      <c r="K107" s="213"/>
      <c r="L107" s="140"/>
      <c r="M107" s="232"/>
      <c r="N107" s="367"/>
      <c r="O107" s="379"/>
      <c r="P107" s="371"/>
      <c r="Q107" s="375"/>
      <c r="R107" s="104"/>
      <c r="S107" s="387"/>
      <c r="T107" s="104"/>
      <c r="U107" s="104"/>
      <c r="V107" s="104"/>
      <c r="W107" s="104"/>
      <c r="X107" s="104"/>
      <c r="Y107" s="104"/>
      <c r="Z107" s="415"/>
      <c r="AA107" s="368">
        <v>1</v>
      </c>
      <c r="AB107" s="416" t="s">
        <v>1082</v>
      </c>
      <c r="AC107" s="417">
        <v>52001.46</v>
      </c>
      <c r="AD107" s="416" t="str">
        <f>AB107</f>
        <v>  Прибыль направляемая на инвестиции</v>
      </c>
      <c r="AE107" s="417"/>
      <c r="AF107" s="423"/>
      <c r="AG107" s="432"/>
      <c r="AH107" s="432"/>
      <c r="AI107" s="423"/>
      <c r="AJ107" s="432"/>
      <c r="AK107" s="432"/>
      <c r="AL107" s="429"/>
      <c r="AM107" s="81"/>
      <c r="AN107" s="81"/>
      <c r="AO107" s="81"/>
      <c r="AP107" s="81"/>
      <c r="AQ107" s="81"/>
      <c r="AR107" s="81"/>
      <c r="AS107" s="81"/>
      <c r="AT107" s="81"/>
      <c r="AU107" s="81"/>
      <c r="AV107" s="81"/>
      <c r="AW107" s="81"/>
      <c r="AX107" s="81"/>
      <c r="AY107" s="81"/>
      <c r="AZ107" s="81"/>
      <c r="BA107" s="81"/>
      <c r="BB107" s="81"/>
      <c r="BC107" s="81"/>
      <c r="BD107" s="81"/>
      <c r="BE107" s="81"/>
      <c r="BF107" s="81"/>
    </row>
    <row r="108" ht="11.25" customHeight="1" spans="1:58">
      <c r="A108" s="297" t="s">
        <v>1004</v>
      </c>
      <c r="E108" s="53"/>
      <c r="F108" s="313"/>
      <c r="G108" s="314"/>
      <c r="H108" s="278" t="s">
        <v>1105</v>
      </c>
      <c r="I108" s="374"/>
      <c r="J108" s="375"/>
      <c r="K108" s="213"/>
      <c r="L108" s="140"/>
      <c r="M108" s="232"/>
      <c r="N108" s="367"/>
      <c r="O108" s="379"/>
      <c r="P108" s="373"/>
      <c r="Q108" s="375"/>
      <c r="R108" s="104"/>
      <c r="S108" s="387"/>
      <c r="T108" s="104"/>
      <c r="U108" s="104"/>
      <c r="V108" s="104"/>
      <c r="W108" s="104"/>
      <c r="X108" s="104"/>
      <c r="Y108" s="104"/>
      <c r="Z108" s="380"/>
      <c r="AA108" s="381"/>
      <c r="AB108" s="227" t="s">
        <v>1054</v>
      </c>
      <c r="AC108" s="413"/>
      <c r="AD108" s="413"/>
      <c r="AE108" s="425"/>
      <c r="AF108" s="423"/>
      <c r="AG108" s="432"/>
      <c r="AH108" s="432"/>
      <c r="AI108" s="423"/>
      <c r="AJ108" s="432"/>
      <c r="AK108" s="432"/>
      <c r="AL108" s="429"/>
      <c r="AM108" s="81"/>
      <c r="AN108" s="81"/>
      <c r="AO108" s="81"/>
      <c r="AP108" s="81"/>
      <c r="AQ108" s="81"/>
      <c r="AR108" s="81"/>
      <c r="AS108" s="81"/>
      <c r="AT108" s="81"/>
      <c r="AU108" s="81"/>
      <c r="AV108" s="81"/>
      <c r="AW108" s="81"/>
      <c r="AX108" s="81"/>
      <c r="AY108" s="81"/>
      <c r="AZ108" s="81"/>
      <c r="BA108" s="81"/>
      <c r="BB108" s="81"/>
      <c r="BC108" s="81"/>
      <c r="BD108" s="81"/>
      <c r="BE108" s="81"/>
      <c r="BF108" s="81"/>
    </row>
    <row r="109" ht="11.25" customHeight="1" spans="1:58">
      <c r="A109" s="297" t="s">
        <v>1004</v>
      </c>
      <c r="E109" s="53"/>
      <c r="F109" s="313"/>
      <c r="G109" s="314"/>
      <c r="H109" s="278" t="s">
        <v>1105</v>
      </c>
      <c r="I109" s="374"/>
      <c r="J109" s="375"/>
      <c r="K109" s="213"/>
      <c r="L109" s="140"/>
      <c r="M109" s="232"/>
      <c r="N109" s="380"/>
      <c r="O109" s="381"/>
      <c r="P109" s="227" t="s">
        <v>1055</v>
      </c>
      <c r="Q109" s="381"/>
      <c r="R109" s="381"/>
      <c r="S109" s="381"/>
      <c r="T109" s="381"/>
      <c r="U109" s="381"/>
      <c r="V109" s="381"/>
      <c r="W109" s="381"/>
      <c r="X109" s="381"/>
      <c r="Y109" s="381"/>
      <c r="Z109" s="381"/>
      <c r="AA109" s="381"/>
      <c r="AB109" s="381"/>
      <c r="AC109" s="381"/>
      <c r="AD109" s="381"/>
      <c r="AE109" s="426"/>
      <c r="AF109" s="423"/>
      <c r="AG109" s="432"/>
      <c r="AH109" s="432"/>
      <c r="AI109" s="423"/>
      <c r="AJ109" s="432"/>
      <c r="AK109" s="432"/>
      <c r="AL109" s="429"/>
      <c r="AM109" s="81"/>
      <c r="AN109" s="81"/>
      <c r="AO109" s="81"/>
      <c r="AP109" s="81"/>
      <c r="AQ109" s="81"/>
      <c r="AR109" s="81"/>
      <c r="AS109" s="81"/>
      <c r="AT109" s="81"/>
      <c r="AU109" s="81"/>
      <c r="AV109" s="81"/>
      <c r="AW109" s="81"/>
      <c r="AX109" s="81"/>
      <c r="AY109" s="81"/>
      <c r="AZ109" s="81"/>
      <c r="BA109" s="81"/>
      <c r="BB109" s="81"/>
      <c r="BC109" s="81"/>
      <c r="BD109" s="81"/>
      <c r="BE109" s="81"/>
      <c r="BF109" s="81"/>
    </row>
    <row r="110" ht="11.25" customHeight="1" spans="1:58">
      <c r="A110" s="297" t="s">
        <v>1004</v>
      </c>
      <c r="B110" s="297" t="s">
        <v>1104</v>
      </c>
      <c r="E110" s="53"/>
      <c r="F110" s="313"/>
      <c r="G110" s="235" t="s">
        <v>683</v>
      </c>
      <c r="H110" s="278" t="s">
        <v>1117</v>
      </c>
      <c r="I110" s="374" t="s">
        <v>1106</v>
      </c>
      <c r="J110" s="375" t="s">
        <v>1107</v>
      </c>
      <c r="K110" s="213" t="s">
        <v>1118</v>
      </c>
      <c r="L110" s="140" t="s">
        <v>19</v>
      </c>
      <c r="M110" s="232"/>
      <c r="N110" s="376"/>
      <c r="O110" s="377" t="s">
        <v>372</v>
      </c>
      <c r="P110" s="378"/>
      <c r="Q110" s="378"/>
      <c r="R110" s="378"/>
      <c r="S110" s="378"/>
      <c r="T110" s="378"/>
      <c r="U110" s="378"/>
      <c r="V110" s="378"/>
      <c r="W110" s="378"/>
      <c r="X110" s="378"/>
      <c r="Y110" s="378"/>
      <c r="Z110" s="378"/>
      <c r="AA110" s="378"/>
      <c r="AB110" s="378"/>
      <c r="AC110" s="378"/>
      <c r="AD110" s="378"/>
      <c r="AE110" s="378"/>
      <c r="AF110" s="423">
        <v>2026</v>
      </c>
      <c r="AG110" s="432" t="s">
        <v>1043</v>
      </c>
      <c r="AH110" s="432" t="s">
        <v>1044</v>
      </c>
      <c r="AI110" s="423"/>
      <c r="AJ110" s="432"/>
      <c r="AK110" s="432"/>
      <c r="AL110" s="429"/>
      <c r="AM110" s="81"/>
      <c r="AN110" s="81"/>
      <c r="AO110" s="81"/>
      <c r="AP110" s="81"/>
      <c r="AQ110" s="81"/>
      <c r="AR110" s="81"/>
      <c r="AS110" s="81"/>
      <c r="AT110" s="81"/>
      <c r="AU110" s="81"/>
      <c r="AV110" s="81"/>
      <c r="AW110" s="81"/>
      <c r="AX110" s="81"/>
      <c r="AY110" s="81"/>
      <c r="AZ110" s="81"/>
      <c r="BA110" s="81"/>
      <c r="BB110" s="81"/>
      <c r="BC110" s="81"/>
      <c r="BD110" s="81"/>
      <c r="BE110" s="81"/>
      <c r="BF110" s="81"/>
    </row>
    <row r="111" ht="11.25" customHeight="1" spans="1:58">
      <c r="A111" s="297" t="s">
        <v>1004</v>
      </c>
      <c r="E111" s="53"/>
      <c r="F111" s="313"/>
      <c r="G111" s="314"/>
      <c r="H111" s="278" t="s">
        <v>1112</v>
      </c>
      <c r="I111" s="374"/>
      <c r="J111" s="375"/>
      <c r="K111" s="213"/>
      <c r="L111" s="140"/>
      <c r="M111" s="232"/>
      <c r="N111" s="367"/>
      <c r="O111" s="379">
        <v>1</v>
      </c>
      <c r="P111" s="369" t="s">
        <v>66</v>
      </c>
      <c r="Q111" s="375" t="s">
        <v>1119</v>
      </c>
      <c r="R111" s="387" t="s">
        <v>1046</v>
      </c>
      <c r="S111" s="387" t="s">
        <v>1047</v>
      </c>
      <c r="T111" s="387" t="s">
        <v>1047</v>
      </c>
      <c r="U111" s="387" t="s">
        <v>1048</v>
      </c>
      <c r="V111" s="387" t="s">
        <v>1049</v>
      </c>
      <c r="W111" s="387" t="s">
        <v>1050</v>
      </c>
      <c r="X111" s="387" t="s">
        <v>1089</v>
      </c>
      <c r="Y111" s="387" t="s">
        <v>1120</v>
      </c>
      <c r="Z111" s="380"/>
      <c r="AA111" s="381"/>
      <c r="AB111" s="381"/>
      <c r="AC111" s="413"/>
      <c r="AD111" s="413"/>
      <c r="AE111" s="424"/>
      <c r="AF111" s="423"/>
      <c r="AG111" s="432"/>
      <c r="AH111" s="432"/>
      <c r="AI111" s="423"/>
      <c r="AJ111" s="432"/>
      <c r="AK111" s="432"/>
      <c r="AL111" s="429"/>
      <c r="AM111" s="81"/>
      <c r="AN111" s="81"/>
      <c r="AO111" s="81"/>
      <c r="AP111" s="81"/>
      <c r="AQ111" s="81"/>
      <c r="AR111" s="81"/>
      <c r="AS111" s="81"/>
      <c r="AT111" s="81"/>
      <c r="AU111" s="81"/>
      <c r="AV111" s="81"/>
      <c r="AW111" s="81"/>
      <c r="AX111" s="81"/>
      <c r="AY111" s="81"/>
      <c r="AZ111" s="81"/>
      <c r="BA111" s="81"/>
      <c r="BB111" s="81"/>
      <c r="BC111" s="81"/>
      <c r="BD111" s="81"/>
      <c r="BE111" s="81"/>
      <c r="BF111" s="81"/>
    </row>
    <row r="112" ht="11.25" customHeight="1" spans="1:58">
      <c r="A112" s="297" t="s">
        <v>1004</v>
      </c>
      <c r="E112" s="53"/>
      <c r="F112" s="313"/>
      <c r="G112" s="314"/>
      <c r="H112" s="278" t="s">
        <v>1112</v>
      </c>
      <c r="I112" s="374"/>
      <c r="J112" s="375"/>
      <c r="K112" s="213"/>
      <c r="L112" s="140"/>
      <c r="M112" s="232"/>
      <c r="N112" s="367"/>
      <c r="O112" s="379"/>
      <c r="P112" s="371"/>
      <c r="Q112" s="375"/>
      <c r="R112" s="104"/>
      <c r="S112" s="387"/>
      <c r="T112" s="104"/>
      <c r="U112" s="104"/>
      <c r="V112" s="104"/>
      <c r="W112" s="104"/>
      <c r="X112" s="104"/>
      <c r="Y112" s="104"/>
      <c r="Z112" s="415"/>
      <c r="AA112" s="368">
        <v>1</v>
      </c>
      <c r="AB112" s="416" t="s">
        <v>1082</v>
      </c>
      <c r="AC112" s="417">
        <v>18807.21</v>
      </c>
      <c r="AD112" s="416" t="str">
        <f>AB112</f>
        <v>  Прибыль направляемая на инвестиции</v>
      </c>
      <c r="AE112" s="417"/>
      <c r="AF112" s="423"/>
      <c r="AG112" s="432"/>
      <c r="AH112" s="432"/>
      <c r="AI112" s="423"/>
      <c r="AJ112" s="432"/>
      <c r="AK112" s="432"/>
      <c r="AL112" s="429"/>
      <c r="AM112" s="81"/>
      <c r="AN112" s="81"/>
      <c r="AO112" s="81"/>
      <c r="AP112" s="81"/>
      <c r="AQ112" s="81"/>
      <c r="AR112" s="81"/>
      <c r="AS112" s="81"/>
      <c r="AT112" s="81"/>
      <c r="AU112" s="81"/>
      <c r="AV112" s="81"/>
      <c r="AW112" s="81"/>
      <c r="AX112" s="81"/>
      <c r="AY112" s="81"/>
      <c r="AZ112" s="81"/>
      <c r="BA112" s="81"/>
      <c r="BB112" s="81"/>
      <c r="BC112" s="81"/>
      <c r="BD112" s="81"/>
      <c r="BE112" s="81"/>
      <c r="BF112" s="81"/>
    </row>
    <row r="113" ht="11.25" customHeight="1" spans="1:58">
      <c r="A113" s="297" t="s">
        <v>1004</v>
      </c>
      <c r="E113" s="53"/>
      <c r="F113" s="313"/>
      <c r="G113" s="314"/>
      <c r="H113" s="278" t="s">
        <v>1112</v>
      </c>
      <c r="I113" s="374"/>
      <c r="J113" s="375"/>
      <c r="K113" s="213"/>
      <c r="L113" s="140"/>
      <c r="M113" s="232"/>
      <c r="N113" s="367"/>
      <c r="O113" s="379"/>
      <c r="P113" s="373"/>
      <c r="Q113" s="375"/>
      <c r="R113" s="104"/>
      <c r="S113" s="387"/>
      <c r="T113" s="104"/>
      <c r="U113" s="104"/>
      <c r="V113" s="104"/>
      <c r="W113" s="104"/>
      <c r="X113" s="104"/>
      <c r="Y113" s="104"/>
      <c r="Z113" s="380"/>
      <c r="AA113" s="381"/>
      <c r="AB113" s="227" t="s">
        <v>1054</v>
      </c>
      <c r="AC113" s="413"/>
      <c r="AD113" s="413"/>
      <c r="AE113" s="425"/>
      <c r="AF113" s="423"/>
      <c r="AG113" s="432"/>
      <c r="AH113" s="432"/>
      <c r="AI113" s="423"/>
      <c r="AJ113" s="432"/>
      <c r="AK113" s="432"/>
      <c r="AL113" s="429"/>
      <c r="AM113" s="81"/>
      <c r="AN113" s="81"/>
      <c r="AO113" s="81"/>
      <c r="AP113" s="81"/>
      <c r="AQ113" s="81"/>
      <c r="AR113" s="81"/>
      <c r="AS113" s="81"/>
      <c r="AT113" s="81"/>
      <c r="AU113" s="81"/>
      <c r="AV113" s="81"/>
      <c r="AW113" s="81"/>
      <c r="AX113" s="81"/>
      <c r="AY113" s="81"/>
      <c r="AZ113" s="81"/>
      <c r="BA113" s="81"/>
      <c r="BB113" s="81"/>
      <c r="BC113" s="81"/>
      <c r="BD113" s="81"/>
      <c r="BE113" s="81"/>
      <c r="BF113" s="81"/>
    </row>
    <row r="114" ht="11.25" customHeight="1" spans="1:58">
      <c r="A114" s="297" t="s">
        <v>1004</v>
      </c>
      <c r="E114" s="53"/>
      <c r="F114" s="313"/>
      <c r="G114" s="314"/>
      <c r="H114" s="278" t="s">
        <v>1112</v>
      </c>
      <c r="I114" s="374"/>
      <c r="J114" s="375"/>
      <c r="K114" s="213"/>
      <c r="L114" s="140"/>
      <c r="M114" s="232"/>
      <c r="N114" s="380"/>
      <c r="O114" s="381"/>
      <c r="P114" s="227" t="s">
        <v>1055</v>
      </c>
      <c r="Q114" s="381"/>
      <c r="R114" s="381"/>
      <c r="S114" s="381"/>
      <c r="T114" s="381"/>
      <c r="U114" s="381"/>
      <c r="V114" s="381"/>
      <c r="W114" s="381"/>
      <c r="X114" s="381"/>
      <c r="Y114" s="381"/>
      <c r="Z114" s="381"/>
      <c r="AA114" s="381"/>
      <c r="AB114" s="381"/>
      <c r="AC114" s="381"/>
      <c r="AD114" s="381"/>
      <c r="AE114" s="426"/>
      <c r="AF114" s="423"/>
      <c r="AG114" s="432"/>
      <c r="AH114" s="432"/>
      <c r="AI114" s="423"/>
      <c r="AJ114" s="432"/>
      <c r="AK114" s="432"/>
      <c r="AL114" s="429"/>
      <c r="AM114" s="81"/>
      <c r="AN114" s="81"/>
      <c r="AO114" s="81"/>
      <c r="AP114" s="81"/>
      <c r="AQ114" s="81"/>
      <c r="AR114" s="81"/>
      <c r="AS114" s="81"/>
      <c r="AT114" s="81"/>
      <c r="AU114" s="81"/>
      <c r="AV114" s="81"/>
      <c r="AW114" s="81"/>
      <c r="AX114" s="81"/>
      <c r="AY114" s="81"/>
      <c r="AZ114" s="81"/>
      <c r="BA114" s="81"/>
      <c r="BB114" s="81"/>
      <c r="BC114" s="81"/>
      <c r="BD114" s="81"/>
      <c r="BE114" s="81"/>
      <c r="BF114" s="81"/>
    </row>
    <row r="115" ht="11.25" customHeight="1" spans="1:58">
      <c r="A115" s="297" t="s">
        <v>1004</v>
      </c>
      <c r="B115" s="297" t="s">
        <v>1104</v>
      </c>
      <c r="E115" s="53"/>
      <c r="F115" s="313"/>
      <c r="G115" s="235" t="s">
        <v>683</v>
      </c>
      <c r="H115" s="278" t="s">
        <v>1121</v>
      </c>
      <c r="I115" s="374" t="s">
        <v>1106</v>
      </c>
      <c r="J115" s="375" t="s">
        <v>1107</v>
      </c>
      <c r="K115" s="213" t="s">
        <v>1122</v>
      </c>
      <c r="L115" s="140" t="s">
        <v>19</v>
      </c>
      <c r="M115" s="232"/>
      <c r="N115" s="376"/>
      <c r="O115" s="377" t="s">
        <v>372</v>
      </c>
      <c r="P115" s="378"/>
      <c r="Q115" s="378"/>
      <c r="R115" s="378"/>
      <c r="S115" s="378"/>
      <c r="T115" s="378"/>
      <c r="U115" s="378"/>
      <c r="V115" s="378"/>
      <c r="W115" s="378"/>
      <c r="X115" s="378"/>
      <c r="Y115" s="378"/>
      <c r="Z115" s="378"/>
      <c r="AA115" s="378"/>
      <c r="AB115" s="378"/>
      <c r="AC115" s="378"/>
      <c r="AD115" s="378"/>
      <c r="AE115" s="378"/>
      <c r="AF115" s="423">
        <v>2026</v>
      </c>
      <c r="AG115" s="432" t="s">
        <v>1043</v>
      </c>
      <c r="AH115" s="432" t="s">
        <v>1044</v>
      </c>
      <c r="AI115" s="423"/>
      <c r="AJ115" s="432"/>
      <c r="AK115" s="432"/>
      <c r="AL115" s="429"/>
      <c r="AM115" s="81"/>
      <c r="AN115" s="81"/>
      <c r="AO115" s="81"/>
      <c r="AP115" s="81"/>
      <c r="AQ115" s="81"/>
      <c r="AR115" s="81"/>
      <c r="AS115" s="81"/>
      <c r="AT115" s="81"/>
      <c r="AU115" s="81"/>
      <c r="AV115" s="81"/>
      <c r="AW115" s="81"/>
      <c r="AX115" s="81"/>
      <c r="AY115" s="81"/>
      <c r="AZ115" s="81"/>
      <c r="BA115" s="81"/>
      <c r="BB115" s="81"/>
      <c r="BC115" s="81"/>
      <c r="BD115" s="81"/>
      <c r="BE115" s="81"/>
      <c r="BF115" s="81"/>
    </row>
    <row r="116" ht="11.25" customHeight="1" spans="1:58">
      <c r="A116" s="297" t="s">
        <v>1004</v>
      </c>
      <c r="E116" s="53"/>
      <c r="F116" s="313"/>
      <c r="G116" s="314"/>
      <c r="H116" s="278" t="s">
        <v>1117</v>
      </c>
      <c r="I116" s="374"/>
      <c r="J116" s="375"/>
      <c r="K116" s="213"/>
      <c r="L116" s="140"/>
      <c r="M116" s="232"/>
      <c r="N116" s="367"/>
      <c r="O116" s="379">
        <v>1</v>
      </c>
      <c r="P116" s="369" t="s">
        <v>66</v>
      </c>
      <c r="Q116" s="375" t="s">
        <v>1119</v>
      </c>
      <c r="R116" s="387" t="s">
        <v>1046</v>
      </c>
      <c r="S116" s="387" t="s">
        <v>1047</v>
      </c>
      <c r="T116" s="387" t="s">
        <v>1047</v>
      </c>
      <c r="U116" s="387" t="s">
        <v>1048</v>
      </c>
      <c r="V116" s="387" t="s">
        <v>1049</v>
      </c>
      <c r="W116" s="387" t="s">
        <v>1050</v>
      </c>
      <c r="X116" s="387" t="s">
        <v>1089</v>
      </c>
      <c r="Y116" s="387" t="s">
        <v>1120</v>
      </c>
      <c r="Z116" s="380"/>
      <c r="AA116" s="381"/>
      <c r="AB116" s="381"/>
      <c r="AC116" s="413"/>
      <c r="AD116" s="413"/>
      <c r="AE116" s="424"/>
      <c r="AF116" s="423"/>
      <c r="AG116" s="432"/>
      <c r="AH116" s="432"/>
      <c r="AI116" s="423"/>
      <c r="AJ116" s="432"/>
      <c r="AK116" s="432"/>
      <c r="AL116" s="429"/>
      <c r="AM116" s="81"/>
      <c r="AN116" s="81"/>
      <c r="AO116" s="81"/>
      <c r="AP116" s="81"/>
      <c r="AQ116" s="81"/>
      <c r="AR116" s="81"/>
      <c r="AS116" s="81"/>
      <c r="AT116" s="81"/>
      <c r="AU116" s="81"/>
      <c r="AV116" s="81"/>
      <c r="AW116" s="81"/>
      <c r="AX116" s="81"/>
      <c r="AY116" s="81"/>
      <c r="AZ116" s="81"/>
      <c r="BA116" s="81"/>
      <c r="BB116" s="81"/>
      <c r="BC116" s="81"/>
      <c r="BD116" s="81"/>
      <c r="BE116" s="81"/>
      <c r="BF116" s="81"/>
    </row>
    <row r="117" ht="11.25" customHeight="1" spans="1:58">
      <c r="A117" s="297" t="s">
        <v>1004</v>
      </c>
      <c r="E117" s="53"/>
      <c r="F117" s="313"/>
      <c r="G117" s="314"/>
      <c r="H117" s="278" t="s">
        <v>1117</v>
      </c>
      <c r="I117" s="374"/>
      <c r="J117" s="375"/>
      <c r="K117" s="213"/>
      <c r="L117" s="140"/>
      <c r="M117" s="232"/>
      <c r="N117" s="367"/>
      <c r="O117" s="379"/>
      <c r="P117" s="371"/>
      <c r="Q117" s="375"/>
      <c r="R117" s="104"/>
      <c r="S117" s="387"/>
      <c r="T117" s="104"/>
      <c r="U117" s="104"/>
      <c r="V117" s="104"/>
      <c r="W117" s="104"/>
      <c r="X117" s="104"/>
      <c r="Y117" s="104"/>
      <c r="Z117" s="415"/>
      <c r="AA117" s="368">
        <v>1</v>
      </c>
      <c r="AB117" s="416" t="s">
        <v>1082</v>
      </c>
      <c r="AC117" s="417">
        <v>20574.38</v>
      </c>
      <c r="AD117" s="416" t="str">
        <f>AB117</f>
        <v>  Прибыль направляемая на инвестиции</v>
      </c>
      <c r="AE117" s="417"/>
      <c r="AF117" s="423"/>
      <c r="AG117" s="432"/>
      <c r="AH117" s="432"/>
      <c r="AI117" s="423"/>
      <c r="AJ117" s="432"/>
      <c r="AK117" s="432"/>
      <c r="AL117" s="429"/>
      <c r="AM117" s="81"/>
      <c r="AN117" s="81"/>
      <c r="AO117" s="81"/>
      <c r="AP117" s="81"/>
      <c r="AQ117" s="81"/>
      <c r="AR117" s="81"/>
      <c r="AS117" s="81"/>
      <c r="AT117" s="81"/>
      <c r="AU117" s="81"/>
      <c r="AV117" s="81"/>
      <c r="AW117" s="81"/>
      <c r="AX117" s="81"/>
      <c r="AY117" s="81"/>
      <c r="AZ117" s="81"/>
      <c r="BA117" s="81"/>
      <c r="BB117" s="81"/>
      <c r="BC117" s="81"/>
      <c r="BD117" s="81"/>
      <c r="BE117" s="81"/>
      <c r="BF117" s="81"/>
    </row>
    <row r="118" ht="11.25" customHeight="1" spans="1:58">
      <c r="A118" s="297" t="s">
        <v>1004</v>
      </c>
      <c r="E118" s="53"/>
      <c r="F118" s="313"/>
      <c r="G118" s="314"/>
      <c r="H118" s="278" t="s">
        <v>1117</v>
      </c>
      <c r="I118" s="374"/>
      <c r="J118" s="375"/>
      <c r="K118" s="213"/>
      <c r="L118" s="140"/>
      <c r="M118" s="232"/>
      <c r="N118" s="367"/>
      <c r="O118" s="379"/>
      <c r="P118" s="373"/>
      <c r="Q118" s="375"/>
      <c r="R118" s="104"/>
      <c r="S118" s="387"/>
      <c r="T118" s="104"/>
      <c r="U118" s="104"/>
      <c r="V118" s="104"/>
      <c r="W118" s="104"/>
      <c r="X118" s="104"/>
      <c r="Y118" s="104"/>
      <c r="Z118" s="380"/>
      <c r="AA118" s="381"/>
      <c r="AB118" s="227" t="s">
        <v>1054</v>
      </c>
      <c r="AC118" s="413"/>
      <c r="AD118" s="413"/>
      <c r="AE118" s="425"/>
      <c r="AF118" s="423"/>
      <c r="AG118" s="432"/>
      <c r="AH118" s="432"/>
      <c r="AI118" s="423"/>
      <c r="AJ118" s="432"/>
      <c r="AK118" s="432"/>
      <c r="AL118" s="429"/>
      <c r="AM118" s="81"/>
      <c r="AN118" s="81"/>
      <c r="AO118" s="81"/>
      <c r="AP118" s="81"/>
      <c r="AQ118" s="81"/>
      <c r="AR118" s="81"/>
      <c r="AS118" s="81"/>
      <c r="AT118" s="81"/>
      <c r="AU118" s="81"/>
      <c r="AV118" s="81"/>
      <c r="AW118" s="81"/>
      <c r="AX118" s="81"/>
      <c r="AY118" s="81"/>
      <c r="AZ118" s="81"/>
      <c r="BA118" s="81"/>
      <c r="BB118" s="81"/>
      <c r="BC118" s="81"/>
      <c r="BD118" s="81"/>
      <c r="BE118" s="81"/>
      <c r="BF118" s="81"/>
    </row>
    <row r="119" ht="11.25" customHeight="1" spans="1:58">
      <c r="A119" s="297" t="s">
        <v>1004</v>
      </c>
      <c r="E119" s="53"/>
      <c r="F119" s="313"/>
      <c r="G119" s="314"/>
      <c r="H119" s="278" t="s">
        <v>1117</v>
      </c>
      <c r="I119" s="374"/>
      <c r="J119" s="375"/>
      <c r="K119" s="213"/>
      <c r="L119" s="140"/>
      <c r="M119" s="232"/>
      <c r="N119" s="380"/>
      <c r="O119" s="381"/>
      <c r="P119" s="227" t="s">
        <v>1055</v>
      </c>
      <c r="Q119" s="381"/>
      <c r="R119" s="381"/>
      <c r="S119" s="381"/>
      <c r="T119" s="381"/>
      <c r="U119" s="381"/>
      <c r="V119" s="381"/>
      <c r="W119" s="381"/>
      <c r="X119" s="381"/>
      <c r="Y119" s="381"/>
      <c r="Z119" s="381"/>
      <c r="AA119" s="381"/>
      <c r="AB119" s="381"/>
      <c r="AC119" s="381"/>
      <c r="AD119" s="381"/>
      <c r="AE119" s="426"/>
      <c r="AF119" s="423"/>
      <c r="AG119" s="432"/>
      <c r="AH119" s="432"/>
      <c r="AI119" s="423"/>
      <c r="AJ119" s="432"/>
      <c r="AK119" s="432"/>
      <c r="AL119" s="429"/>
      <c r="AM119" s="81"/>
      <c r="AN119" s="81"/>
      <c r="AO119" s="81"/>
      <c r="AP119" s="81"/>
      <c r="AQ119" s="81"/>
      <c r="AR119" s="81"/>
      <c r="AS119" s="81"/>
      <c r="AT119" s="81"/>
      <c r="AU119" s="81"/>
      <c r="AV119" s="81"/>
      <c r="AW119" s="81"/>
      <c r="AX119" s="81"/>
      <c r="AY119" s="81"/>
      <c r="AZ119" s="81"/>
      <c r="BA119" s="81"/>
      <c r="BB119" s="81"/>
      <c r="BC119" s="81"/>
      <c r="BD119" s="81"/>
      <c r="BE119" s="81"/>
      <c r="BF119" s="81"/>
    </row>
    <row r="120" ht="11.25" customHeight="1" spans="1:58">
      <c r="A120" s="297" t="s">
        <v>1004</v>
      </c>
      <c r="B120" s="297" t="s">
        <v>1104</v>
      </c>
      <c r="E120" s="53"/>
      <c r="F120" s="313"/>
      <c r="G120" s="235" t="s">
        <v>683</v>
      </c>
      <c r="H120" s="278" t="s">
        <v>1123</v>
      </c>
      <c r="I120" s="374" t="s">
        <v>1106</v>
      </c>
      <c r="J120" s="375" t="s">
        <v>1107</v>
      </c>
      <c r="K120" s="213" t="s">
        <v>1124</v>
      </c>
      <c r="L120" s="140" t="s">
        <v>19</v>
      </c>
      <c r="M120" s="232"/>
      <c r="N120" s="376"/>
      <c r="O120" s="377" t="s">
        <v>372</v>
      </c>
      <c r="P120" s="378"/>
      <c r="Q120" s="378"/>
      <c r="R120" s="378"/>
      <c r="S120" s="378"/>
      <c r="T120" s="378"/>
      <c r="U120" s="378"/>
      <c r="V120" s="378"/>
      <c r="W120" s="378"/>
      <c r="X120" s="378"/>
      <c r="Y120" s="378"/>
      <c r="Z120" s="378"/>
      <c r="AA120" s="378"/>
      <c r="AB120" s="378"/>
      <c r="AC120" s="378"/>
      <c r="AD120" s="378"/>
      <c r="AE120" s="378"/>
      <c r="AF120" s="423">
        <v>2026</v>
      </c>
      <c r="AG120" s="432" t="s">
        <v>1043</v>
      </c>
      <c r="AH120" s="432" t="s">
        <v>1044</v>
      </c>
      <c r="AI120" s="423"/>
      <c r="AJ120" s="432"/>
      <c r="AK120" s="432"/>
      <c r="AL120" s="429"/>
      <c r="AM120" s="81"/>
      <c r="AN120" s="81"/>
      <c r="AO120" s="81"/>
      <c r="AP120" s="81"/>
      <c r="AQ120" s="81"/>
      <c r="AR120" s="81"/>
      <c r="AS120" s="81"/>
      <c r="AT120" s="81"/>
      <c r="AU120" s="81"/>
      <c r="AV120" s="81"/>
      <c r="AW120" s="81"/>
      <c r="AX120" s="81"/>
      <c r="AY120" s="81"/>
      <c r="AZ120" s="81"/>
      <c r="BA120" s="81"/>
      <c r="BB120" s="81"/>
      <c r="BC120" s="81"/>
      <c r="BD120" s="81"/>
      <c r="BE120" s="81"/>
      <c r="BF120" s="81"/>
    </row>
    <row r="121" ht="11.25" customHeight="1" spans="1:58">
      <c r="A121" s="297" t="s">
        <v>1004</v>
      </c>
      <c r="E121" s="53"/>
      <c r="F121" s="313"/>
      <c r="G121" s="314"/>
      <c r="H121" s="278" t="s">
        <v>1121</v>
      </c>
      <c r="I121" s="374"/>
      <c r="J121" s="375"/>
      <c r="K121" s="213"/>
      <c r="L121" s="140"/>
      <c r="M121" s="232"/>
      <c r="N121" s="367"/>
      <c r="O121" s="379">
        <v>1</v>
      </c>
      <c r="P121" s="369" t="s">
        <v>66</v>
      </c>
      <c r="Q121" s="375" t="s">
        <v>1119</v>
      </c>
      <c r="R121" s="387" t="s">
        <v>1046</v>
      </c>
      <c r="S121" s="387" t="s">
        <v>1047</v>
      </c>
      <c r="T121" s="387" t="s">
        <v>1047</v>
      </c>
      <c r="U121" s="387" t="s">
        <v>1048</v>
      </c>
      <c r="V121" s="387" t="s">
        <v>1049</v>
      </c>
      <c r="W121" s="387" t="s">
        <v>1050</v>
      </c>
      <c r="X121" s="387" t="s">
        <v>1089</v>
      </c>
      <c r="Y121" s="387" t="s">
        <v>1120</v>
      </c>
      <c r="Z121" s="380"/>
      <c r="AA121" s="381"/>
      <c r="AB121" s="381"/>
      <c r="AC121" s="413"/>
      <c r="AD121" s="413"/>
      <c r="AE121" s="424"/>
      <c r="AF121" s="423"/>
      <c r="AG121" s="432"/>
      <c r="AH121" s="432"/>
      <c r="AI121" s="423"/>
      <c r="AJ121" s="432"/>
      <c r="AK121" s="432"/>
      <c r="AL121" s="429"/>
      <c r="AM121" s="81"/>
      <c r="AN121" s="81"/>
      <c r="AO121" s="81"/>
      <c r="AP121" s="81"/>
      <c r="AQ121" s="81"/>
      <c r="AR121" s="81"/>
      <c r="AS121" s="81"/>
      <c r="AT121" s="81"/>
      <c r="AU121" s="81"/>
      <c r="AV121" s="81"/>
      <c r="AW121" s="81"/>
      <c r="AX121" s="81"/>
      <c r="AY121" s="81"/>
      <c r="AZ121" s="81"/>
      <c r="BA121" s="81"/>
      <c r="BB121" s="81"/>
      <c r="BC121" s="81"/>
      <c r="BD121" s="81"/>
      <c r="BE121" s="81"/>
      <c r="BF121" s="81"/>
    </row>
    <row r="122" ht="11.25" customHeight="1" spans="1:58">
      <c r="A122" s="297" t="s">
        <v>1004</v>
      </c>
      <c r="E122" s="53"/>
      <c r="F122" s="313"/>
      <c r="G122" s="314"/>
      <c r="H122" s="278" t="s">
        <v>1121</v>
      </c>
      <c r="I122" s="374"/>
      <c r="J122" s="375"/>
      <c r="K122" s="213"/>
      <c r="L122" s="140"/>
      <c r="M122" s="232"/>
      <c r="N122" s="367"/>
      <c r="O122" s="379"/>
      <c r="P122" s="371"/>
      <c r="Q122" s="375"/>
      <c r="R122" s="104"/>
      <c r="S122" s="387"/>
      <c r="T122" s="104"/>
      <c r="U122" s="104"/>
      <c r="V122" s="104"/>
      <c r="W122" s="104"/>
      <c r="X122" s="104"/>
      <c r="Y122" s="104"/>
      <c r="Z122" s="415"/>
      <c r="AA122" s="368">
        <v>1</v>
      </c>
      <c r="AB122" s="416" t="s">
        <v>1082</v>
      </c>
      <c r="AC122" s="417">
        <v>14359.96</v>
      </c>
      <c r="AD122" s="416" t="str">
        <f>AB122</f>
        <v>  Прибыль направляемая на инвестиции</v>
      </c>
      <c r="AE122" s="417"/>
      <c r="AF122" s="423"/>
      <c r="AG122" s="432"/>
      <c r="AH122" s="432"/>
      <c r="AI122" s="423"/>
      <c r="AJ122" s="432"/>
      <c r="AK122" s="432"/>
      <c r="AL122" s="429"/>
      <c r="AM122" s="81"/>
      <c r="AN122" s="81"/>
      <c r="AO122" s="81"/>
      <c r="AP122" s="81"/>
      <c r="AQ122" s="81"/>
      <c r="AR122" s="81"/>
      <c r="AS122" s="81"/>
      <c r="AT122" s="81"/>
      <c r="AU122" s="81"/>
      <c r="AV122" s="81"/>
      <c r="AW122" s="81"/>
      <c r="AX122" s="81"/>
      <c r="AY122" s="81"/>
      <c r="AZ122" s="81"/>
      <c r="BA122" s="81"/>
      <c r="BB122" s="81"/>
      <c r="BC122" s="81"/>
      <c r="BD122" s="81"/>
      <c r="BE122" s="81"/>
      <c r="BF122" s="81"/>
    </row>
    <row r="123" ht="11.25" customHeight="1" spans="1:58">
      <c r="A123" s="297" t="s">
        <v>1004</v>
      </c>
      <c r="E123" s="53"/>
      <c r="F123" s="313"/>
      <c r="G123" s="314"/>
      <c r="H123" s="278" t="s">
        <v>1121</v>
      </c>
      <c r="I123" s="374"/>
      <c r="J123" s="375"/>
      <c r="K123" s="213"/>
      <c r="L123" s="140"/>
      <c r="M123" s="232"/>
      <c r="N123" s="367"/>
      <c r="O123" s="379"/>
      <c r="P123" s="373"/>
      <c r="Q123" s="375"/>
      <c r="R123" s="104"/>
      <c r="S123" s="387"/>
      <c r="T123" s="104"/>
      <c r="U123" s="104"/>
      <c r="V123" s="104"/>
      <c r="W123" s="104"/>
      <c r="X123" s="104"/>
      <c r="Y123" s="104"/>
      <c r="Z123" s="380"/>
      <c r="AA123" s="381"/>
      <c r="AB123" s="227" t="s">
        <v>1054</v>
      </c>
      <c r="AC123" s="413"/>
      <c r="AD123" s="413"/>
      <c r="AE123" s="425"/>
      <c r="AF123" s="423"/>
      <c r="AG123" s="432"/>
      <c r="AH123" s="432"/>
      <c r="AI123" s="423"/>
      <c r="AJ123" s="432"/>
      <c r="AK123" s="432"/>
      <c r="AL123" s="429"/>
      <c r="AM123" s="81"/>
      <c r="AN123" s="81"/>
      <c r="AO123" s="81"/>
      <c r="AP123" s="81"/>
      <c r="AQ123" s="81"/>
      <c r="AR123" s="81"/>
      <c r="AS123" s="81"/>
      <c r="AT123" s="81"/>
      <c r="AU123" s="81"/>
      <c r="AV123" s="81"/>
      <c r="AW123" s="81"/>
      <c r="AX123" s="81"/>
      <c r="AY123" s="81"/>
      <c r="AZ123" s="81"/>
      <c r="BA123" s="81"/>
      <c r="BB123" s="81"/>
      <c r="BC123" s="81"/>
      <c r="BD123" s="81"/>
      <c r="BE123" s="81"/>
      <c r="BF123" s="81"/>
    </row>
    <row r="124" ht="11.25" customHeight="1" spans="1:58">
      <c r="A124" s="297" t="s">
        <v>1004</v>
      </c>
      <c r="E124" s="53"/>
      <c r="F124" s="313"/>
      <c r="G124" s="314"/>
      <c r="H124" s="278" t="s">
        <v>1121</v>
      </c>
      <c r="I124" s="374"/>
      <c r="J124" s="375"/>
      <c r="K124" s="213"/>
      <c r="L124" s="140"/>
      <c r="M124" s="232"/>
      <c r="N124" s="380"/>
      <c r="O124" s="381"/>
      <c r="P124" s="227" t="s">
        <v>1055</v>
      </c>
      <c r="Q124" s="381"/>
      <c r="R124" s="381"/>
      <c r="S124" s="381"/>
      <c r="T124" s="381"/>
      <c r="U124" s="381"/>
      <c r="V124" s="381"/>
      <c r="W124" s="381"/>
      <c r="X124" s="381"/>
      <c r="Y124" s="381"/>
      <c r="Z124" s="381"/>
      <c r="AA124" s="381"/>
      <c r="AB124" s="381"/>
      <c r="AC124" s="381"/>
      <c r="AD124" s="381"/>
      <c r="AE124" s="426"/>
      <c r="AF124" s="423"/>
      <c r="AG124" s="432"/>
      <c r="AH124" s="432"/>
      <c r="AI124" s="423"/>
      <c r="AJ124" s="432"/>
      <c r="AK124" s="432"/>
      <c r="AL124" s="429"/>
      <c r="AM124" s="81"/>
      <c r="AN124" s="81"/>
      <c r="AO124" s="81"/>
      <c r="AP124" s="81"/>
      <c r="AQ124" s="81"/>
      <c r="AR124" s="81"/>
      <c r="AS124" s="81"/>
      <c r="AT124" s="81"/>
      <c r="AU124" s="81"/>
      <c r="AV124" s="81"/>
      <c r="AW124" s="81"/>
      <c r="AX124" s="81"/>
      <c r="AY124" s="81"/>
      <c r="AZ124" s="81"/>
      <c r="BA124" s="81"/>
      <c r="BB124" s="81"/>
      <c r="BC124" s="81"/>
      <c r="BD124" s="81"/>
      <c r="BE124" s="81"/>
      <c r="BF124" s="81"/>
    </row>
    <row r="125" ht="11.25" customHeight="1" spans="1:58">
      <c r="A125" s="297" t="s">
        <v>1004</v>
      </c>
      <c r="B125" s="297" t="s">
        <v>1104</v>
      </c>
      <c r="E125" s="53"/>
      <c r="F125" s="313"/>
      <c r="G125" s="235" t="s">
        <v>683</v>
      </c>
      <c r="H125" s="278" t="s">
        <v>1125</v>
      </c>
      <c r="I125" s="374" t="s">
        <v>1106</v>
      </c>
      <c r="J125" s="375" t="s">
        <v>1107</v>
      </c>
      <c r="K125" s="213" t="s">
        <v>1126</v>
      </c>
      <c r="L125" s="140" t="s">
        <v>19</v>
      </c>
      <c r="M125" s="232"/>
      <c r="N125" s="376"/>
      <c r="O125" s="377" t="s">
        <v>372</v>
      </c>
      <c r="P125" s="378"/>
      <c r="Q125" s="378"/>
      <c r="R125" s="378"/>
      <c r="S125" s="378"/>
      <c r="T125" s="378"/>
      <c r="U125" s="378"/>
      <c r="V125" s="378"/>
      <c r="W125" s="378"/>
      <c r="X125" s="378"/>
      <c r="Y125" s="378"/>
      <c r="Z125" s="378"/>
      <c r="AA125" s="378"/>
      <c r="AB125" s="378"/>
      <c r="AC125" s="378"/>
      <c r="AD125" s="378"/>
      <c r="AE125" s="378"/>
      <c r="AF125" s="423">
        <v>2026</v>
      </c>
      <c r="AG125" s="432" t="s">
        <v>1043</v>
      </c>
      <c r="AH125" s="432" t="s">
        <v>1044</v>
      </c>
      <c r="AI125" s="423"/>
      <c r="AJ125" s="432"/>
      <c r="AK125" s="432"/>
      <c r="AL125" s="429"/>
      <c r="AM125" s="81"/>
      <c r="AN125" s="81"/>
      <c r="AO125" s="81"/>
      <c r="AP125" s="81"/>
      <c r="AQ125" s="81"/>
      <c r="AR125" s="81"/>
      <c r="AS125" s="81"/>
      <c r="AT125" s="81"/>
      <c r="AU125" s="81"/>
      <c r="AV125" s="81"/>
      <c r="AW125" s="81"/>
      <c r="AX125" s="81"/>
      <c r="AY125" s="81"/>
      <c r="AZ125" s="81"/>
      <c r="BA125" s="81"/>
      <c r="BB125" s="81"/>
      <c r="BC125" s="81"/>
      <c r="BD125" s="81"/>
      <c r="BE125" s="81"/>
      <c r="BF125" s="81"/>
    </row>
    <row r="126" ht="11.25" customHeight="1" spans="1:58">
      <c r="A126" s="297" t="s">
        <v>1004</v>
      </c>
      <c r="E126" s="53"/>
      <c r="F126" s="313"/>
      <c r="G126" s="314"/>
      <c r="H126" s="278" t="s">
        <v>1123</v>
      </c>
      <c r="I126" s="374"/>
      <c r="J126" s="375"/>
      <c r="K126" s="213"/>
      <c r="L126" s="140"/>
      <c r="M126" s="232"/>
      <c r="N126" s="367"/>
      <c r="O126" s="379">
        <v>1</v>
      </c>
      <c r="P126" s="369" t="s">
        <v>66</v>
      </c>
      <c r="Q126" s="375" t="s">
        <v>1127</v>
      </c>
      <c r="R126" s="387" t="s">
        <v>1046</v>
      </c>
      <c r="S126" s="387" t="s">
        <v>1047</v>
      </c>
      <c r="T126" s="387" t="s">
        <v>1047</v>
      </c>
      <c r="U126" s="387" t="s">
        <v>1048</v>
      </c>
      <c r="V126" s="387" t="s">
        <v>1049</v>
      </c>
      <c r="W126" s="387" t="s">
        <v>1050</v>
      </c>
      <c r="X126" s="387" t="s">
        <v>1075</v>
      </c>
      <c r="Y126" s="387" t="s">
        <v>1128</v>
      </c>
      <c r="Z126" s="380"/>
      <c r="AA126" s="381"/>
      <c r="AB126" s="381"/>
      <c r="AC126" s="413"/>
      <c r="AD126" s="413"/>
      <c r="AE126" s="424"/>
      <c r="AF126" s="423"/>
      <c r="AG126" s="432"/>
      <c r="AH126" s="432"/>
      <c r="AI126" s="423"/>
      <c r="AJ126" s="432"/>
      <c r="AK126" s="432"/>
      <c r="AL126" s="429"/>
      <c r="AM126" s="81"/>
      <c r="AN126" s="81"/>
      <c r="AO126" s="81"/>
      <c r="AP126" s="81"/>
      <c r="AQ126" s="81"/>
      <c r="AR126" s="81"/>
      <c r="AS126" s="81"/>
      <c r="AT126" s="81"/>
      <c r="AU126" s="81"/>
      <c r="AV126" s="81"/>
      <c r="AW126" s="81"/>
      <c r="AX126" s="81"/>
      <c r="AY126" s="81"/>
      <c r="AZ126" s="81"/>
      <c r="BA126" s="81"/>
      <c r="BB126" s="81"/>
      <c r="BC126" s="81"/>
      <c r="BD126" s="81"/>
      <c r="BE126" s="81"/>
      <c r="BF126" s="81"/>
    </row>
    <row r="127" ht="11.25" customHeight="1" spans="1:58">
      <c r="A127" s="297" t="s">
        <v>1004</v>
      </c>
      <c r="E127" s="53"/>
      <c r="F127" s="313"/>
      <c r="G127" s="314"/>
      <c r="H127" s="278" t="s">
        <v>1123</v>
      </c>
      <c r="I127" s="374"/>
      <c r="J127" s="375"/>
      <c r="K127" s="213"/>
      <c r="L127" s="140"/>
      <c r="M127" s="232"/>
      <c r="N127" s="367"/>
      <c r="O127" s="379"/>
      <c r="P127" s="371"/>
      <c r="Q127" s="375"/>
      <c r="R127" s="104"/>
      <c r="S127" s="387"/>
      <c r="T127" s="104"/>
      <c r="U127" s="104"/>
      <c r="V127" s="104"/>
      <c r="W127" s="104"/>
      <c r="X127" s="104"/>
      <c r="Y127" s="104"/>
      <c r="Z127" s="415"/>
      <c r="AA127" s="368">
        <v>1</v>
      </c>
      <c r="AB127" s="416" t="s">
        <v>1082</v>
      </c>
      <c r="AC127" s="417">
        <v>30050.75</v>
      </c>
      <c r="AD127" s="416" t="str">
        <f>AB127</f>
        <v>  Прибыль направляемая на инвестиции</v>
      </c>
      <c r="AE127" s="417"/>
      <c r="AF127" s="423"/>
      <c r="AG127" s="432"/>
      <c r="AH127" s="432"/>
      <c r="AI127" s="423"/>
      <c r="AJ127" s="432"/>
      <c r="AK127" s="432"/>
      <c r="AL127" s="429"/>
      <c r="AM127" s="81"/>
      <c r="AN127" s="81"/>
      <c r="AO127" s="81"/>
      <c r="AP127" s="81"/>
      <c r="AQ127" s="81"/>
      <c r="AR127" s="81"/>
      <c r="AS127" s="81"/>
      <c r="AT127" s="81"/>
      <c r="AU127" s="81"/>
      <c r="AV127" s="81"/>
      <c r="AW127" s="81"/>
      <c r="AX127" s="81"/>
      <c r="AY127" s="81"/>
      <c r="AZ127" s="81"/>
      <c r="BA127" s="81"/>
      <c r="BB127" s="81"/>
      <c r="BC127" s="81"/>
      <c r="BD127" s="81"/>
      <c r="BE127" s="81"/>
      <c r="BF127" s="81"/>
    </row>
    <row r="128" ht="11.25" customHeight="1" spans="1:58">
      <c r="A128" s="297" t="s">
        <v>1004</v>
      </c>
      <c r="E128" s="53"/>
      <c r="F128" s="313"/>
      <c r="G128" s="314"/>
      <c r="H128" s="278" t="s">
        <v>1123</v>
      </c>
      <c r="I128" s="374"/>
      <c r="J128" s="375"/>
      <c r="K128" s="213"/>
      <c r="L128" s="140"/>
      <c r="M128" s="232"/>
      <c r="N128" s="367"/>
      <c r="O128" s="379"/>
      <c r="P128" s="373"/>
      <c r="Q128" s="375"/>
      <c r="R128" s="104"/>
      <c r="S128" s="387"/>
      <c r="T128" s="104"/>
      <c r="U128" s="104"/>
      <c r="V128" s="104"/>
      <c r="W128" s="104"/>
      <c r="X128" s="104"/>
      <c r="Y128" s="104"/>
      <c r="Z128" s="380"/>
      <c r="AA128" s="381"/>
      <c r="AB128" s="227" t="s">
        <v>1054</v>
      </c>
      <c r="AC128" s="413"/>
      <c r="AD128" s="413"/>
      <c r="AE128" s="425"/>
      <c r="AF128" s="423"/>
      <c r="AG128" s="432"/>
      <c r="AH128" s="432"/>
      <c r="AI128" s="423"/>
      <c r="AJ128" s="432"/>
      <c r="AK128" s="432"/>
      <c r="AL128" s="429"/>
      <c r="AM128" s="81"/>
      <c r="AN128" s="81"/>
      <c r="AO128" s="81"/>
      <c r="AP128" s="81"/>
      <c r="AQ128" s="81"/>
      <c r="AR128" s="81"/>
      <c r="AS128" s="81"/>
      <c r="AT128" s="81"/>
      <c r="AU128" s="81"/>
      <c r="AV128" s="81"/>
      <c r="AW128" s="81"/>
      <c r="AX128" s="81"/>
      <c r="AY128" s="81"/>
      <c r="AZ128" s="81"/>
      <c r="BA128" s="81"/>
      <c r="BB128" s="81"/>
      <c r="BC128" s="81"/>
      <c r="BD128" s="81"/>
      <c r="BE128" s="81"/>
      <c r="BF128" s="81"/>
    </row>
    <row r="129" ht="11.25" customHeight="1" spans="1:58">
      <c r="A129" s="297" t="s">
        <v>1004</v>
      </c>
      <c r="E129" s="53"/>
      <c r="F129" s="313"/>
      <c r="G129" s="314"/>
      <c r="H129" s="278" t="s">
        <v>1123</v>
      </c>
      <c r="I129" s="374"/>
      <c r="J129" s="375"/>
      <c r="K129" s="213"/>
      <c r="L129" s="140"/>
      <c r="M129" s="232"/>
      <c r="N129" s="380"/>
      <c r="O129" s="381"/>
      <c r="P129" s="227" t="s">
        <v>1055</v>
      </c>
      <c r="Q129" s="381"/>
      <c r="R129" s="381"/>
      <c r="S129" s="381"/>
      <c r="T129" s="381"/>
      <c r="U129" s="381"/>
      <c r="V129" s="381"/>
      <c r="W129" s="381"/>
      <c r="X129" s="381"/>
      <c r="Y129" s="381"/>
      <c r="Z129" s="381"/>
      <c r="AA129" s="381"/>
      <c r="AB129" s="381"/>
      <c r="AC129" s="381"/>
      <c r="AD129" s="381"/>
      <c r="AE129" s="426"/>
      <c r="AF129" s="423"/>
      <c r="AG129" s="432"/>
      <c r="AH129" s="432"/>
      <c r="AI129" s="423"/>
      <c r="AJ129" s="432"/>
      <c r="AK129" s="432"/>
      <c r="AL129" s="429"/>
      <c r="AM129" s="81"/>
      <c r="AN129" s="81"/>
      <c r="AO129" s="81"/>
      <c r="AP129" s="81"/>
      <c r="AQ129" s="81"/>
      <c r="AR129" s="81"/>
      <c r="AS129" s="81"/>
      <c r="AT129" s="81"/>
      <c r="AU129" s="81"/>
      <c r="AV129" s="81"/>
      <c r="AW129" s="81"/>
      <c r="AX129" s="81"/>
      <c r="AY129" s="81"/>
      <c r="AZ129" s="81"/>
      <c r="BA129" s="81"/>
      <c r="BB129" s="81"/>
      <c r="BC129" s="81"/>
      <c r="BD129" s="81"/>
      <c r="BE129" s="81"/>
      <c r="BF129" s="81"/>
    </row>
    <row r="130" ht="11.25" customHeight="1" spans="1:58">
      <c r="A130" s="297" t="s">
        <v>1004</v>
      </c>
      <c r="B130" s="297" t="s">
        <v>1104</v>
      </c>
      <c r="E130" s="53"/>
      <c r="F130" s="313"/>
      <c r="G130" s="235" t="s">
        <v>683</v>
      </c>
      <c r="H130" s="278" t="s">
        <v>1129</v>
      </c>
      <c r="I130" s="374" t="s">
        <v>1106</v>
      </c>
      <c r="J130" s="375" t="s">
        <v>1107</v>
      </c>
      <c r="K130" s="213" t="s">
        <v>1130</v>
      </c>
      <c r="L130" s="140" t="s">
        <v>19</v>
      </c>
      <c r="M130" s="232"/>
      <c r="N130" s="376"/>
      <c r="O130" s="377" t="s">
        <v>372</v>
      </c>
      <c r="P130" s="378"/>
      <c r="Q130" s="378"/>
      <c r="R130" s="378"/>
      <c r="S130" s="378"/>
      <c r="T130" s="378"/>
      <c r="U130" s="378"/>
      <c r="V130" s="378"/>
      <c r="W130" s="378"/>
      <c r="X130" s="378"/>
      <c r="Y130" s="378"/>
      <c r="Z130" s="378"/>
      <c r="AA130" s="378"/>
      <c r="AB130" s="378"/>
      <c r="AC130" s="378"/>
      <c r="AD130" s="378"/>
      <c r="AE130" s="378"/>
      <c r="AF130" s="423">
        <v>2026</v>
      </c>
      <c r="AG130" s="432" t="s">
        <v>1043</v>
      </c>
      <c r="AH130" s="432" t="s">
        <v>1044</v>
      </c>
      <c r="AI130" s="423"/>
      <c r="AJ130" s="432"/>
      <c r="AK130" s="432"/>
      <c r="AL130" s="429"/>
      <c r="AM130" s="81"/>
      <c r="AN130" s="81"/>
      <c r="AO130" s="81"/>
      <c r="AP130" s="81"/>
      <c r="AQ130" s="81"/>
      <c r="AR130" s="81"/>
      <c r="AS130" s="81"/>
      <c r="AT130" s="81"/>
      <c r="AU130" s="81"/>
      <c r="AV130" s="81"/>
      <c r="AW130" s="81"/>
      <c r="AX130" s="81"/>
      <c r="AY130" s="81"/>
      <c r="AZ130" s="81"/>
      <c r="BA130" s="81"/>
      <c r="BB130" s="81"/>
      <c r="BC130" s="81"/>
      <c r="BD130" s="81"/>
      <c r="BE130" s="81"/>
      <c r="BF130" s="81"/>
    </row>
    <row r="131" ht="11.25" customHeight="1" spans="1:58">
      <c r="A131" s="297" t="s">
        <v>1004</v>
      </c>
      <c r="E131" s="53"/>
      <c r="F131" s="313"/>
      <c r="G131" s="314"/>
      <c r="H131" s="278" t="s">
        <v>1125</v>
      </c>
      <c r="I131" s="374"/>
      <c r="J131" s="375"/>
      <c r="K131" s="213"/>
      <c r="L131" s="140"/>
      <c r="M131" s="232"/>
      <c r="N131" s="367"/>
      <c r="O131" s="379">
        <v>1</v>
      </c>
      <c r="P131" s="369" t="s">
        <v>66</v>
      </c>
      <c r="Q131" s="375" t="s">
        <v>1127</v>
      </c>
      <c r="R131" s="387" t="s">
        <v>1046</v>
      </c>
      <c r="S131" s="387" t="s">
        <v>1047</v>
      </c>
      <c r="T131" s="387" t="s">
        <v>1047</v>
      </c>
      <c r="U131" s="387" t="s">
        <v>1048</v>
      </c>
      <c r="V131" s="387" t="s">
        <v>1049</v>
      </c>
      <c r="W131" s="387" t="s">
        <v>1050</v>
      </c>
      <c r="X131" s="387" t="s">
        <v>1075</v>
      </c>
      <c r="Y131" s="387" t="s">
        <v>1128</v>
      </c>
      <c r="Z131" s="380"/>
      <c r="AA131" s="381"/>
      <c r="AB131" s="381"/>
      <c r="AC131" s="413"/>
      <c r="AD131" s="413"/>
      <c r="AE131" s="424"/>
      <c r="AF131" s="423"/>
      <c r="AG131" s="432"/>
      <c r="AH131" s="432"/>
      <c r="AI131" s="423"/>
      <c r="AJ131" s="432"/>
      <c r="AK131" s="432"/>
      <c r="AL131" s="429"/>
      <c r="AM131" s="81"/>
      <c r="AN131" s="81"/>
      <c r="AO131" s="81"/>
      <c r="AP131" s="81"/>
      <c r="AQ131" s="81"/>
      <c r="AR131" s="81"/>
      <c r="AS131" s="81"/>
      <c r="AT131" s="81"/>
      <c r="AU131" s="81"/>
      <c r="AV131" s="81"/>
      <c r="AW131" s="81"/>
      <c r="AX131" s="81"/>
      <c r="AY131" s="81"/>
      <c r="AZ131" s="81"/>
      <c r="BA131" s="81"/>
      <c r="BB131" s="81"/>
      <c r="BC131" s="81"/>
      <c r="BD131" s="81"/>
      <c r="BE131" s="81"/>
      <c r="BF131" s="81"/>
    </row>
    <row r="132" ht="27.75" customHeight="1" spans="1:58">
      <c r="A132" s="297" t="s">
        <v>1004</v>
      </c>
      <c r="E132" s="53"/>
      <c r="F132" s="313"/>
      <c r="G132" s="314"/>
      <c r="H132" s="278" t="s">
        <v>1125</v>
      </c>
      <c r="I132" s="374"/>
      <c r="J132" s="375"/>
      <c r="K132" s="213"/>
      <c r="L132" s="140"/>
      <c r="M132" s="232"/>
      <c r="N132" s="367"/>
      <c r="O132" s="379"/>
      <c r="P132" s="371"/>
      <c r="Q132" s="375"/>
      <c r="R132" s="104"/>
      <c r="S132" s="387"/>
      <c r="T132" s="104"/>
      <c r="U132" s="104"/>
      <c r="V132" s="104"/>
      <c r="W132" s="104"/>
      <c r="X132" s="104"/>
      <c r="Y132" s="104"/>
      <c r="Z132" s="415"/>
      <c r="AA132" s="368">
        <v>1</v>
      </c>
      <c r="AB132" s="416" t="s">
        <v>1053</v>
      </c>
      <c r="AC132" s="417">
        <v>12886.43</v>
      </c>
      <c r="AD132" s="416" t="str">
        <f>AB132</f>
        <v>      Амортизационные отчисления с выделением результатов переоценки основных средств и нематериальных активов</v>
      </c>
      <c r="AE132" s="417"/>
      <c r="AF132" s="423"/>
      <c r="AG132" s="432"/>
      <c r="AH132" s="432"/>
      <c r="AI132" s="423"/>
      <c r="AJ132" s="432"/>
      <c r="AK132" s="432"/>
      <c r="AL132" s="429"/>
      <c r="AM132" s="81"/>
      <c r="AN132" s="81"/>
      <c r="AO132" s="81"/>
      <c r="AP132" s="81"/>
      <c r="AQ132" s="81"/>
      <c r="AR132" s="81"/>
      <c r="AS132" s="81"/>
      <c r="AT132" s="81"/>
      <c r="AU132" s="81"/>
      <c r="AV132" s="81"/>
      <c r="AW132" s="81"/>
      <c r="AX132" s="81"/>
      <c r="AY132" s="81"/>
      <c r="AZ132" s="81"/>
      <c r="BA132" s="81"/>
      <c r="BB132" s="81"/>
      <c r="BC132" s="81"/>
      <c r="BD132" s="81"/>
      <c r="BE132" s="81"/>
      <c r="BF132" s="81"/>
    </row>
    <row r="133" ht="11.25" customHeight="1" spans="1:58">
      <c r="A133" s="297" t="s">
        <v>1004</v>
      </c>
      <c r="E133" s="53"/>
      <c r="F133" s="313"/>
      <c r="G133" s="314"/>
      <c r="H133" s="278" t="s">
        <v>1125</v>
      </c>
      <c r="I133" s="374"/>
      <c r="J133" s="375"/>
      <c r="K133" s="213"/>
      <c r="L133" s="140"/>
      <c r="M133" s="232"/>
      <c r="N133" s="367"/>
      <c r="O133" s="379"/>
      <c r="P133" s="373"/>
      <c r="Q133" s="375"/>
      <c r="R133" s="104"/>
      <c r="S133" s="387"/>
      <c r="T133" s="104"/>
      <c r="U133" s="104"/>
      <c r="V133" s="104"/>
      <c r="W133" s="104"/>
      <c r="X133" s="104"/>
      <c r="Y133" s="104"/>
      <c r="Z133" s="380"/>
      <c r="AA133" s="381"/>
      <c r="AB133" s="227" t="s">
        <v>1054</v>
      </c>
      <c r="AC133" s="413"/>
      <c r="AD133" s="413"/>
      <c r="AE133" s="425"/>
      <c r="AF133" s="423"/>
      <c r="AG133" s="432"/>
      <c r="AH133" s="432"/>
      <c r="AI133" s="423"/>
      <c r="AJ133" s="432"/>
      <c r="AK133" s="432"/>
      <c r="AL133" s="429"/>
      <c r="AM133" s="81"/>
      <c r="AN133" s="81"/>
      <c r="AO133" s="81"/>
      <c r="AP133" s="81"/>
      <c r="AQ133" s="81"/>
      <c r="AR133" s="81"/>
      <c r="AS133" s="81"/>
      <c r="AT133" s="81"/>
      <c r="AU133" s="81"/>
      <c r="AV133" s="81"/>
      <c r="AW133" s="81"/>
      <c r="AX133" s="81"/>
      <c r="AY133" s="81"/>
      <c r="AZ133" s="81"/>
      <c r="BA133" s="81"/>
      <c r="BB133" s="81"/>
      <c r="BC133" s="81"/>
      <c r="BD133" s="81"/>
      <c r="BE133" s="81"/>
      <c r="BF133" s="81"/>
    </row>
    <row r="134" ht="11.25" customHeight="1" spans="1:58">
      <c r="A134" s="297" t="s">
        <v>1004</v>
      </c>
      <c r="E134" s="53"/>
      <c r="F134" s="313"/>
      <c r="G134" s="314"/>
      <c r="H134" s="278" t="s">
        <v>1125</v>
      </c>
      <c r="I134" s="374"/>
      <c r="J134" s="375"/>
      <c r="K134" s="213"/>
      <c r="L134" s="140"/>
      <c r="M134" s="232"/>
      <c r="N134" s="380"/>
      <c r="O134" s="381"/>
      <c r="P134" s="227" t="s">
        <v>1055</v>
      </c>
      <c r="Q134" s="381"/>
      <c r="R134" s="381"/>
      <c r="S134" s="381"/>
      <c r="T134" s="381"/>
      <c r="U134" s="381"/>
      <c r="V134" s="381"/>
      <c r="W134" s="381"/>
      <c r="X134" s="381"/>
      <c r="Y134" s="381"/>
      <c r="Z134" s="381"/>
      <c r="AA134" s="381"/>
      <c r="AB134" s="381"/>
      <c r="AC134" s="381"/>
      <c r="AD134" s="381"/>
      <c r="AE134" s="426"/>
      <c r="AF134" s="423"/>
      <c r="AG134" s="432"/>
      <c r="AH134" s="432"/>
      <c r="AI134" s="423"/>
      <c r="AJ134" s="432"/>
      <c r="AK134" s="432"/>
      <c r="AL134" s="429"/>
      <c r="AM134" s="81"/>
      <c r="AN134" s="81"/>
      <c r="AO134" s="81"/>
      <c r="AP134" s="81"/>
      <c r="AQ134" s="81"/>
      <c r="AR134" s="81"/>
      <c r="AS134" s="81"/>
      <c r="AT134" s="81"/>
      <c r="AU134" s="81"/>
      <c r="AV134" s="81"/>
      <c r="AW134" s="81"/>
      <c r="AX134" s="81"/>
      <c r="AY134" s="81"/>
      <c r="AZ134" s="81"/>
      <c r="BA134" s="81"/>
      <c r="BB134" s="81"/>
      <c r="BC134" s="81"/>
      <c r="BD134" s="81"/>
      <c r="BE134" s="81"/>
      <c r="BF134" s="81"/>
    </row>
    <row r="135" ht="11.25" customHeight="1" spans="1:58">
      <c r="A135" s="297" t="s">
        <v>1004</v>
      </c>
      <c r="B135" s="297" t="s">
        <v>1104</v>
      </c>
      <c r="E135" s="53"/>
      <c r="F135" s="313"/>
      <c r="G135" s="235" t="s">
        <v>683</v>
      </c>
      <c r="H135" s="278" t="s">
        <v>1131</v>
      </c>
      <c r="I135" s="374" t="s">
        <v>1106</v>
      </c>
      <c r="J135" s="375" t="s">
        <v>1107</v>
      </c>
      <c r="K135" s="213" t="s">
        <v>1132</v>
      </c>
      <c r="L135" s="140" t="s">
        <v>19</v>
      </c>
      <c r="M135" s="232"/>
      <c r="N135" s="376"/>
      <c r="O135" s="377" t="s">
        <v>372</v>
      </c>
      <c r="P135" s="378"/>
      <c r="Q135" s="378"/>
      <c r="R135" s="378"/>
      <c r="S135" s="378"/>
      <c r="T135" s="378"/>
      <c r="U135" s="378"/>
      <c r="V135" s="378"/>
      <c r="W135" s="378"/>
      <c r="X135" s="378"/>
      <c r="Y135" s="378"/>
      <c r="Z135" s="378"/>
      <c r="AA135" s="378"/>
      <c r="AB135" s="378"/>
      <c r="AC135" s="378"/>
      <c r="AD135" s="378"/>
      <c r="AE135" s="378"/>
      <c r="AF135" s="423">
        <v>2026</v>
      </c>
      <c r="AG135" s="432" t="s">
        <v>1043</v>
      </c>
      <c r="AH135" s="432" t="s">
        <v>1044</v>
      </c>
      <c r="AI135" s="423"/>
      <c r="AJ135" s="432"/>
      <c r="AK135" s="432"/>
      <c r="AL135" s="429"/>
      <c r="AM135" s="81"/>
      <c r="AN135" s="81"/>
      <c r="AO135" s="81"/>
      <c r="AP135" s="81"/>
      <c r="AQ135" s="81"/>
      <c r="AR135" s="81"/>
      <c r="AS135" s="81"/>
      <c r="AT135" s="81"/>
      <c r="AU135" s="81"/>
      <c r="AV135" s="81"/>
      <c r="AW135" s="81"/>
      <c r="AX135" s="81"/>
      <c r="AY135" s="81"/>
      <c r="AZ135" s="81"/>
      <c r="BA135" s="81"/>
      <c r="BB135" s="81"/>
      <c r="BC135" s="81"/>
      <c r="BD135" s="81"/>
      <c r="BE135" s="81"/>
      <c r="BF135" s="81"/>
    </row>
    <row r="136" ht="11.25" customHeight="1" spans="1:58">
      <c r="A136" s="297" t="s">
        <v>1004</v>
      </c>
      <c r="E136" s="53"/>
      <c r="F136" s="313"/>
      <c r="G136" s="314"/>
      <c r="H136" s="278" t="s">
        <v>1129</v>
      </c>
      <c r="I136" s="374"/>
      <c r="J136" s="375"/>
      <c r="K136" s="213"/>
      <c r="L136" s="140"/>
      <c r="M136" s="232"/>
      <c r="N136" s="367"/>
      <c r="O136" s="379">
        <v>1</v>
      </c>
      <c r="P136" s="369" t="s">
        <v>66</v>
      </c>
      <c r="Q136" s="375" t="s">
        <v>1127</v>
      </c>
      <c r="R136" s="387" t="s">
        <v>1046</v>
      </c>
      <c r="S136" s="387" t="s">
        <v>1047</v>
      </c>
      <c r="T136" s="387" t="s">
        <v>1047</v>
      </c>
      <c r="U136" s="387" t="s">
        <v>1048</v>
      </c>
      <c r="V136" s="387" t="s">
        <v>1049</v>
      </c>
      <c r="W136" s="387" t="s">
        <v>1050</v>
      </c>
      <c r="X136" s="387" t="s">
        <v>1075</v>
      </c>
      <c r="Y136" s="387" t="s">
        <v>1128</v>
      </c>
      <c r="Z136" s="380"/>
      <c r="AA136" s="381"/>
      <c r="AB136" s="381"/>
      <c r="AC136" s="413"/>
      <c r="AD136" s="413"/>
      <c r="AE136" s="424"/>
      <c r="AF136" s="423"/>
      <c r="AG136" s="432"/>
      <c r="AH136" s="432"/>
      <c r="AI136" s="423"/>
      <c r="AJ136" s="432"/>
      <c r="AK136" s="432"/>
      <c r="AL136" s="429"/>
      <c r="AM136" s="81"/>
      <c r="AN136" s="81"/>
      <c r="AO136" s="81"/>
      <c r="AP136" s="81"/>
      <c r="AQ136" s="81"/>
      <c r="AR136" s="81"/>
      <c r="AS136" s="81"/>
      <c r="AT136" s="81"/>
      <c r="AU136" s="81"/>
      <c r="AV136" s="81"/>
      <c r="AW136" s="81"/>
      <c r="AX136" s="81"/>
      <c r="AY136" s="81"/>
      <c r="AZ136" s="81"/>
      <c r="BA136" s="81"/>
      <c r="BB136" s="81"/>
      <c r="BC136" s="81"/>
      <c r="BD136" s="81"/>
      <c r="BE136" s="81"/>
      <c r="BF136" s="81"/>
    </row>
    <row r="137" ht="11.25" customHeight="1" spans="1:58">
      <c r="A137" s="297" t="s">
        <v>1004</v>
      </c>
      <c r="E137" s="53"/>
      <c r="F137" s="313"/>
      <c r="G137" s="314"/>
      <c r="H137" s="278" t="s">
        <v>1129</v>
      </c>
      <c r="I137" s="374"/>
      <c r="J137" s="375"/>
      <c r="K137" s="213"/>
      <c r="L137" s="140"/>
      <c r="M137" s="232"/>
      <c r="N137" s="367"/>
      <c r="O137" s="379"/>
      <c r="P137" s="371"/>
      <c r="Q137" s="375"/>
      <c r="R137" s="104"/>
      <c r="S137" s="387"/>
      <c r="T137" s="104"/>
      <c r="U137" s="104"/>
      <c r="V137" s="104"/>
      <c r="W137" s="104"/>
      <c r="X137" s="104"/>
      <c r="Y137" s="104"/>
      <c r="Z137" s="415"/>
      <c r="AA137" s="368">
        <v>1</v>
      </c>
      <c r="AB137" s="416" t="s">
        <v>1082</v>
      </c>
      <c r="AC137" s="417">
        <v>25097.61</v>
      </c>
      <c r="AD137" s="416" t="str">
        <f>AB137</f>
        <v>  Прибыль направляемая на инвестиции</v>
      </c>
      <c r="AE137" s="417"/>
      <c r="AF137" s="423"/>
      <c r="AG137" s="432"/>
      <c r="AH137" s="432"/>
      <c r="AI137" s="423"/>
      <c r="AJ137" s="432"/>
      <c r="AK137" s="432"/>
      <c r="AL137" s="429"/>
      <c r="AM137" s="81"/>
      <c r="AN137" s="81"/>
      <c r="AO137" s="81"/>
      <c r="AP137" s="81"/>
      <c r="AQ137" s="81"/>
      <c r="AR137" s="81"/>
      <c r="AS137" s="81"/>
      <c r="AT137" s="81"/>
      <c r="AU137" s="81"/>
      <c r="AV137" s="81"/>
      <c r="AW137" s="81"/>
      <c r="AX137" s="81"/>
      <c r="AY137" s="81"/>
      <c r="AZ137" s="81"/>
      <c r="BA137" s="81"/>
      <c r="BB137" s="81"/>
      <c r="BC137" s="81"/>
      <c r="BD137" s="81"/>
      <c r="BE137" s="81"/>
      <c r="BF137" s="81"/>
    </row>
    <row r="138" ht="11.25" customHeight="1" spans="1:58">
      <c r="A138" s="297" t="s">
        <v>1004</v>
      </c>
      <c r="E138" s="53"/>
      <c r="F138" s="313"/>
      <c r="G138" s="314"/>
      <c r="H138" s="278" t="s">
        <v>1129</v>
      </c>
      <c r="I138" s="374"/>
      <c r="J138" s="375"/>
      <c r="K138" s="213"/>
      <c r="L138" s="140"/>
      <c r="M138" s="232"/>
      <c r="N138" s="367"/>
      <c r="O138" s="379"/>
      <c r="P138" s="373"/>
      <c r="Q138" s="375"/>
      <c r="R138" s="104"/>
      <c r="S138" s="387"/>
      <c r="T138" s="104"/>
      <c r="U138" s="104"/>
      <c r="V138" s="104"/>
      <c r="W138" s="104"/>
      <c r="X138" s="104"/>
      <c r="Y138" s="104"/>
      <c r="Z138" s="380"/>
      <c r="AA138" s="381"/>
      <c r="AB138" s="227" t="s">
        <v>1054</v>
      </c>
      <c r="AC138" s="413"/>
      <c r="AD138" s="413"/>
      <c r="AE138" s="425"/>
      <c r="AF138" s="423"/>
      <c r="AG138" s="432"/>
      <c r="AH138" s="432"/>
      <c r="AI138" s="423"/>
      <c r="AJ138" s="432"/>
      <c r="AK138" s="432"/>
      <c r="AL138" s="429"/>
      <c r="AM138" s="81"/>
      <c r="AN138" s="81"/>
      <c r="AO138" s="81"/>
      <c r="AP138" s="81"/>
      <c r="AQ138" s="81"/>
      <c r="AR138" s="81"/>
      <c r="AS138" s="81"/>
      <c r="AT138" s="81"/>
      <c r="AU138" s="81"/>
      <c r="AV138" s="81"/>
      <c r="AW138" s="81"/>
      <c r="AX138" s="81"/>
      <c r="AY138" s="81"/>
      <c r="AZ138" s="81"/>
      <c r="BA138" s="81"/>
      <c r="BB138" s="81"/>
      <c r="BC138" s="81"/>
      <c r="BD138" s="81"/>
      <c r="BE138" s="81"/>
      <c r="BF138" s="81"/>
    </row>
    <row r="139" ht="11.25" customHeight="1" spans="1:58">
      <c r="A139" s="297" t="s">
        <v>1004</v>
      </c>
      <c r="E139" s="53"/>
      <c r="F139" s="313"/>
      <c r="G139" s="314"/>
      <c r="H139" s="278" t="s">
        <v>1129</v>
      </c>
      <c r="I139" s="374"/>
      <c r="J139" s="375"/>
      <c r="K139" s="213"/>
      <c r="L139" s="140"/>
      <c r="M139" s="232"/>
      <c r="N139" s="380"/>
      <c r="O139" s="381"/>
      <c r="P139" s="227" t="s">
        <v>1055</v>
      </c>
      <c r="Q139" s="381"/>
      <c r="R139" s="381"/>
      <c r="S139" s="381"/>
      <c r="T139" s="381"/>
      <c r="U139" s="381"/>
      <c r="V139" s="381"/>
      <c r="W139" s="381"/>
      <c r="X139" s="381"/>
      <c r="Y139" s="381"/>
      <c r="Z139" s="381"/>
      <c r="AA139" s="381"/>
      <c r="AB139" s="381"/>
      <c r="AC139" s="381"/>
      <c r="AD139" s="381"/>
      <c r="AE139" s="426"/>
      <c r="AF139" s="423"/>
      <c r="AG139" s="432"/>
      <c r="AH139" s="432"/>
      <c r="AI139" s="423"/>
      <c r="AJ139" s="432"/>
      <c r="AK139" s="432"/>
      <c r="AL139" s="429"/>
      <c r="AM139" s="81"/>
      <c r="AN139" s="81"/>
      <c r="AO139" s="81"/>
      <c r="AP139" s="81"/>
      <c r="AQ139" s="81"/>
      <c r="AR139" s="81"/>
      <c r="AS139" s="81"/>
      <c r="AT139" s="81"/>
      <c r="AU139" s="81"/>
      <c r="AV139" s="81"/>
      <c r="AW139" s="81"/>
      <c r="AX139" s="81"/>
      <c r="AY139" s="81"/>
      <c r="AZ139" s="81"/>
      <c r="BA139" s="81"/>
      <c r="BB139" s="81"/>
      <c r="BC139" s="81"/>
      <c r="BD139" s="81"/>
      <c r="BE139" s="81"/>
      <c r="BF139" s="81"/>
    </row>
    <row r="140" ht="11.25" customHeight="1" spans="1:58">
      <c r="A140" s="297" t="s">
        <v>1004</v>
      </c>
      <c r="B140" s="297" t="s">
        <v>1104</v>
      </c>
      <c r="E140" s="53"/>
      <c r="F140" s="313"/>
      <c r="G140" s="235" t="s">
        <v>683</v>
      </c>
      <c r="H140" s="278" t="s">
        <v>1133</v>
      </c>
      <c r="I140" s="374" t="s">
        <v>1106</v>
      </c>
      <c r="J140" s="375" t="s">
        <v>1107</v>
      </c>
      <c r="K140" s="213" t="s">
        <v>1134</v>
      </c>
      <c r="L140" s="140" t="s">
        <v>19</v>
      </c>
      <c r="M140" s="232"/>
      <c r="N140" s="376"/>
      <c r="O140" s="377" t="s">
        <v>372</v>
      </c>
      <c r="P140" s="378"/>
      <c r="Q140" s="378"/>
      <c r="R140" s="378"/>
      <c r="S140" s="378"/>
      <c r="T140" s="378"/>
      <c r="U140" s="378"/>
      <c r="V140" s="378"/>
      <c r="W140" s="378"/>
      <c r="X140" s="378"/>
      <c r="Y140" s="378"/>
      <c r="Z140" s="378"/>
      <c r="AA140" s="378"/>
      <c r="AB140" s="378"/>
      <c r="AC140" s="378"/>
      <c r="AD140" s="378"/>
      <c r="AE140" s="378"/>
      <c r="AF140" s="423">
        <v>2026</v>
      </c>
      <c r="AG140" s="432" t="s">
        <v>1043</v>
      </c>
      <c r="AH140" s="432" t="s">
        <v>1044</v>
      </c>
      <c r="AI140" s="423"/>
      <c r="AJ140" s="432"/>
      <c r="AK140" s="432"/>
      <c r="AL140" s="429"/>
      <c r="AM140" s="81"/>
      <c r="AN140" s="81"/>
      <c r="AO140" s="81"/>
      <c r="AP140" s="81"/>
      <c r="AQ140" s="81"/>
      <c r="AR140" s="81"/>
      <c r="AS140" s="81"/>
      <c r="AT140" s="81"/>
      <c r="AU140" s="81"/>
      <c r="AV140" s="81"/>
      <c r="AW140" s="81"/>
      <c r="AX140" s="81"/>
      <c r="AY140" s="81"/>
      <c r="AZ140" s="81"/>
      <c r="BA140" s="81"/>
      <c r="BB140" s="81"/>
      <c r="BC140" s="81"/>
      <c r="BD140" s="81"/>
      <c r="BE140" s="81"/>
      <c r="BF140" s="81"/>
    </row>
    <row r="141" ht="11.25" customHeight="1" spans="1:58">
      <c r="A141" s="297" t="s">
        <v>1004</v>
      </c>
      <c r="E141" s="53"/>
      <c r="F141" s="313"/>
      <c r="G141" s="314"/>
      <c r="H141" s="278" t="s">
        <v>1131</v>
      </c>
      <c r="I141" s="374"/>
      <c r="J141" s="375"/>
      <c r="K141" s="213"/>
      <c r="L141" s="140"/>
      <c r="M141" s="232"/>
      <c r="N141" s="367"/>
      <c r="O141" s="379">
        <v>1</v>
      </c>
      <c r="P141" s="369" t="s">
        <v>66</v>
      </c>
      <c r="Q141" s="375" t="s">
        <v>1135</v>
      </c>
      <c r="R141" s="387" t="s">
        <v>1046</v>
      </c>
      <c r="S141" s="387" t="s">
        <v>1047</v>
      </c>
      <c r="T141" s="387" t="s">
        <v>1047</v>
      </c>
      <c r="U141" s="387" t="s">
        <v>1048</v>
      </c>
      <c r="V141" s="387" t="s">
        <v>1049</v>
      </c>
      <c r="W141" s="387" t="s">
        <v>1050</v>
      </c>
      <c r="X141" s="387" t="s">
        <v>1136</v>
      </c>
      <c r="Y141" s="387" t="s">
        <v>1137</v>
      </c>
      <c r="Z141" s="380"/>
      <c r="AA141" s="381"/>
      <c r="AB141" s="381"/>
      <c r="AC141" s="413"/>
      <c r="AD141" s="413"/>
      <c r="AE141" s="424"/>
      <c r="AF141" s="423"/>
      <c r="AG141" s="432"/>
      <c r="AH141" s="432"/>
      <c r="AI141" s="423"/>
      <c r="AJ141" s="432"/>
      <c r="AK141" s="432"/>
      <c r="AL141" s="429"/>
      <c r="AM141" s="81"/>
      <c r="AN141" s="81"/>
      <c r="AO141" s="81"/>
      <c r="AP141" s="81"/>
      <c r="AQ141" s="81"/>
      <c r="AR141" s="81"/>
      <c r="AS141" s="81"/>
      <c r="AT141" s="81"/>
      <c r="AU141" s="81"/>
      <c r="AV141" s="81"/>
      <c r="AW141" s="81"/>
      <c r="AX141" s="81"/>
      <c r="AY141" s="81"/>
      <c r="AZ141" s="81"/>
      <c r="BA141" s="81"/>
      <c r="BB141" s="81"/>
      <c r="BC141" s="81"/>
      <c r="BD141" s="81"/>
      <c r="BE141" s="81"/>
      <c r="BF141" s="81"/>
    </row>
    <row r="142" ht="30" customHeight="1" spans="1:58">
      <c r="A142" s="297" t="s">
        <v>1004</v>
      </c>
      <c r="E142" s="53"/>
      <c r="F142" s="313"/>
      <c r="G142" s="314"/>
      <c r="H142" s="278" t="s">
        <v>1131</v>
      </c>
      <c r="I142" s="374"/>
      <c r="J142" s="375"/>
      <c r="K142" s="213"/>
      <c r="L142" s="140"/>
      <c r="M142" s="232"/>
      <c r="N142" s="367"/>
      <c r="O142" s="379"/>
      <c r="P142" s="371"/>
      <c r="Q142" s="375"/>
      <c r="R142" s="104"/>
      <c r="S142" s="387"/>
      <c r="T142" s="104"/>
      <c r="U142" s="104"/>
      <c r="V142" s="104"/>
      <c r="W142" s="104"/>
      <c r="X142" s="104"/>
      <c r="Y142" s="104"/>
      <c r="Z142" s="415"/>
      <c r="AA142" s="368">
        <v>1</v>
      </c>
      <c r="AB142" s="416" t="s">
        <v>1053</v>
      </c>
      <c r="AC142" s="417">
        <v>12380.11</v>
      </c>
      <c r="AD142" s="416" t="str">
        <f>AB142</f>
        <v>      Амортизационные отчисления с выделением результатов переоценки основных средств и нематериальных активов</v>
      </c>
      <c r="AE142" s="417"/>
      <c r="AF142" s="423"/>
      <c r="AG142" s="432"/>
      <c r="AH142" s="432"/>
      <c r="AI142" s="423"/>
      <c r="AJ142" s="432"/>
      <c r="AK142" s="432"/>
      <c r="AL142" s="429"/>
      <c r="AM142" s="81"/>
      <c r="AN142" s="81"/>
      <c r="AO142" s="81"/>
      <c r="AP142" s="81"/>
      <c r="AQ142" s="81"/>
      <c r="AR142" s="81"/>
      <c r="AS142" s="81"/>
      <c r="AT142" s="81"/>
      <c r="AU142" s="81"/>
      <c r="AV142" s="81"/>
      <c r="AW142" s="81"/>
      <c r="AX142" s="81"/>
      <c r="AY142" s="81"/>
      <c r="AZ142" s="81"/>
      <c r="BA142" s="81"/>
      <c r="BB142" s="81"/>
      <c r="BC142" s="81"/>
      <c r="BD142" s="81"/>
      <c r="BE142" s="81"/>
      <c r="BF142" s="81"/>
    </row>
    <row r="143" ht="11.25" customHeight="1" spans="1:58">
      <c r="A143" s="297" t="s">
        <v>1004</v>
      </c>
      <c r="E143" s="53"/>
      <c r="F143" s="313"/>
      <c r="G143" s="314"/>
      <c r="H143" s="278" t="s">
        <v>1131</v>
      </c>
      <c r="I143" s="374"/>
      <c r="J143" s="375"/>
      <c r="K143" s="213"/>
      <c r="L143" s="140"/>
      <c r="M143" s="232"/>
      <c r="N143" s="367"/>
      <c r="O143" s="379"/>
      <c r="P143" s="373"/>
      <c r="Q143" s="375"/>
      <c r="R143" s="104"/>
      <c r="S143" s="387"/>
      <c r="T143" s="104"/>
      <c r="U143" s="104"/>
      <c r="V143" s="104"/>
      <c r="W143" s="104"/>
      <c r="X143" s="104"/>
      <c r="Y143" s="104"/>
      <c r="Z143" s="380"/>
      <c r="AA143" s="381"/>
      <c r="AB143" s="227" t="s">
        <v>1054</v>
      </c>
      <c r="AC143" s="413"/>
      <c r="AD143" s="413"/>
      <c r="AE143" s="425"/>
      <c r="AF143" s="423"/>
      <c r="AG143" s="432"/>
      <c r="AH143" s="432"/>
      <c r="AI143" s="423"/>
      <c r="AJ143" s="432"/>
      <c r="AK143" s="432"/>
      <c r="AL143" s="429"/>
      <c r="AM143" s="81"/>
      <c r="AN143" s="81"/>
      <c r="AO143" s="81"/>
      <c r="AP143" s="81"/>
      <c r="AQ143" s="81"/>
      <c r="AR143" s="81"/>
      <c r="AS143" s="81"/>
      <c r="AT143" s="81"/>
      <c r="AU143" s="81"/>
      <c r="AV143" s="81"/>
      <c r="AW143" s="81"/>
      <c r="AX143" s="81"/>
      <c r="AY143" s="81"/>
      <c r="AZ143" s="81"/>
      <c r="BA143" s="81"/>
      <c r="BB143" s="81"/>
      <c r="BC143" s="81"/>
      <c r="BD143" s="81"/>
      <c r="BE143" s="81"/>
      <c r="BF143" s="81"/>
    </row>
    <row r="144" ht="11.25" customHeight="1" spans="1:58">
      <c r="A144" s="297" t="s">
        <v>1004</v>
      </c>
      <c r="E144" s="53"/>
      <c r="F144" s="313"/>
      <c r="G144" s="314"/>
      <c r="H144" s="278" t="s">
        <v>1131</v>
      </c>
      <c r="I144" s="374"/>
      <c r="J144" s="375"/>
      <c r="K144" s="213"/>
      <c r="L144" s="140"/>
      <c r="M144" s="232"/>
      <c r="N144" s="380"/>
      <c r="O144" s="381"/>
      <c r="P144" s="227" t="s">
        <v>1055</v>
      </c>
      <c r="Q144" s="381"/>
      <c r="R144" s="381"/>
      <c r="S144" s="381"/>
      <c r="T144" s="381"/>
      <c r="U144" s="381"/>
      <c r="V144" s="381"/>
      <c r="W144" s="381"/>
      <c r="X144" s="381"/>
      <c r="Y144" s="381"/>
      <c r="Z144" s="381"/>
      <c r="AA144" s="381"/>
      <c r="AB144" s="381"/>
      <c r="AC144" s="381"/>
      <c r="AD144" s="381"/>
      <c r="AE144" s="426"/>
      <c r="AF144" s="423"/>
      <c r="AG144" s="432"/>
      <c r="AH144" s="432"/>
      <c r="AI144" s="423"/>
      <c r="AJ144" s="432"/>
      <c r="AK144" s="432"/>
      <c r="AL144" s="429"/>
      <c r="AM144" s="81"/>
      <c r="AN144" s="81"/>
      <c r="AO144" s="81"/>
      <c r="AP144" s="81"/>
      <c r="AQ144" s="81"/>
      <c r="AR144" s="81"/>
      <c r="AS144" s="81"/>
      <c r="AT144" s="81"/>
      <c r="AU144" s="81"/>
      <c r="AV144" s="81"/>
      <c r="AW144" s="81"/>
      <c r="AX144" s="81"/>
      <c r="AY144" s="81"/>
      <c r="AZ144" s="81"/>
      <c r="BA144" s="81"/>
      <c r="BB144" s="81"/>
      <c r="BC144" s="81"/>
      <c r="BD144" s="81"/>
      <c r="BE144" s="81"/>
      <c r="BF144" s="81"/>
    </row>
    <row r="145" ht="11.25" customHeight="1" spans="1:58">
      <c r="A145" s="297" t="s">
        <v>1004</v>
      </c>
      <c r="B145" s="297" t="s">
        <v>1104</v>
      </c>
      <c r="E145" s="53"/>
      <c r="F145" s="313"/>
      <c r="G145" s="235" t="s">
        <v>683</v>
      </c>
      <c r="H145" s="278" t="s">
        <v>1138</v>
      </c>
      <c r="I145" s="374" t="s">
        <v>1106</v>
      </c>
      <c r="J145" s="375" t="s">
        <v>1107</v>
      </c>
      <c r="K145" s="213" t="s">
        <v>1139</v>
      </c>
      <c r="L145" s="140" t="s">
        <v>19</v>
      </c>
      <c r="M145" s="232"/>
      <c r="N145" s="376"/>
      <c r="O145" s="377" t="s">
        <v>372</v>
      </c>
      <c r="P145" s="378"/>
      <c r="Q145" s="378"/>
      <c r="R145" s="378"/>
      <c r="S145" s="378"/>
      <c r="T145" s="378"/>
      <c r="U145" s="378"/>
      <c r="V145" s="378"/>
      <c r="W145" s="378"/>
      <c r="X145" s="378"/>
      <c r="Y145" s="378"/>
      <c r="Z145" s="378"/>
      <c r="AA145" s="378"/>
      <c r="AB145" s="378"/>
      <c r="AC145" s="378"/>
      <c r="AD145" s="378"/>
      <c r="AE145" s="378"/>
      <c r="AF145" s="423">
        <v>2026</v>
      </c>
      <c r="AG145" s="432" t="s">
        <v>1043</v>
      </c>
      <c r="AH145" s="432" t="s">
        <v>1044</v>
      </c>
      <c r="AI145" s="423"/>
      <c r="AJ145" s="432"/>
      <c r="AK145" s="432"/>
      <c r="AL145" s="429"/>
      <c r="AM145" s="81"/>
      <c r="AN145" s="81"/>
      <c r="AO145" s="81"/>
      <c r="AP145" s="81"/>
      <c r="AQ145" s="81"/>
      <c r="AR145" s="81"/>
      <c r="AS145" s="81"/>
      <c r="AT145" s="81"/>
      <c r="AU145" s="81"/>
      <c r="AV145" s="81"/>
      <c r="AW145" s="81"/>
      <c r="AX145" s="81"/>
      <c r="AY145" s="81"/>
      <c r="AZ145" s="81"/>
      <c r="BA145" s="81"/>
      <c r="BB145" s="81"/>
      <c r="BC145" s="81"/>
      <c r="BD145" s="81"/>
      <c r="BE145" s="81"/>
      <c r="BF145" s="81"/>
    </row>
    <row r="146" ht="11.25" customHeight="1" spans="1:58">
      <c r="A146" s="297" t="s">
        <v>1004</v>
      </c>
      <c r="E146" s="53"/>
      <c r="F146" s="313"/>
      <c r="G146" s="314"/>
      <c r="H146" s="278" t="s">
        <v>1133</v>
      </c>
      <c r="I146" s="374"/>
      <c r="J146" s="375"/>
      <c r="K146" s="213"/>
      <c r="L146" s="140"/>
      <c r="M146" s="232"/>
      <c r="N146" s="367"/>
      <c r="O146" s="379">
        <v>1</v>
      </c>
      <c r="P146" s="369" t="s">
        <v>66</v>
      </c>
      <c r="Q146" s="375" t="s">
        <v>1140</v>
      </c>
      <c r="R146" s="387" t="s">
        <v>1046</v>
      </c>
      <c r="S146" s="387" t="s">
        <v>1047</v>
      </c>
      <c r="T146" s="387" t="s">
        <v>1047</v>
      </c>
      <c r="U146" s="387" t="s">
        <v>1048</v>
      </c>
      <c r="V146" s="387" t="s">
        <v>1049</v>
      </c>
      <c r="W146" s="387" t="s">
        <v>1050</v>
      </c>
      <c r="X146" s="387" t="s">
        <v>1141</v>
      </c>
      <c r="Y146" s="387" t="s">
        <v>1142</v>
      </c>
      <c r="Z146" s="380"/>
      <c r="AA146" s="381"/>
      <c r="AB146" s="381"/>
      <c r="AC146" s="413"/>
      <c r="AD146" s="413"/>
      <c r="AE146" s="424"/>
      <c r="AF146" s="423"/>
      <c r="AG146" s="432"/>
      <c r="AH146" s="432"/>
      <c r="AI146" s="423"/>
      <c r="AJ146" s="432"/>
      <c r="AK146" s="432"/>
      <c r="AL146" s="429"/>
      <c r="AM146" s="81"/>
      <c r="AN146" s="81"/>
      <c r="AO146" s="81"/>
      <c r="AP146" s="81"/>
      <c r="AQ146" s="81"/>
      <c r="AR146" s="81"/>
      <c r="AS146" s="81"/>
      <c r="AT146" s="81"/>
      <c r="AU146" s="81"/>
      <c r="AV146" s="81"/>
      <c r="AW146" s="81"/>
      <c r="AX146" s="81"/>
      <c r="AY146" s="81"/>
      <c r="AZ146" s="81"/>
      <c r="BA146" s="81"/>
      <c r="BB146" s="81"/>
      <c r="BC146" s="81"/>
      <c r="BD146" s="81"/>
      <c r="BE146" s="81"/>
      <c r="BF146" s="81"/>
    </row>
    <row r="147" ht="36" customHeight="1" spans="1:58">
      <c r="A147" s="297" t="s">
        <v>1004</v>
      </c>
      <c r="E147" s="53"/>
      <c r="F147" s="313"/>
      <c r="G147" s="314"/>
      <c r="H147" s="278" t="s">
        <v>1133</v>
      </c>
      <c r="I147" s="374"/>
      <c r="J147" s="375"/>
      <c r="K147" s="213"/>
      <c r="L147" s="140"/>
      <c r="M147" s="232"/>
      <c r="N147" s="367"/>
      <c r="O147" s="379"/>
      <c r="P147" s="371"/>
      <c r="Q147" s="375"/>
      <c r="R147" s="104"/>
      <c r="S147" s="387"/>
      <c r="T147" s="104"/>
      <c r="U147" s="104"/>
      <c r="V147" s="104"/>
      <c r="W147" s="104"/>
      <c r="X147" s="104"/>
      <c r="Y147" s="104"/>
      <c r="Z147" s="415"/>
      <c r="AA147" s="368">
        <v>1</v>
      </c>
      <c r="AB147" s="416" t="s">
        <v>1053</v>
      </c>
      <c r="AC147" s="417">
        <v>4327.79</v>
      </c>
      <c r="AD147" s="416" t="str">
        <f>AB147</f>
        <v>      Амортизационные отчисления с выделением результатов переоценки основных средств и нематериальных активов</v>
      </c>
      <c r="AE147" s="417"/>
      <c r="AF147" s="423"/>
      <c r="AG147" s="432"/>
      <c r="AH147" s="432"/>
      <c r="AI147" s="423"/>
      <c r="AJ147" s="432"/>
      <c r="AK147" s="432"/>
      <c r="AL147" s="429"/>
      <c r="AM147" s="81"/>
      <c r="AN147" s="81"/>
      <c r="AO147" s="81"/>
      <c r="AP147" s="81"/>
      <c r="AQ147" s="81"/>
      <c r="AR147" s="81"/>
      <c r="AS147" s="81"/>
      <c r="AT147" s="81"/>
      <c r="AU147" s="81"/>
      <c r="AV147" s="81"/>
      <c r="AW147" s="81"/>
      <c r="AX147" s="81"/>
      <c r="AY147" s="81"/>
      <c r="AZ147" s="81"/>
      <c r="BA147" s="81"/>
      <c r="BB147" s="81"/>
      <c r="BC147" s="81"/>
      <c r="BD147" s="81"/>
      <c r="BE147" s="81"/>
      <c r="BF147" s="81"/>
    </row>
    <row r="148" ht="11.25" customHeight="1" spans="1:58">
      <c r="A148" s="297" t="s">
        <v>1004</v>
      </c>
      <c r="E148" s="53"/>
      <c r="F148" s="313"/>
      <c r="G148" s="314"/>
      <c r="H148" s="278" t="s">
        <v>1133</v>
      </c>
      <c r="I148" s="374"/>
      <c r="J148" s="375"/>
      <c r="K148" s="213"/>
      <c r="L148" s="140"/>
      <c r="M148" s="232"/>
      <c r="N148" s="367"/>
      <c r="O148" s="379"/>
      <c r="P148" s="373"/>
      <c r="Q148" s="375"/>
      <c r="R148" s="104"/>
      <c r="S148" s="387"/>
      <c r="T148" s="104"/>
      <c r="U148" s="104"/>
      <c r="V148" s="104"/>
      <c r="W148" s="104"/>
      <c r="X148" s="104"/>
      <c r="Y148" s="104"/>
      <c r="Z148" s="380"/>
      <c r="AA148" s="381"/>
      <c r="AB148" s="227" t="s">
        <v>1054</v>
      </c>
      <c r="AC148" s="413"/>
      <c r="AD148" s="413"/>
      <c r="AE148" s="425"/>
      <c r="AF148" s="423"/>
      <c r="AG148" s="432"/>
      <c r="AH148" s="432"/>
      <c r="AI148" s="423"/>
      <c r="AJ148" s="432"/>
      <c r="AK148" s="432"/>
      <c r="AL148" s="429"/>
      <c r="AM148" s="81"/>
      <c r="AN148" s="81"/>
      <c r="AO148" s="81"/>
      <c r="AP148" s="81"/>
      <c r="AQ148" s="81"/>
      <c r="AR148" s="81"/>
      <c r="AS148" s="81"/>
      <c r="AT148" s="81"/>
      <c r="AU148" s="81"/>
      <c r="AV148" s="81"/>
      <c r="AW148" s="81"/>
      <c r="AX148" s="81"/>
      <c r="AY148" s="81"/>
      <c r="AZ148" s="81"/>
      <c r="BA148" s="81"/>
      <c r="BB148" s="81"/>
      <c r="BC148" s="81"/>
      <c r="BD148" s="81"/>
      <c r="BE148" s="81"/>
      <c r="BF148" s="81"/>
    </row>
    <row r="149" ht="11.25" customHeight="1" spans="1:58">
      <c r="A149" s="297" t="s">
        <v>1004</v>
      </c>
      <c r="E149" s="53"/>
      <c r="F149" s="313"/>
      <c r="G149" s="314"/>
      <c r="H149" s="278" t="s">
        <v>1133</v>
      </c>
      <c r="I149" s="374"/>
      <c r="J149" s="375"/>
      <c r="K149" s="213"/>
      <c r="L149" s="140"/>
      <c r="M149" s="232"/>
      <c r="N149" s="380"/>
      <c r="O149" s="381"/>
      <c r="P149" s="227" t="s">
        <v>1055</v>
      </c>
      <c r="Q149" s="381"/>
      <c r="R149" s="381"/>
      <c r="S149" s="381"/>
      <c r="T149" s="381"/>
      <c r="U149" s="381"/>
      <c r="V149" s="381"/>
      <c r="W149" s="381"/>
      <c r="X149" s="381"/>
      <c r="Y149" s="381"/>
      <c r="Z149" s="381"/>
      <c r="AA149" s="381"/>
      <c r="AB149" s="381"/>
      <c r="AC149" s="381"/>
      <c r="AD149" s="381"/>
      <c r="AE149" s="426"/>
      <c r="AF149" s="423"/>
      <c r="AG149" s="432"/>
      <c r="AH149" s="432"/>
      <c r="AI149" s="423"/>
      <c r="AJ149" s="432"/>
      <c r="AK149" s="432"/>
      <c r="AL149" s="429"/>
      <c r="AM149" s="81"/>
      <c r="AN149" s="81"/>
      <c r="AO149" s="81"/>
      <c r="AP149" s="81"/>
      <c r="AQ149" s="81"/>
      <c r="AR149" s="81"/>
      <c r="AS149" s="81"/>
      <c r="AT149" s="81"/>
      <c r="AU149" s="81"/>
      <c r="AV149" s="81"/>
      <c r="AW149" s="81"/>
      <c r="AX149" s="81"/>
      <c r="AY149" s="81"/>
      <c r="AZ149" s="81"/>
      <c r="BA149" s="81"/>
      <c r="BB149" s="81"/>
      <c r="BC149" s="81"/>
      <c r="BD149" s="81"/>
      <c r="BE149" s="81"/>
      <c r="BF149" s="81"/>
    </row>
    <row r="150" ht="11.25" customHeight="1" spans="1:58">
      <c r="A150" s="297" t="s">
        <v>1004</v>
      </c>
      <c r="B150" s="297" t="s">
        <v>1104</v>
      </c>
      <c r="E150" s="53"/>
      <c r="F150" s="313"/>
      <c r="G150" s="235" t="s">
        <v>683</v>
      </c>
      <c r="H150" s="278" t="s">
        <v>1143</v>
      </c>
      <c r="I150" s="374" t="s">
        <v>1106</v>
      </c>
      <c r="J150" s="375" t="s">
        <v>1107</v>
      </c>
      <c r="K150" s="213" t="s">
        <v>1144</v>
      </c>
      <c r="L150" s="140" t="s">
        <v>19</v>
      </c>
      <c r="M150" s="232"/>
      <c r="N150" s="376"/>
      <c r="O150" s="377" t="s">
        <v>372</v>
      </c>
      <c r="P150" s="378"/>
      <c r="Q150" s="378"/>
      <c r="R150" s="378"/>
      <c r="S150" s="378"/>
      <c r="T150" s="378"/>
      <c r="U150" s="378"/>
      <c r="V150" s="378"/>
      <c r="W150" s="378"/>
      <c r="X150" s="378"/>
      <c r="Y150" s="378"/>
      <c r="Z150" s="378"/>
      <c r="AA150" s="378"/>
      <c r="AB150" s="378"/>
      <c r="AC150" s="378"/>
      <c r="AD150" s="378"/>
      <c r="AE150" s="378"/>
      <c r="AF150" s="423">
        <v>2026</v>
      </c>
      <c r="AG150" s="432" t="s">
        <v>1043</v>
      </c>
      <c r="AH150" s="432" t="s">
        <v>1044</v>
      </c>
      <c r="AI150" s="423"/>
      <c r="AJ150" s="432"/>
      <c r="AK150" s="432"/>
      <c r="AL150" s="429"/>
      <c r="AM150" s="81"/>
      <c r="AN150" s="81"/>
      <c r="AO150" s="81"/>
      <c r="AP150" s="81"/>
      <c r="AQ150" s="81"/>
      <c r="AR150" s="81"/>
      <c r="AS150" s="81"/>
      <c r="AT150" s="81"/>
      <c r="AU150" s="81"/>
      <c r="AV150" s="81"/>
      <c r="AW150" s="81"/>
      <c r="AX150" s="81"/>
      <c r="AY150" s="81"/>
      <c r="AZ150" s="81"/>
      <c r="BA150" s="81"/>
      <c r="BB150" s="81"/>
      <c r="BC150" s="81"/>
      <c r="BD150" s="81"/>
      <c r="BE150" s="81"/>
      <c r="BF150" s="81"/>
    </row>
    <row r="151" ht="11.25" customHeight="1" spans="1:58">
      <c r="A151" s="297" t="s">
        <v>1004</v>
      </c>
      <c r="E151" s="53"/>
      <c r="F151" s="313"/>
      <c r="G151" s="314"/>
      <c r="H151" s="278" t="s">
        <v>1138</v>
      </c>
      <c r="I151" s="374"/>
      <c r="J151" s="375"/>
      <c r="K151" s="213"/>
      <c r="L151" s="140"/>
      <c r="M151" s="232"/>
      <c r="N151" s="367"/>
      <c r="O151" s="379">
        <v>1</v>
      </c>
      <c r="P151" s="369" t="s">
        <v>66</v>
      </c>
      <c r="Q151" s="375" t="s">
        <v>1145</v>
      </c>
      <c r="R151" s="387" t="s">
        <v>1046</v>
      </c>
      <c r="S151" s="387" t="s">
        <v>1047</v>
      </c>
      <c r="T151" s="387" t="s">
        <v>1047</v>
      </c>
      <c r="U151" s="387" t="s">
        <v>1048</v>
      </c>
      <c r="V151" s="387" t="s">
        <v>1049</v>
      </c>
      <c r="W151" s="387" t="s">
        <v>1050</v>
      </c>
      <c r="X151" s="387" t="s">
        <v>1146</v>
      </c>
      <c r="Y151" s="387" t="s">
        <v>1147</v>
      </c>
      <c r="Z151" s="380"/>
      <c r="AA151" s="381"/>
      <c r="AB151" s="381"/>
      <c r="AC151" s="413"/>
      <c r="AD151" s="413"/>
      <c r="AE151" s="424"/>
      <c r="AF151" s="423"/>
      <c r="AG151" s="432"/>
      <c r="AH151" s="432"/>
      <c r="AI151" s="423"/>
      <c r="AJ151" s="432"/>
      <c r="AK151" s="432"/>
      <c r="AL151" s="429"/>
      <c r="AM151" s="81"/>
      <c r="AN151" s="81"/>
      <c r="AO151" s="81"/>
      <c r="AP151" s="81"/>
      <c r="AQ151" s="81"/>
      <c r="AR151" s="81"/>
      <c r="AS151" s="81"/>
      <c r="AT151" s="81"/>
      <c r="AU151" s="81"/>
      <c r="AV151" s="81"/>
      <c r="AW151" s="81"/>
      <c r="AX151" s="81"/>
      <c r="AY151" s="81"/>
      <c r="AZ151" s="81"/>
      <c r="BA151" s="81"/>
      <c r="BB151" s="81"/>
      <c r="BC151" s="81"/>
      <c r="BD151" s="81"/>
      <c r="BE151" s="81"/>
      <c r="BF151" s="81"/>
    </row>
    <row r="152" ht="32.25" customHeight="1" spans="1:58">
      <c r="A152" s="297" t="s">
        <v>1004</v>
      </c>
      <c r="E152" s="53"/>
      <c r="F152" s="313"/>
      <c r="G152" s="314"/>
      <c r="H152" s="278" t="s">
        <v>1138</v>
      </c>
      <c r="I152" s="374"/>
      <c r="J152" s="375"/>
      <c r="K152" s="213"/>
      <c r="L152" s="140"/>
      <c r="M152" s="232"/>
      <c r="N152" s="367"/>
      <c r="O152" s="379"/>
      <c r="P152" s="371"/>
      <c r="Q152" s="375"/>
      <c r="R152" s="104"/>
      <c r="S152" s="387"/>
      <c r="T152" s="104"/>
      <c r="U152" s="104"/>
      <c r="V152" s="104"/>
      <c r="W152" s="104"/>
      <c r="X152" s="104"/>
      <c r="Y152" s="104"/>
      <c r="Z152" s="415"/>
      <c r="AA152" s="368">
        <v>1</v>
      </c>
      <c r="AB152" s="416" t="s">
        <v>1053</v>
      </c>
      <c r="AC152" s="417">
        <v>2377.98</v>
      </c>
      <c r="AD152" s="416" t="str">
        <f>AB152</f>
        <v>      Амортизационные отчисления с выделением результатов переоценки основных средств и нематериальных активов</v>
      </c>
      <c r="AE152" s="417"/>
      <c r="AF152" s="423"/>
      <c r="AG152" s="432"/>
      <c r="AH152" s="432"/>
      <c r="AI152" s="423"/>
      <c r="AJ152" s="432"/>
      <c r="AK152" s="432"/>
      <c r="AL152" s="429"/>
      <c r="AM152" s="81"/>
      <c r="AN152" s="81"/>
      <c r="AO152" s="81"/>
      <c r="AP152" s="81"/>
      <c r="AQ152" s="81"/>
      <c r="AR152" s="81"/>
      <c r="AS152" s="81"/>
      <c r="AT152" s="81"/>
      <c r="AU152" s="81"/>
      <c r="AV152" s="81"/>
      <c r="AW152" s="81"/>
      <c r="AX152" s="81"/>
      <c r="AY152" s="81"/>
      <c r="AZ152" s="81"/>
      <c r="BA152" s="81"/>
      <c r="BB152" s="81"/>
      <c r="BC152" s="81"/>
      <c r="BD152" s="81"/>
      <c r="BE152" s="81"/>
      <c r="BF152" s="81"/>
    </row>
    <row r="153" ht="11.25" customHeight="1" spans="1:58">
      <c r="A153" s="297" t="s">
        <v>1004</v>
      </c>
      <c r="E153" s="53"/>
      <c r="F153" s="313"/>
      <c r="G153" s="314"/>
      <c r="H153" s="278" t="s">
        <v>1138</v>
      </c>
      <c r="I153" s="374"/>
      <c r="J153" s="375"/>
      <c r="K153" s="213"/>
      <c r="L153" s="140"/>
      <c r="M153" s="232"/>
      <c r="N153" s="367"/>
      <c r="O153" s="379"/>
      <c r="P153" s="373"/>
      <c r="Q153" s="375"/>
      <c r="R153" s="104"/>
      <c r="S153" s="387"/>
      <c r="T153" s="104"/>
      <c r="U153" s="104"/>
      <c r="V153" s="104"/>
      <c r="W153" s="104"/>
      <c r="X153" s="104"/>
      <c r="Y153" s="104"/>
      <c r="Z153" s="380"/>
      <c r="AA153" s="381"/>
      <c r="AB153" s="227" t="s">
        <v>1054</v>
      </c>
      <c r="AC153" s="413"/>
      <c r="AD153" s="413"/>
      <c r="AE153" s="425"/>
      <c r="AF153" s="423"/>
      <c r="AG153" s="432"/>
      <c r="AH153" s="432"/>
      <c r="AI153" s="423"/>
      <c r="AJ153" s="432"/>
      <c r="AK153" s="432"/>
      <c r="AL153" s="429"/>
      <c r="AM153" s="81"/>
      <c r="AN153" s="81"/>
      <c r="AO153" s="81"/>
      <c r="AP153" s="81"/>
      <c r="AQ153" s="81"/>
      <c r="AR153" s="81"/>
      <c r="AS153" s="81"/>
      <c r="AT153" s="81"/>
      <c r="AU153" s="81"/>
      <c r="AV153" s="81"/>
      <c r="AW153" s="81"/>
      <c r="AX153" s="81"/>
      <c r="AY153" s="81"/>
      <c r="AZ153" s="81"/>
      <c r="BA153" s="81"/>
      <c r="BB153" s="81"/>
      <c r="BC153" s="81"/>
      <c r="BD153" s="81"/>
      <c r="BE153" s="81"/>
      <c r="BF153" s="81"/>
    </row>
    <row r="154" ht="11.25" customHeight="1" spans="1:58">
      <c r="A154" s="297" t="s">
        <v>1004</v>
      </c>
      <c r="E154" s="53"/>
      <c r="F154" s="313"/>
      <c r="G154" s="314"/>
      <c r="H154" s="278" t="s">
        <v>1138</v>
      </c>
      <c r="I154" s="374"/>
      <c r="J154" s="375"/>
      <c r="K154" s="213"/>
      <c r="L154" s="140"/>
      <c r="M154" s="232"/>
      <c r="N154" s="380"/>
      <c r="O154" s="381"/>
      <c r="P154" s="227" t="s">
        <v>1055</v>
      </c>
      <c r="Q154" s="381"/>
      <c r="R154" s="381"/>
      <c r="S154" s="381"/>
      <c r="T154" s="381"/>
      <c r="U154" s="381"/>
      <c r="V154" s="381"/>
      <c r="W154" s="381"/>
      <c r="X154" s="381"/>
      <c r="Y154" s="381"/>
      <c r="Z154" s="381"/>
      <c r="AA154" s="381"/>
      <c r="AB154" s="381"/>
      <c r="AC154" s="381"/>
      <c r="AD154" s="381"/>
      <c r="AE154" s="426"/>
      <c r="AF154" s="423"/>
      <c r="AG154" s="432"/>
      <c r="AH154" s="432"/>
      <c r="AI154" s="423"/>
      <c r="AJ154" s="432"/>
      <c r="AK154" s="432"/>
      <c r="AL154" s="429"/>
      <c r="AM154" s="81"/>
      <c r="AN154" s="81"/>
      <c r="AO154" s="81"/>
      <c r="AP154" s="81"/>
      <c r="AQ154" s="81"/>
      <c r="AR154" s="81"/>
      <c r="AS154" s="81"/>
      <c r="AT154" s="81"/>
      <c r="AU154" s="81"/>
      <c r="AV154" s="81"/>
      <c r="AW154" s="81"/>
      <c r="AX154" s="81"/>
      <c r="AY154" s="81"/>
      <c r="AZ154" s="81"/>
      <c r="BA154" s="81"/>
      <c r="BB154" s="81"/>
      <c r="BC154" s="81"/>
      <c r="BD154" s="81"/>
      <c r="BE154" s="81"/>
      <c r="BF154" s="81"/>
    </row>
    <row r="155" ht="11.25" customHeight="1" spans="1:58">
      <c r="A155" s="297" t="s">
        <v>1004</v>
      </c>
      <c r="B155" s="297" t="s">
        <v>1104</v>
      </c>
      <c r="E155" s="53"/>
      <c r="F155" s="313"/>
      <c r="G155" s="235" t="s">
        <v>683</v>
      </c>
      <c r="H155" s="278" t="s">
        <v>1148</v>
      </c>
      <c r="I155" s="374" t="s">
        <v>1106</v>
      </c>
      <c r="J155" s="375" t="s">
        <v>1107</v>
      </c>
      <c r="K155" s="213" t="s">
        <v>1149</v>
      </c>
      <c r="L155" s="140" t="s">
        <v>19</v>
      </c>
      <c r="M155" s="232"/>
      <c r="N155" s="376"/>
      <c r="O155" s="377" t="s">
        <v>372</v>
      </c>
      <c r="P155" s="378"/>
      <c r="Q155" s="378"/>
      <c r="R155" s="378"/>
      <c r="S155" s="378"/>
      <c r="T155" s="378"/>
      <c r="U155" s="378"/>
      <c r="V155" s="378"/>
      <c r="W155" s="378"/>
      <c r="X155" s="378"/>
      <c r="Y155" s="378"/>
      <c r="Z155" s="378"/>
      <c r="AA155" s="378"/>
      <c r="AB155" s="378"/>
      <c r="AC155" s="378"/>
      <c r="AD155" s="378"/>
      <c r="AE155" s="378"/>
      <c r="AF155" s="423">
        <v>2026</v>
      </c>
      <c r="AG155" s="432" t="s">
        <v>1043</v>
      </c>
      <c r="AH155" s="432" t="s">
        <v>1044</v>
      </c>
      <c r="AI155" s="423"/>
      <c r="AJ155" s="432"/>
      <c r="AK155" s="432"/>
      <c r="AL155" s="429"/>
      <c r="AM155" s="81"/>
      <c r="AN155" s="81"/>
      <c r="AO155" s="81"/>
      <c r="AP155" s="81"/>
      <c r="AQ155" s="81"/>
      <c r="AR155" s="81"/>
      <c r="AS155" s="81"/>
      <c r="AT155" s="81"/>
      <c r="AU155" s="81"/>
      <c r="AV155" s="81"/>
      <c r="AW155" s="81"/>
      <c r="AX155" s="81"/>
      <c r="AY155" s="81"/>
      <c r="AZ155" s="81"/>
      <c r="BA155" s="81"/>
      <c r="BB155" s="81"/>
      <c r="BC155" s="81"/>
      <c r="BD155" s="81"/>
      <c r="BE155" s="81"/>
      <c r="BF155" s="81"/>
    </row>
    <row r="156" ht="11.25" customHeight="1" spans="1:58">
      <c r="A156" s="297" t="s">
        <v>1004</v>
      </c>
      <c r="E156" s="53"/>
      <c r="F156" s="313"/>
      <c r="G156" s="314"/>
      <c r="H156" s="278" t="s">
        <v>1143</v>
      </c>
      <c r="I156" s="374"/>
      <c r="J156" s="375"/>
      <c r="K156" s="213"/>
      <c r="L156" s="140"/>
      <c r="M156" s="232"/>
      <c r="N156" s="367"/>
      <c r="O156" s="379">
        <v>1</v>
      </c>
      <c r="P156" s="369" t="s">
        <v>66</v>
      </c>
      <c r="Q156" s="375" t="s">
        <v>1145</v>
      </c>
      <c r="R156" s="387" t="s">
        <v>1046</v>
      </c>
      <c r="S156" s="387" t="s">
        <v>1047</v>
      </c>
      <c r="T156" s="387" t="s">
        <v>1047</v>
      </c>
      <c r="U156" s="387" t="s">
        <v>1048</v>
      </c>
      <c r="V156" s="387" t="s">
        <v>1049</v>
      </c>
      <c r="W156" s="387" t="s">
        <v>1050</v>
      </c>
      <c r="X156" s="387" t="s">
        <v>1146</v>
      </c>
      <c r="Y156" s="387" t="s">
        <v>1147</v>
      </c>
      <c r="Z156" s="380"/>
      <c r="AA156" s="381"/>
      <c r="AB156" s="381"/>
      <c r="AC156" s="413"/>
      <c r="AD156" s="413"/>
      <c r="AE156" s="424"/>
      <c r="AF156" s="423"/>
      <c r="AG156" s="432"/>
      <c r="AH156" s="432"/>
      <c r="AI156" s="423"/>
      <c r="AJ156" s="432"/>
      <c r="AK156" s="432"/>
      <c r="AL156" s="429"/>
      <c r="AM156" s="81"/>
      <c r="AN156" s="81"/>
      <c r="AO156" s="81"/>
      <c r="AP156" s="81"/>
      <c r="AQ156" s="81"/>
      <c r="AR156" s="81"/>
      <c r="AS156" s="81"/>
      <c r="AT156" s="81"/>
      <c r="AU156" s="81"/>
      <c r="AV156" s="81"/>
      <c r="AW156" s="81"/>
      <c r="AX156" s="81"/>
      <c r="AY156" s="81"/>
      <c r="AZ156" s="81"/>
      <c r="BA156" s="81"/>
      <c r="BB156" s="81"/>
      <c r="BC156" s="81"/>
      <c r="BD156" s="81"/>
      <c r="BE156" s="81"/>
      <c r="BF156" s="81"/>
    </row>
    <row r="157" ht="28.5" customHeight="1" spans="1:58">
      <c r="A157" s="297" t="s">
        <v>1004</v>
      </c>
      <c r="E157" s="53"/>
      <c r="F157" s="313"/>
      <c r="G157" s="314"/>
      <c r="H157" s="278" t="s">
        <v>1143</v>
      </c>
      <c r="I157" s="374"/>
      <c r="J157" s="375"/>
      <c r="K157" s="213"/>
      <c r="L157" s="140"/>
      <c r="M157" s="232"/>
      <c r="N157" s="367"/>
      <c r="O157" s="379"/>
      <c r="P157" s="371"/>
      <c r="Q157" s="375"/>
      <c r="R157" s="104"/>
      <c r="S157" s="387"/>
      <c r="T157" s="104"/>
      <c r="U157" s="104"/>
      <c r="V157" s="104"/>
      <c r="W157" s="104"/>
      <c r="X157" s="104"/>
      <c r="Y157" s="104"/>
      <c r="Z157" s="415"/>
      <c r="AA157" s="368">
        <v>1</v>
      </c>
      <c r="AB157" s="416" t="s">
        <v>1053</v>
      </c>
      <c r="AC157" s="417">
        <v>9063.21</v>
      </c>
      <c r="AD157" s="416" t="str">
        <f>AB157</f>
        <v>      Амортизационные отчисления с выделением результатов переоценки основных средств и нематериальных активов</v>
      </c>
      <c r="AE157" s="417"/>
      <c r="AF157" s="423"/>
      <c r="AG157" s="432"/>
      <c r="AH157" s="432"/>
      <c r="AI157" s="423"/>
      <c r="AJ157" s="432"/>
      <c r="AK157" s="432"/>
      <c r="AL157" s="429"/>
      <c r="AM157" s="81"/>
      <c r="AN157" s="81"/>
      <c r="AO157" s="81"/>
      <c r="AP157" s="81"/>
      <c r="AQ157" s="81"/>
      <c r="AR157" s="81"/>
      <c r="AS157" s="81"/>
      <c r="AT157" s="81"/>
      <c r="AU157" s="81"/>
      <c r="AV157" s="81"/>
      <c r="AW157" s="81"/>
      <c r="AX157" s="81"/>
      <c r="AY157" s="81"/>
      <c r="AZ157" s="81"/>
      <c r="BA157" s="81"/>
      <c r="BB157" s="81"/>
      <c r="BC157" s="81"/>
      <c r="BD157" s="81"/>
      <c r="BE157" s="81"/>
      <c r="BF157" s="81"/>
    </row>
    <row r="158" ht="11.25" customHeight="1" spans="1:58">
      <c r="A158" s="297" t="s">
        <v>1004</v>
      </c>
      <c r="E158" s="53"/>
      <c r="F158" s="313"/>
      <c r="G158" s="314"/>
      <c r="H158" s="278" t="s">
        <v>1143</v>
      </c>
      <c r="I158" s="374"/>
      <c r="J158" s="375"/>
      <c r="K158" s="213"/>
      <c r="L158" s="140"/>
      <c r="M158" s="232"/>
      <c r="N158" s="367"/>
      <c r="O158" s="379"/>
      <c r="P158" s="373"/>
      <c r="Q158" s="375"/>
      <c r="R158" s="104"/>
      <c r="S158" s="387"/>
      <c r="T158" s="104"/>
      <c r="U158" s="104"/>
      <c r="V158" s="104"/>
      <c r="W158" s="104"/>
      <c r="X158" s="104"/>
      <c r="Y158" s="104"/>
      <c r="Z158" s="380"/>
      <c r="AA158" s="381"/>
      <c r="AB158" s="227" t="s">
        <v>1054</v>
      </c>
      <c r="AC158" s="413"/>
      <c r="AD158" s="413"/>
      <c r="AE158" s="425"/>
      <c r="AF158" s="423"/>
      <c r="AG158" s="432"/>
      <c r="AH158" s="432"/>
      <c r="AI158" s="423"/>
      <c r="AJ158" s="432"/>
      <c r="AK158" s="432"/>
      <c r="AL158" s="429"/>
      <c r="AM158" s="81"/>
      <c r="AN158" s="81"/>
      <c r="AO158" s="81"/>
      <c r="AP158" s="81"/>
      <c r="AQ158" s="81"/>
      <c r="AR158" s="81"/>
      <c r="AS158" s="81"/>
      <c r="AT158" s="81"/>
      <c r="AU158" s="81"/>
      <c r="AV158" s="81"/>
      <c r="AW158" s="81"/>
      <c r="AX158" s="81"/>
      <c r="AY158" s="81"/>
      <c r="AZ158" s="81"/>
      <c r="BA158" s="81"/>
      <c r="BB158" s="81"/>
      <c r="BC158" s="81"/>
      <c r="BD158" s="81"/>
      <c r="BE158" s="81"/>
      <c r="BF158" s="81"/>
    </row>
    <row r="159" ht="11.25" customHeight="1" spans="1:58">
      <c r="A159" s="297" t="s">
        <v>1004</v>
      </c>
      <c r="E159" s="53"/>
      <c r="F159" s="313"/>
      <c r="G159" s="314"/>
      <c r="H159" s="278" t="s">
        <v>1143</v>
      </c>
      <c r="I159" s="374"/>
      <c r="J159" s="375"/>
      <c r="K159" s="213"/>
      <c r="L159" s="140"/>
      <c r="M159" s="232"/>
      <c r="N159" s="380"/>
      <c r="O159" s="381"/>
      <c r="P159" s="227" t="s">
        <v>1055</v>
      </c>
      <c r="Q159" s="381"/>
      <c r="R159" s="381"/>
      <c r="S159" s="381"/>
      <c r="T159" s="381"/>
      <c r="U159" s="381"/>
      <c r="V159" s="381"/>
      <c r="W159" s="381"/>
      <c r="X159" s="381"/>
      <c r="Y159" s="381"/>
      <c r="Z159" s="381"/>
      <c r="AA159" s="381"/>
      <c r="AB159" s="381"/>
      <c r="AC159" s="381"/>
      <c r="AD159" s="381"/>
      <c r="AE159" s="426"/>
      <c r="AF159" s="423"/>
      <c r="AG159" s="432"/>
      <c r="AH159" s="432"/>
      <c r="AI159" s="423"/>
      <c r="AJ159" s="432"/>
      <c r="AK159" s="432"/>
      <c r="AL159" s="429"/>
      <c r="AM159" s="81"/>
      <c r="AN159" s="81"/>
      <c r="AO159" s="81"/>
      <c r="AP159" s="81"/>
      <c r="AQ159" s="81"/>
      <c r="AR159" s="81"/>
      <c r="AS159" s="81"/>
      <c r="AT159" s="81"/>
      <c r="AU159" s="81"/>
      <c r="AV159" s="81"/>
      <c r="AW159" s="81"/>
      <c r="AX159" s="81"/>
      <c r="AY159" s="81"/>
      <c r="AZ159" s="81"/>
      <c r="BA159" s="81"/>
      <c r="BB159" s="81"/>
      <c r="BC159" s="81"/>
      <c r="BD159" s="81"/>
      <c r="BE159" s="81"/>
      <c r="BF159" s="81"/>
    </row>
    <row r="160" ht="11.25" customHeight="1" spans="1:58">
      <c r="A160" s="297" t="s">
        <v>1004</v>
      </c>
      <c r="B160" s="297" t="s">
        <v>1104</v>
      </c>
      <c r="E160" s="53"/>
      <c r="F160" s="313"/>
      <c r="G160" s="235" t="s">
        <v>683</v>
      </c>
      <c r="H160" s="278" t="s">
        <v>1150</v>
      </c>
      <c r="I160" s="374" t="s">
        <v>1106</v>
      </c>
      <c r="J160" s="375" t="s">
        <v>1107</v>
      </c>
      <c r="K160" s="213" t="s">
        <v>1151</v>
      </c>
      <c r="L160" s="140" t="s">
        <v>19</v>
      </c>
      <c r="M160" s="232"/>
      <c r="N160" s="376"/>
      <c r="O160" s="377" t="s">
        <v>372</v>
      </c>
      <c r="P160" s="378"/>
      <c r="Q160" s="378"/>
      <c r="R160" s="378"/>
      <c r="S160" s="378"/>
      <c r="T160" s="378"/>
      <c r="U160" s="378"/>
      <c r="V160" s="378"/>
      <c r="W160" s="378"/>
      <c r="X160" s="378"/>
      <c r="Y160" s="378"/>
      <c r="Z160" s="378"/>
      <c r="AA160" s="378"/>
      <c r="AB160" s="378"/>
      <c r="AC160" s="378"/>
      <c r="AD160" s="378"/>
      <c r="AE160" s="378"/>
      <c r="AF160" s="423">
        <v>2026</v>
      </c>
      <c r="AG160" s="432" t="s">
        <v>1043</v>
      </c>
      <c r="AH160" s="432" t="s">
        <v>1044</v>
      </c>
      <c r="AI160" s="423"/>
      <c r="AJ160" s="432"/>
      <c r="AK160" s="432"/>
      <c r="AL160" s="429"/>
      <c r="AM160" s="81"/>
      <c r="AN160" s="81"/>
      <c r="AO160" s="81"/>
      <c r="AP160" s="81"/>
      <c r="AQ160" s="81"/>
      <c r="AR160" s="81"/>
      <c r="AS160" s="81"/>
      <c r="AT160" s="81"/>
      <c r="AU160" s="81"/>
      <c r="AV160" s="81"/>
      <c r="AW160" s="81"/>
      <c r="AX160" s="81"/>
      <c r="AY160" s="81"/>
      <c r="AZ160" s="81"/>
      <c r="BA160" s="81"/>
      <c r="BB160" s="81"/>
      <c r="BC160" s="81"/>
      <c r="BD160" s="81"/>
      <c r="BE160" s="81"/>
      <c r="BF160" s="81"/>
    </row>
    <row r="161" ht="11.25" customHeight="1" spans="1:58">
      <c r="A161" s="297" t="s">
        <v>1004</v>
      </c>
      <c r="E161" s="53"/>
      <c r="F161" s="313"/>
      <c r="G161" s="314"/>
      <c r="H161" s="278" t="s">
        <v>1148</v>
      </c>
      <c r="I161" s="374"/>
      <c r="J161" s="375"/>
      <c r="K161" s="213"/>
      <c r="L161" s="140"/>
      <c r="M161" s="232"/>
      <c r="N161" s="367"/>
      <c r="O161" s="379">
        <v>1</v>
      </c>
      <c r="P161" s="369" t="s">
        <v>66</v>
      </c>
      <c r="Q161" s="375" t="s">
        <v>1145</v>
      </c>
      <c r="R161" s="387" t="s">
        <v>1046</v>
      </c>
      <c r="S161" s="387" t="s">
        <v>1047</v>
      </c>
      <c r="T161" s="387" t="s">
        <v>1047</v>
      </c>
      <c r="U161" s="387" t="s">
        <v>1048</v>
      </c>
      <c r="V161" s="387" t="s">
        <v>1049</v>
      </c>
      <c r="W161" s="387" t="s">
        <v>1050</v>
      </c>
      <c r="X161" s="387" t="s">
        <v>1146</v>
      </c>
      <c r="Y161" s="387" t="s">
        <v>1147</v>
      </c>
      <c r="Z161" s="380"/>
      <c r="AA161" s="381"/>
      <c r="AB161" s="381"/>
      <c r="AC161" s="413"/>
      <c r="AD161" s="413"/>
      <c r="AE161" s="424"/>
      <c r="AF161" s="423"/>
      <c r="AG161" s="432"/>
      <c r="AH161" s="432"/>
      <c r="AI161" s="423"/>
      <c r="AJ161" s="432"/>
      <c r="AK161" s="432"/>
      <c r="AL161" s="429"/>
      <c r="AM161" s="81"/>
      <c r="AN161" s="81"/>
      <c r="AO161" s="81"/>
      <c r="AP161" s="81"/>
      <c r="AQ161" s="81"/>
      <c r="AR161" s="81"/>
      <c r="AS161" s="81"/>
      <c r="AT161" s="81"/>
      <c r="AU161" s="81"/>
      <c r="AV161" s="81"/>
      <c r="AW161" s="81"/>
      <c r="AX161" s="81"/>
      <c r="AY161" s="81"/>
      <c r="AZ161" s="81"/>
      <c r="BA161" s="81"/>
      <c r="BB161" s="81"/>
      <c r="BC161" s="81"/>
      <c r="BD161" s="81"/>
      <c r="BE161" s="81"/>
      <c r="BF161" s="81"/>
    </row>
    <row r="162" ht="30.75" customHeight="1" spans="1:58">
      <c r="A162" s="297" t="s">
        <v>1004</v>
      </c>
      <c r="E162" s="53"/>
      <c r="F162" s="313"/>
      <c r="G162" s="314"/>
      <c r="H162" s="278" t="s">
        <v>1148</v>
      </c>
      <c r="I162" s="374"/>
      <c r="J162" s="375"/>
      <c r="K162" s="213"/>
      <c r="L162" s="140"/>
      <c r="M162" s="232"/>
      <c r="N162" s="367"/>
      <c r="O162" s="379"/>
      <c r="P162" s="371"/>
      <c r="Q162" s="375"/>
      <c r="R162" s="104"/>
      <c r="S162" s="387"/>
      <c r="T162" s="104"/>
      <c r="U162" s="104"/>
      <c r="V162" s="104"/>
      <c r="W162" s="104"/>
      <c r="X162" s="104"/>
      <c r="Y162" s="104"/>
      <c r="Z162" s="415"/>
      <c r="AA162" s="368">
        <v>1</v>
      </c>
      <c r="AB162" s="416" t="s">
        <v>1053</v>
      </c>
      <c r="AC162" s="417">
        <v>16253.85</v>
      </c>
      <c r="AD162" s="416" t="str">
        <f>AB162</f>
        <v>      Амортизационные отчисления с выделением результатов переоценки основных средств и нематериальных активов</v>
      </c>
      <c r="AE162" s="417"/>
      <c r="AF162" s="423"/>
      <c r="AG162" s="432"/>
      <c r="AH162" s="432"/>
      <c r="AI162" s="423"/>
      <c r="AJ162" s="432"/>
      <c r="AK162" s="432"/>
      <c r="AL162" s="429"/>
      <c r="AM162" s="81"/>
      <c r="AN162" s="81"/>
      <c r="AO162" s="81"/>
      <c r="AP162" s="81"/>
      <c r="AQ162" s="81"/>
      <c r="AR162" s="81"/>
      <c r="AS162" s="81"/>
      <c r="AT162" s="81"/>
      <c r="AU162" s="81"/>
      <c r="AV162" s="81"/>
      <c r="AW162" s="81"/>
      <c r="AX162" s="81"/>
      <c r="AY162" s="81"/>
      <c r="AZ162" s="81"/>
      <c r="BA162" s="81"/>
      <c r="BB162" s="81"/>
      <c r="BC162" s="81"/>
      <c r="BD162" s="81"/>
      <c r="BE162" s="81"/>
      <c r="BF162" s="81"/>
    </row>
    <row r="163" ht="11.25" customHeight="1" spans="1:58">
      <c r="A163" s="297" t="s">
        <v>1004</v>
      </c>
      <c r="E163" s="53"/>
      <c r="F163" s="313"/>
      <c r="G163" s="314"/>
      <c r="H163" s="278" t="s">
        <v>1148</v>
      </c>
      <c r="I163" s="374"/>
      <c r="J163" s="375"/>
      <c r="K163" s="213"/>
      <c r="L163" s="140"/>
      <c r="M163" s="232"/>
      <c r="N163" s="367"/>
      <c r="O163" s="379"/>
      <c r="P163" s="373"/>
      <c r="Q163" s="375"/>
      <c r="R163" s="104"/>
      <c r="S163" s="387"/>
      <c r="T163" s="104"/>
      <c r="U163" s="104"/>
      <c r="V163" s="104"/>
      <c r="W163" s="104"/>
      <c r="X163" s="104"/>
      <c r="Y163" s="104"/>
      <c r="Z163" s="380"/>
      <c r="AA163" s="381"/>
      <c r="AB163" s="227" t="s">
        <v>1054</v>
      </c>
      <c r="AC163" s="413"/>
      <c r="AD163" s="413"/>
      <c r="AE163" s="425"/>
      <c r="AF163" s="423"/>
      <c r="AG163" s="432"/>
      <c r="AH163" s="432"/>
      <c r="AI163" s="423"/>
      <c r="AJ163" s="432"/>
      <c r="AK163" s="432"/>
      <c r="AL163" s="429"/>
      <c r="AM163" s="81"/>
      <c r="AN163" s="81"/>
      <c r="AO163" s="81"/>
      <c r="AP163" s="81"/>
      <c r="AQ163" s="81"/>
      <c r="AR163" s="81"/>
      <c r="AS163" s="81"/>
      <c r="AT163" s="81"/>
      <c r="AU163" s="81"/>
      <c r="AV163" s="81"/>
      <c r="AW163" s="81"/>
      <c r="AX163" s="81"/>
      <c r="AY163" s="81"/>
      <c r="AZ163" s="81"/>
      <c r="BA163" s="81"/>
      <c r="BB163" s="81"/>
      <c r="BC163" s="81"/>
      <c r="BD163" s="81"/>
      <c r="BE163" s="81"/>
      <c r="BF163" s="81"/>
    </row>
    <row r="164" ht="11.25" customHeight="1" spans="1:58">
      <c r="A164" s="297" t="s">
        <v>1004</v>
      </c>
      <c r="E164" s="53"/>
      <c r="F164" s="313"/>
      <c r="G164" s="314"/>
      <c r="H164" s="278" t="s">
        <v>1148</v>
      </c>
      <c r="I164" s="374"/>
      <c r="J164" s="375"/>
      <c r="K164" s="213"/>
      <c r="L164" s="140"/>
      <c r="M164" s="232"/>
      <c r="N164" s="380"/>
      <c r="O164" s="381"/>
      <c r="P164" s="227" t="s">
        <v>1055</v>
      </c>
      <c r="Q164" s="381"/>
      <c r="R164" s="381"/>
      <c r="S164" s="381"/>
      <c r="T164" s="381"/>
      <c r="U164" s="381"/>
      <c r="V164" s="381"/>
      <c r="W164" s="381"/>
      <c r="X164" s="381"/>
      <c r="Y164" s="381"/>
      <c r="Z164" s="381"/>
      <c r="AA164" s="381"/>
      <c r="AB164" s="381"/>
      <c r="AC164" s="381"/>
      <c r="AD164" s="381"/>
      <c r="AE164" s="426"/>
      <c r="AF164" s="423"/>
      <c r="AG164" s="432"/>
      <c r="AH164" s="432"/>
      <c r="AI164" s="423"/>
      <c r="AJ164" s="432"/>
      <c r="AK164" s="432"/>
      <c r="AL164" s="429"/>
      <c r="AM164" s="81"/>
      <c r="AN164" s="81"/>
      <c r="AO164" s="81"/>
      <c r="AP164" s="81"/>
      <c r="AQ164" s="81"/>
      <c r="AR164" s="81"/>
      <c r="AS164" s="81"/>
      <c r="AT164" s="81"/>
      <c r="AU164" s="81"/>
      <c r="AV164" s="81"/>
      <c r="AW164" s="81"/>
      <c r="AX164" s="81"/>
      <c r="AY164" s="81"/>
      <c r="AZ164" s="81"/>
      <c r="BA164" s="81"/>
      <c r="BB164" s="81"/>
      <c r="BC164" s="81"/>
      <c r="BD164" s="81"/>
      <c r="BE164" s="81"/>
      <c r="BF164" s="81"/>
    </row>
    <row r="165" ht="11.25" customHeight="1" spans="1:58">
      <c r="A165" s="297" t="s">
        <v>1004</v>
      </c>
      <c r="B165" s="297" t="s">
        <v>1104</v>
      </c>
      <c r="E165" s="53"/>
      <c r="F165" s="313"/>
      <c r="G165" s="235" t="s">
        <v>683</v>
      </c>
      <c r="H165" s="278" t="s">
        <v>1152</v>
      </c>
      <c r="I165" s="374" t="s">
        <v>1106</v>
      </c>
      <c r="J165" s="375" t="s">
        <v>1107</v>
      </c>
      <c r="K165" s="213" t="s">
        <v>1153</v>
      </c>
      <c r="L165" s="140" t="s">
        <v>19</v>
      </c>
      <c r="M165" s="232"/>
      <c r="N165" s="376"/>
      <c r="O165" s="377" t="s">
        <v>372</v>
      </c>
      <c r="P165" s="378"/>
      <c r="Q165" s="378"/>
      <c r="R165" s="378"/>
      <c r="S165" s="378"/>
      <c r="T165" s="378"/>
      <c r="U165" s="378"/>
      <c r="V165" s="378"/>
      <c r="W165" s="378"/>
      <c r="X165" s="378"/>
      <c r="Y165" s="378"/>
      <c r="Z165" s="378"/>
      <c r="AA165" s="378"/>
      <c r="AB165" s="378"/>
      <c r="AC165" s="378"/>
      <c r="AD165" s="378"/>
      <c r="AE165" s="378"/>
      <c r="AF165" s="423">
        <v>2026</v>
      </c>
      <c r="AG165" s="432" t="s">
        <v>1043</v>
      </c>
      <c r="AH165" s="432" t="s">
        <v>1044</v>
      </c>
      <c r="AI165" s="423"/>
      <c r="AJ165" s="432"/>
      <c r="AK165" s="432"/>
      <c r="AL165" s="429"/>
      <c r="AM165" s="81"/>
      <c r="AN165" s="81"/>
      <c r="AO165" s="81"/>
      <c r="AP165" s="81"/>
      <c r="AQ165" s="81"/>
      <c r="AR165" s="81"/>
      <c r="AS165" s="81"/>
      <c r="AT165" s="81"/>
      <c r="AU165" s="81"/>
      <c r="AV165" s="81"/>
      <c r="AW165" s="81"/>
      <c r="AX165" s="81"/>
      <c r="AY165" s="81"/>
      <c r="AZ165" s="81"/>
      <c r="BA165" s="81"/>
      <c r="BB165" s="81"/>
      <c r="BC165" s="81"/>
      <c r="BD165" s="81"/>
      <c r="BE165" s="81"/>
      <c r="BF165" s="81"/>
    </row>
    <row r="166" ht="11.25" customHeight="1" spans="1:58">
      <c r="A166" s="297" t="s">
        <v>1004</v>
      </c>
      <c r="E166" s="53"/>
      <c r="F166" s="313"/>
      <c r="G166" s="314"/>
      <c r="H166" s="278" t="s">
        <v>1150</v>
      </c>
      <c r="I166" s="374"/>
      <c r="J166" s="375"/>
      <c r="K166" s="213"/>
      <c r="L166" s="140"/>
      <c r="M166" s="232"/>
      <c r="N166" s="367"/>
      <c r="O166" s="379">
        <v>1</v>
      </c>
      <c r="P166" s="369" t="s">
        <v>66</v>
      </c>
      <c r="Q166" s="375" t="s">
        <v>1154</v>
      </c>
      <c r="R166" s="387" t="s">
        <v>1046</v>
      </c>
      <c r="S166" s="387" t="s">
        <v>1047</v>
      </c>
      <c r="T166" s="387" t="s">
        <v>1047</v>
      </c>
      <c r="U166" s="387" t="s">
        <v>1048</v>
      </c>
      <c r="V166" s="387" t="s">
        <v>1049</v>
      </c>
      <c r="W166" s="387" t="s">
        <v>1050</v>
      </c>
      <c r="X166" s="387" t="s">
        <v>1146</v>
      </c>
      <c r="Y166" s="387" t="s">
        <v>1155</v>
      </c>
      <c r="Z166" s="380"/>
      <c r="AA166" s="381"/>
      <c r="AB166" s="381"/>
      <c r="AC166" s="413"/>
      <c r="AD166" s="413"/>
      <c r="AE166" s="424"/>
      <c r="AF166" s="423"/>
      <c r="AG166" s="432"/>
      <c r="AH166" s="432"/>
      <c r="AI166" s="423"/>
      <c r="AJ166" s="432"/>
      <c r="AK166" s="432"/>
      <c r="AL166" s="429"/>
      <c r="AM166" s="81"/>
      <c r="AN166" s="81"/>
      <c r="AO166" s="81"/>
      <c r="AP166" s="81"/>
      <c r="AQ166" s="81"/>
      <c r="AR166" s="81"/>
      <c r="AS166" s="81"/>
      <c r="AT166" s="81"/>
      <c r="AU166" s="81"/>
      <c r="AV166" s="81"/>
      <c r="AW166" s="81"/>
      <c r="AX166" s="81"/>
      <c r="AY166" s="81"/>
      <c r="AZ166" s="81"/>
      <c r="BA166" s="81"/>
      <c r="BB166" s="81"/>
      <c r="BC166" s="81"/>
      <c r="BD166" s="81"/>
      <c r="BE166" s="81"/>
      <c r="BF166" s="81"/>
    </row>
    <row r="167" ht="32.25" customHeight="1" spans="1:58">
      <c r="A167" s="297" t="s">
        <v>1004</v>
      </c>
      <c r="E167" s="53"/>
      <c r="F167" s="313"/>
      <c r="G167" s="314"/>
      <c r="H167" s="278" t="s">
        <v>1150</v>
      </c>
      <c r="I167" s="374"/>
      <c r="J167" s="375"/>
      <c r="K167" s="213"/>
      <c r="L167" s="140"/>
      <c r="M167" s="232"/>
      <c r="N167" s="367"/>
      <c r="O167" s="379"/>
      <c r="P167" s="371"/>
      <c r="Q167" s="375"/>
      <c r="R167" s="104"/>
      <c r="S167" s="387"/>
      <c r="T167" s="104"/>
      <c r="U167" s="104"/>
      <c r="V167" s="104"/>
      <c r="W167" s="104"/>
      <c r="X167" s="104"/>
      <c r="Y167" s="104"/>
      <c r="Z167" s="415"/>
      <c r="AA167" s="368">
        <v>1</v>
      </c>
      <c r="AB167" s="416" t="s">
        <v>1053</v>
      </c>
      <c r="AC167" s="417">
        <v>11568.05</v>
      </c>
      <c r="AD167" s="416" t="str">
        <f>AB167</f>
        <v>      Амортизационные отчисления с выделением результатов переоценки основных средств и нематериальных активов</v>
      </c>
      <c r="AE167" s="417"/>
      <c r="AF167" s="423"/>
      <c r="AG167" s="432"/>
      <c r="AH167" s="432"/>
      <c r="AI167" s="423"/>
      <c r="AJ167" s="432"/>
      <c r="AK167" s="432"/>
      <c r="AL167" s="429"/>
      <c r="AM167" s="81"/>
      <c r="AN167" s="81"/>
      <c r="AO167" s="81"/>
      <c r="AP167" s="81"/>
      <c r="AQ167" s="81"/>
      <c r="AR167" s="81"/>
      <c r="AS167" s="81"/>
      <c r="AT167" s="81"/>
      <c r="AU167" s="81"/>
      <c r="AV167" s="81"/>
      <c r="AW167" s="81"/>
      <c r="AX167" s="81"/>
      <c r="AY167" s="81"/>
      <c r="AZ167" s="81"/>
      <c r="BA167" s="81"/>
      <c r="BB167" s="81"/>
      <c r="BC167" s="81"/>
      <c r="BD167" s="81"/>
      <c r="BE167" s="81"/>
      <c r="BF167" s="81"/>
    </row>
    <row r="168" ht="11.25" customHeight="1" spans="1:58">
      <c r="A168" s="297" t="s">
        <v>1004</v>
      </c>
      <c r="E168" s="53"/>
      <c r="F168" s="313"/>
      <c r="G168" s="314"/>
      <c r="H168" s="278" t="s">
        <v>1150</v>
      </c>
      <c r="I168" s="374"/>
      <c r="J168" s="375"/>
      <c r="K168" s="213"/>
      <c r="L168" s="140"/>
      <c r="M168" s="232"/>
      <c r="N168" s="367"/>
      <c r="O168" s="379"/>
      <c r="P168" s="373"/>
      <c r="Q168" s="375"/>
      <c r="R168" s="104"/>
      <c r="S168" s="387"/>
      <c r="T168" s="104"/>
      <c r="U168" s="104"/>
      <c r="V168" s="104"/>
      <c r="W168" s="104"/>
      <c r="X168" s="104"/>
      <c r="Y168" s="104"/>
      <c r="Z168" s="380"/>
      <c r="AA168" s="381"/>
      <c r="AB168" s="227" t="s">
        <v>1054</v>
      </c>
      <c r="AC168" s="413"/>
      <c r="AD168" s="413"/>
      <c r="AE168" s="425"/>
      <c r="AF168" s="423"/>
      <c r="AG168" s="432"/>
      <c r="AH168" s="432"/>
      <c r="AI168" s="423"/>
      <c r="AJ168" s="432"/>
      <c r="AK168" s="432"/>
      <c r="AL168" s="429"/>
      <c r="AM168" s="81"/>
      <c r="AN168" s="81"/>
      <c r="AO168" s="81"/>
      <c r="AP168" s="81"/>
      <c r="AQ168" s="81"/>
      <c r="AR168" s="81"/>
      <c r="AS168" s="81"/>
      <c r="AT168" s="81"/>
      <c r="AU168" s="81"/>
      <c r="AV168" s="81"/>
      <c r="AW168" s="81"/>
      <c r="AX168" s="81"/>
      <c r="AY168" s="81"/>
      <c r="AZ168" s="81"/>
      <c r="BA168" s="81"/>
      <c r="BB168" s="81"/>
      <c r="BC168" s="81"/>
      <c r="BD168" s="81"/>
      <c r="BE168" s="81"/>
      <c r="BF168" s="81"/>
    </row>
    <row r="169" ht="11.25" customHeight="1" spans="1:58">
      <c r="A169" s="297" t="s">
        <v>1004</v>
      </c>
      <c r="E169" s="53"/>
      <c r="F169" s="313"/>
      <c r="G169" s="314"/>
      <c r="H169" s="278" t="s">
        <v>1150</v>
      </c>
      <c r="I169" s="374"/>
      <c r="J169" s="375"/>
      <c r="K169" s="213"/>
      <c r="L169" s="140"/>
      <c r="M169" s="232"/>
      <c r="N169" s="380"/>
      <c r="O169" s="381"/>
      <c r="P169" s="227" t="s">
        <v>1055</v>
      </c>
      <c r="Q169" s="381"/>
      <c r="R169" s="381"/>
      <c r="S169" s="381"/>
      <c r="T169" s="381"/>
      <c r="U169" s="381"/>
      <c r="V169" s="381"/>
      <c r="W169" s="381"/>
      <c r="X169" s="381"/>
      <c r="Y169" s="381"/>
      <c r="Z169" s="381"/>
      <c r="AA169" s="381"/>
      <c r="AB169" s="381"/>
      <c r="AC169" s="381"/>
      <c r="AD169" s="381"/>
      <c r="AE169" s="426"/>
      <c r="AF169" s="423"/>
      <c r="AG169" s="432"/>
      <c r="AH169" s="432"/>
      <c r="AI169" s="423"/>
      <c r="AJ169" s="432"/>
      <c r="AK169" s="432"/>
      <c r="AL169" s="429"/>
      <c r="AM169" s="81"/>
      <c r="AN169" s="81"/>
      <c r="AO169" s="81"/>
      <c r="AP169" s="81"/>
      <c r="AQ169" s="81"/>
      <c r="AR169" s="81"/>
      <c r="AS169" s="81"/>
      <c r="AT169" s="81"/>
      <c r="AU169" s="81"/>
      <c r="AV169" s="81"/>
      <c r="AW169" s="81"/>
      <c r="AX169" s="81"/>
      <c r="AY169" s="81"/>
      <c r="AZ169" s="81"/>
      <c r="BA169" s="81"/>
      <c r="BB169" s="81"/>
      <c r="BC169" s="81"/>
      <c r="BD169" s="81"/>
      <c r="BE169" s="81"/>
      <c r="BF169" s="81"/>
    </row>
    <row r="170" ht="11.25" customHeight="1" spans="1:58">
      <c r="A170" s="297" t="s">
        <v>1004</v>
      </c>
      <c r="B170" s="297" t="s">
        <v>1104</v>
      </c>
      <c r="E170" s="53"/>
      <c r="F170" s="313"/>
      <c r="G170" s="235" t="s">
        <v>683</v>
      </c>
      <c r="H170" s="278" t="s">
        <v>1156</v>
      </c>
      <c r="I170" s="374" t="s">
        <v>1106</v>
      </c>
      <c r="J170" s="375" t="s">
        <v>1107</v>
      </c>
      <c r="K170" s="213" t="s">
        <v>1157</v>
      </c>
      <c r="L170" s="140" t="s">
        <v>19</v>
      </c>
      <c r="M170" s="232"/>
      <c r="N170" s="376"/>
      <c r="O170" s="377" t="s">
        <v>372</v>
      </c>
      <c r="P170" s="378"/>
      <c r="Q170" s="378"/>
      <c r="R170" s="378"/>
      <c r="S170" s="378"/>
      <c r="T170" s="378"/>
      <c r="U170" s="378"/>
      <c r="V170" s="378"/>
      <c r="W170" s="378"/>
      <c r="X170" s="378"/>
      <c r="Y170" s="378"/>
      <c r="Z170" s="378"/>
      <c r="AA170" s="378"/>
      <c r="AB170" s="378"/>
      <c r="AC170" s="378"/>
      <c r="AD170" s="378"/>
      <c r="AE170" s="378"/>
      <c r="AF170" s="423">
        <v>2026</v>
      </c>
      <c r="AG170" s="432" t="s">
        <v>1043</v>
      </c>
      <c r="AH170" s="432" t="s">
        <v>1044</v>
      </c>
      <c r="AI170" s="423"/>
      <c r="AJ170" s="432"/>
      <c r="AK170" s="432"/>
      <c r="AL170" s="429"/>
      <c r="AM170" s="81"/>
      <c r="AN170" s="81"/>
      <c r="AO170" s="81"/>
      <c r="AP170" s="81"/>
      <c r="AQ170" s="81"/>
      <c r="AR170" s="81"/>
      <c r="AS170" s="81"/>
      <c r="AT170" s="81"/>
      <c r="AU170" s="81"/>
      <c r="AV170" s="81"/>
      <c r="AW170" s="81"/>
      <c r="AX170" s="81"/>
      <c r="AY170" s="81"/>
      <c r="AZ170" s="81"/>
      <c r="BA170" s="81"/>
      <c r="BB170" s="81"/>
      <c r="BC170" s="81"/>
      <c r="BD170" s="81"/>
      <c r="BE170" s="81"/>
      <c r="BF170" s="81"/>
    </row>
    <row r="171" ht="11.25" customHeight="1" spans="1:58">
      <c r="A171" s="297" t="s">
        <v>1004</v>
      </c>
      <c r="E171" s="53"/>
      <c r="F171" s="313"/>
      <c r="G171" s="314"/>
      <c r="H171" s="278" t="s">
        <v>1152</v>
      </c>
      <c r="I171" s="374"/>
      <c r="J171" s="375"/>
      <c r="K171" s="213"/>
      <c r="L171" s="140"/>
      <c r="M171" s="232"/>
      <c r="N171" s="367"/>
      <c r="O171" s="379">
        <v>1</v>
      </c>
      <c r="P171" s="369" t="s">
        <v>66</v>
      </c>
      <c r="Q171" s="375" t="s">
        <v>1154</v>
      </c>
      <c r="R171" s="387" t="s">
        <v>1046</v>
      </c>
      <c r="S171" s="387" t="s">
        <v>1047</v>
      </c>
      <c r="T171" s="387" t="s">
        <v>1047</v>
      </c>
      <c r="U171" s="387" t="s">
        <v>1048</v>
      </c>
      <c r="V171" s="387" t="s">
        <v>1049</v>
      </c>
      <c r="W171" s="387" t="s">
        <v>1050</v>
      </c>
      <c r="X171" s="387" t="s">
        <v>1146</v>
      </c>
      <c r="Y171" s="387" t="s">
        <v>1155</v>
      </c>
      <c r="Z171" s="380"/>
      <c r="AA171" s="381"/>
      <c r="AB171" s="381"/>
      <c r="AC171" s="413"/>
      <c r="AD171" s="413"/>
      <c r="AE171" s="424"/>
      <c r="AF171" s="423"/>
      <c r="AG171" s="432"/>
      <c r="AH171" s="432"/>
      <c r="AI171" s="423"/>
      <c r="AJ171" s="432"/>
      <c r="AK171" s="432"/>
      <c r="AL171" s="429"/>
      <c r="AM171" s="81"/>
      <c r="AN171" s="81"/>
      <c r="AO171" s="81"/>
      <c r="AP171" s="81"/>
      <c r="AQ171" s="81"/>
      <c r="AR171" s="81"/>
      <c r="AS171" s="81"/>
      <c r="AT171" s="81"/>
      <c r="AU171" s="81"/>
      <c r="AV171" s="81"/>
      <c r="AW171" s="81"/>
      <c r="AX171" s="81"/>
      <c r="AY171" s="81"/>
      <c r="AZ171" s="81"/>
      <c r="BA171" s="81"/>
      <c r="BB171" s="81"/>
      <c r="BC171" s="81"/>
      <c r="BD171" s="81"/>
      <c r="BE171" s="81"/>
      <c r="BF171" s="81"/>
    </row>
    <row r="172" ht="29.25" customHeight="1" spans="1:58">
      <c r="A172" s="297" t="s">
        <v>1004</v>
      </c>
      <c r="E172" s="53"/>
      <c r="F172" s="313"/>
      <c r="G172" s="314"/>
      <c r="H172" s="278" t="s">
        <v>1152</v>
      </c>
      <c r="I172" s="374"/>
      <c r="J172" s="375"/>
      <c r="K172" s="213"/>
      <c r="L172" s="140"/>
      <c r="M172" s="232"/>
      <c r="N172" s="367"/>
      <c r="O172" s="379"/>
      <c r="P172" s="371"/>
      <c r="Q172" s="375"/>
      <c r="R172" s="104"/>
      <c r="S172" s="387"/>
      <c r="T172" s="104"/>
      <c r="U172" s="104"/>
      <c r="V172" s="104"/>
      <c r="W172" s="104"/>
      <c r="X172" s="104"/>
      <c r="Y172" s="104"/>
      <c r="Z172" s="415"/>
      <c r="AA172" s="368">
        <v>1</v>
      </c>
      <c r="AB172" s="416" t="s">
        <v>1053</v>
      </c>
      <c r="AC172" s="417">
        <v>14293.84</v>
      </c>
      <c r="AD172" s="416" t="str">
        <f>AB172</f>
        <v>      Амортизационные отчисления с выделением результатов переоценки основных средств и нематериальных активов</v>
      </c>
      <c r="AE172" s="417"/>
      <c r="AF172" s="423"/>
      <c r="AG172" s="432"/>
      <c r="AH172" s="432"/>
      <c r="AI172" s="423"/>
      <c r="AJ172" s="432"/>
      <c r="AK172" s="432"/>
      <c r="AL172" s="429"/>
      <c r="AM172" s="81"/>
      <c r="AN172" s="81"/>
      <c r="AO172" s="81"/>
      <c r="AP172" s="81"/>
      <c r="AQ172" s="81"/>
      <c r="AR172" s="81"/>
      <c r="AS172" s="81"/>
      <c r="AT172" s="81"/>
      <c r="AU172" s="81"/>
      <c r="AV172" s="81"/>
      <c r="AW172" s="81"/>
      <c r="AX172" s="81"/>
      <c r="AY172" s="81"/>
      <c r="AZ172" s="81"/>
      <c r="BA172" s="81"/>
      <c r="BB172" s="81"/>
      <c r="BC172" s="81"/>
      <c r="BD172" s="81"/>
      <c r="BE172" s="81"/>
      <c r="BF172" s="81"/>
    </row>
    <row r="173" ht="11.25" customHeight="1" spans="1:58">
      <c r="A173" s="297" t="s">
        <v>1004</v>
      </c>
      <c r="E173" s="53"/>
      <c r="F173" s="313"/>
      <c r="G173" s="314"/>
      <c r="H173" s="278" t="s">
        <v>1152</v>
      </c>
      <c r="I173" s="374"/>
      <c r="J173" s="375"/>
      <c r="K173" s="213"/>
      <c r="L173" s="140"/>
      <c r="M173" s="232"/>
      <c r="N173" s="367"/>
      <c r="O173" s="379"/>
      <c r="P173" s="373"/>
      <c r="Q173" s="375"/>
      <c r="R173" s="104"/>
      <c r="S173" s="387"/>
      <c r="T173" s="104"/>
      <c r="U173" s="104"/>
      <c r="V173" s="104"/>
      <c r="W173" s="104"/>
      <c r="X173" s="104"/>
      <c r="Y173" s="104"/>
      <c r="Z173" s="380"/>
      <c r="AA173" s="381"/>
      <c r="AB173" s="227" t="s">
        <v>1054</v>
      </c>
      <c r="AC173" s="413"/>
      <c r="AD173" s="413"/>
      <c r="AE173" s="425"/>
      <c r="AF173" s="423"/>
      <c r="AG173" s="432"/>
      <c r="AH173" s="432"/>
      <c r="AI173" s="423"/>
      <c r="AJ173" s="432"/>
      <c r="AK173" s="432"/>
      <c r="AL173" s="429"/>
      <c r="AM173" s="81"/>
      <c r="AN173" s="81"/>
      <c r="AO173" s="81"/>
      <c r="AP173" s="81"/>
      <c r="AQ173" s="81"/>
      <c r="AR173" s="81"/>
      <c r="AS173" s="81"/>
      <c r="AT173" s="81"/>
      <c r="AU173" s="81"/>
      <c r="AV173" s="81"/>
      <c r="AW173" s="81"/>
      <c r="AX173" s="81"/>
      <c r="AY173" s="81"/>
      <c r="AZ173" s="81"/>
      <c r="BA173" s="81"/>
      <c r="BB173" s="81"/>
      <c r="BC173" s="81"/>
      <c r="BD173" s="81"/>
      <c r="BE173" s="81"/>
      <c r="BF173" s="81"/>
    </row>
    <row r="174" ht="11.25" customHeight="1" spans="1:58">
      <c r="A174" s="297" t="s">
        <v>1004</v>
      </c>
      <c r="E174" s="53"/>
      <c r="F174" s="313"/>
      <c r="G174" s="314"/>
      <c r="H174" s="278" t="s">
        <v>1152</v>
      </c>
      <c r="I174" s="374"/>
      <c r="J174" s="375"/>
      <c r="K174" s="213"/>
      <c r="L174" s="140"/>
      <c r="M174" s="232"/>
      <c r="N174" s="380"/>
      <c r="O174" s="381"/>
      <c r="P174" s="227" t="s">
        <v>1055</v>
      </c>
      <c r="Q174" s="381"/>
      <c r="R174" s="381"/>
      <c r="S174" s="381"/>
      <c r="T174" s="381"/>
      <c r="U174" s="381"/>
      <c r="V174" s="381"/>
      <c r="W174" s="381"/>
      <c r="X174" s="381"/>
      <c r="Y174" s="381"/>
      <c r="Z174" s="381"/>
      <c r="AA174" s="381"/>
      <c r="AB174" s="381"/>
      <c r="AC174" s="381"/>
      <c r="AD174" s="381"/>
      <c r="AE174" s="426"/>
      <c r="AF174" s="423"/>
      <c r="AG174" s="432"/>
      <c r="AH174" s="432"/>
      <c r="AI174" s="423"/>
      <c r="AJ174" s="432"/>
      <c r="AK174" s="432"/>
      <c r="AL174" s="429"/>
      <c r="AM174" s="81"/>
      <c r="AN174" s="81"/>
      <c r="AO174" s="81"/>
      <c r="AP174" s="81"/>
      <c r="AQ174" s="81"/>
      <c r="AR174" s="81"/>
      <c r="AS174" s="81"/>
      <c r="AT174" s="81"/>
      <c r="AU174" s="81"/>
      <c r="AV174" s="81"/>
      <c r="AW174" s="81"/>
      <c r="AX174" s="81"/>
      <c r="AY174" s="81"/>
      <c r="AZ174" s="81"/>
      <c r="BA174" s="81"/>
      <c r="BB174" s="81"/>
      <c r="BC174" s="81"/>
      <c r="BD174" s="81"/>
      <c r="BE174" s="81"/>
      <c r="BF174" s="81"/>
    </row>
    <row r="175" ht="11.25" customHeight="1" spans="1:58">
      <c r="A175" s="297" t="s">
        <v>1004</v>
      </c>
      <c r="B175" s="297" t="s">
        <v>1104</v>
      </c>
      <c r="E175" s="53"/>
      <c r="F175" s="313"/>
      <c r="G175" s="235" t="s">
        <v>683</v>
      </c>
      <c r="H175" s="278" t="s">
        <v>1158</v>
      </c>
      <c r="I175" s="374" t="s">
        <v>1106</v>
      </c>
      <c r="J175" s="375" t="s">
        <v>1107</v>
      </c>
      <c r="K175" s="213" t="s">
        <v>1159</v>
      </c>
      <c r="L175" s="140" t="s">
        <v>19</v>
      </c>
      <c r="M175" s="232"/>
      <c r="N175" s="376"/>
      <c r="O175" s="377" t="s">
        <v>372</v>
      </c>
      <c r="P175" s="378"/>
      <c r="Q175" s="378"/>
      <c r="R175" s="378"/>
      <c r="S175" s="378"/>
      <c r="T175" s="378"/>
      <c r="U175" s="378"/>
      <c r="V175" s="378"/>
      <c r="W175" s="378"/>
      <c r="X175" s="378"/>
      <c r="Y175" s="378"/>
      <c r="Z175" s="378"/>
      <c r="AA175" s="378"/>
      <c r="AB175" s="378"/>
      <c r="AC175" s="378"/>
      <c r="AD175" s="378"/>
      <c r="AE175" s="378"/>
      <c r="AF175" s="423">
        <v>2026</v>
      </c>
      <c r="AG175" s="432" t="s">
        <v>1043</v>
      </c>
      <c r="AH175" s="432" t="s">
        <v>1044</v>
      </c>
      <c r="AI175" s="423"/>
      <c r="AJ175" s="432"/>
      <c r="AK175" s="432"/>
      <c r="AL175" s="429"/>
      <c r="AM175" s="81"/>
      <c r="AN175" s="81"/>
      <c r="AO175" s="81"/>
      <c r="AP175" s="81"/>
      <c r="AQ175" s="81"/>
      <c r="AR175" s="81"/>
      <c r="AS175" s="81"/>
      <c r="AT175" s="81"/>
      <c r="AU175" s="81"/>
      <c r="AV175" s="81"/>
      <c r="AW175" s="81"/>
      <c r="AX175" s="81"/>
      <c r="AY175" s="81"/>
      <c r="AZ175" s="81"/>
      <c r="BA175" s="81"/>
      <c r="BB175" s="81"/>
      <c r="BC175" s="81"/>
      <c r="BD175" s="81"/>
      <c r="BE175" s="81"/>
      <c r="BF175" s="81"/>
    </row>
    <row r="176" ht="11.25" customHeight="1" spans="1:58">
      <c r="A176" s="297" t="s">
        <v>1004</v>
      </c>
      <c r="E176" s="53"/>
      <c r="F176" s="313"/>
      <c r="G176" s="314"/>
      <c r="H176" s="278" t="s">
        <v>1156</v>
      </c>
      <c r="I176" s="374"/>
      <c r="J176" s="375"/>
      <c r="K176" s="213"/>
      <c r="L176" s="140"/>
      <c r="M176" s="232"/>
      <c r="N176" s="367"/>
      <c r="O176" s="379">
        <v>1</v>
      </c>
      <c r="P176" s="369" t="s">
        <v>66</v>
      </c>
      <c r="Q176" s="375" t="s">
        <v>1154</v>
      </c>
      <c r="R176" s="387" t="s">
        <v>1046</v>
      </c>
      <c r="S176" s="387" t="s">
        <v>1047</v>
      </c>
      <c r="T176" s="387" t="s">
        <v>1047</v>
      </c>
      <c r="U176" s="387" t="s">
        <v>1048</v>
      </c>
      <c r="V176" s="387" t="s">
        <v>1049</v>
      </c>
      <c r="W176" s="387" t="s">
        <v>1050</v>
      </c>
      <c r="X176" s="387" t="s">
        <v>1146</v>
      </c>
      <c r="Y176" s="387" t="s">
        <v>1155</v>
      </c>
      <c r="Z176" s="380"/>
      <c r="AA176" s="381"/>
      <c r="AB176" s="381"/>
      <c r="AC176" s="413"/>
      <c r="AD176" s="413"/>
      <c r="AE176" s="424"/>
      <c r="AF176" s="423"/>
      <c r="AG176" s="432"/>
      <c r="AH176" s="432"/>
      <c r="AI176" s="423"/>
      <c r="AJ176" s="432"/>
      <c r="AK176" s="432"/>
      <c r="AL176" s="429"/>
      <c r="AM176" s="81"/>
      <c r="AN176" s="81"/>
      <c r="AO176" s="81"/>
      <c r="AP176" s="81"/>
      <c r="AQ176" s="81"/>
      <c r="AR176" s="81"/>
      <c r="AS176" s="81"/>
      <c r="AT176" s="81"/>
      <c r="AU176" s="81"/>
      <c r="AV176" s="81"/>
      <c r="AW176" s="81"/>
      <c r="AX176" s="81"/>
      <c r="AY176" s="81"/>
      <c r="AZ176" s="81"/>
      <c r="BA176" s="81"/>
      <c r="BB176" s="81"/>
      <c r="BC176" s="81"/>
      <c r="BD176" s="81"/>
      <c r="BE176" s="81"/>
      <c r="BF176" s="81"/>
    </row>
    <row r="177" ht="33" customHeight="1" spans="1:58">
      <c r="A177" s="297" t="s">
        <v>1004</v>
      </c>
      <c r="E177" s="53"/>
      <c r="F177" s="313"/>
      <c r="G177" s="314"/>
      <c r="H177" s="278" t="s">
        <v>1156</v>
      </c>
      <c r="I177" s="374"/>
      <c r="J177" s="375"/>
      <c r="K177" s="213"/>
      <c r="L177" s="140"/>
      <c r="M177" s="232"/>
      <c r="N177" s="367"/>
      <c r="O177" s="379"/>
      <c r="P177" s="371"/>
      <c r="Q177" s="375"/>
      <c r="R177" s="104"/>
      <c r="S177" s="387"/>
      <c r="T177" s="104"/>
      <c r="U177" s="104"/>
      <c r="V177" s="104"/>
      <c r="W177" s="104"/>
      <c r="X177" s="104"/>
      <c r="Y177" s="104"/>
      <c r="Z177" s="415"/>
      <c r="AA177" s="368">
        <v>1</v>
      </c>
      <c r="AB177" s="416" t="s">
        <v>1053</v>
      </c>
      <c r="AC177" s="417">
        <v>3081.87</v>
      </c>
      <c r="AD177" s="416" t="str">
        <f>AB177</f>
        <v>      Амортизационные отчисления с выделением результатов переоценки основных средств и нематериальных активов</v>
      </c>
      <c r="AE177" s="417"/>
      <c r="AF177" s="423"/>
      <c r="AG177" s="432"/>
      <c r="AH177" s="432"/>
      <c r="AI177" s="423"/>
      <c r="AJ177" s="432"/>
      <c r="AK177" s="432"/>
      <c r="AL177" s="429"/>
      <c r="AM177" s="81"/>
      <c r="AN177" s="81"/>
      <c r="AO177" s="81"/>
      <c r="AP177" s="81"/>
      <c r="AQ177" s="81"/>
      <c r="AR177" s="81"/>
      <c r="AS177" s="81"/>
      <c r="AT177" s="81"/>
      <c r="AU177" s="81"/>
      <c r="AV177" s="81"/>
      <c r="AW177" s="81"/>
      <c r="AX177" s="81"/>
      <c r="AY177" s="81"/>
      <c r="AZ177" s="81"/>
      <c r="BA177" s="81"/>
      <c r="BB177" s="81"/>
      <c r="BC177" s="81"/>
      <c r="BD177" s="81"/>
      <c r="BE177" s="81"/>
      <c r="BF177" s="81"/>
    </row>
    <row r="178" ht="11.25" customHeight="1" spans="1:58">
      <c r="A178" s="297" t="s">
        <v>1004</v>
      </c>
      <c r="E178" s="53"/>
      <c r="F178" s="313"/>
      <c r="G178" s="314"/>
      <c r="H178" s="278" t="s">
        <v>1156</v>
      </c>
      <c r="I178" s="374"/>
      <c r="J178" s="375"/>
      <c r="K178" s="213"/>
      <c r="L178" s="140"/>
      <c r="M178" s="232"/>
      <c r="N178" s="367"/>
      <c r="O178" s="379"/>
      <c r="P178" s="373"/>
      <c r="Q178" s="375"/>
      <c r="R178" s="104"/>
      <c r="S178" s="387"/>
      <c r="T178" s="104"/>
      <c r="U178" s="104"/>
      <c r="V178" s="104"/>
      <c r="W178" s="104"/>
      <c r="X178" s="104"/>
      <c r="Y178" s="104"/>
      <c r="Z178" s="380"/>
      <c r="AA178" s="381"/>
      <c r="AB178" s="227" t="s">
        <v>1054</v>
      </c>
      <c r="AC178" s="413"/>
      <c r="AD178" s="413"/>
      <c r="AE178" s="425"/>
      <c r="AF178" s="423"/>
      <c r="AG178" s="432"/>
      <c r="AH178" s="432"/>
      <c r="AI178" s="423"/>
      <c r="AJ178" s="432"/>
      <c r="AK178" s="432"/>
      <c r="AL178" s="429"/>
      <c r="AM178" s="81"/>
      <c r="AN178" s="81"/>
      <c r="AO178" s="81"/>
      <c r="AP178" s="81"/>
      <c r="AQ178" s="81"/>
      <c r="AR178" s="81"/>
      <c r="AS178" s="81"/>
      <c r="AT178" s="81"/>
      <c r="AU178" s="81"/>
      <c r="AV178" s="81"/>
      <c r="AW178" s="81"/>
      <c r="AX178" s="81"/>
      <c r="AY178" s="81"/>
      <c r="AZ178" s="81"/>
      <c r="BA178" s="81"/>
      <c r="BB178" s="81"/>
      <c r="BC178" s="81"/>
      <c r="BD178" s="81"/>
      <c r="BE178" s="81"/>
      <c r="BF178" s="81"/>
    </row>
    <row r="179" ht="11.25" customHeight="1" spans="1:58">
      <c r="A179" s="297" t="s">
        <v>1004</v>
      </c>
      <c r="E179" s="53"/>
      <c r="F179" s="313"/>
      <c r="G179" s="314"/>
      <c r="H179" s="278" t="s">
        <v>1156</v>
      </c>
      <c r="I179" s="374"/>
      <c r="J179" s="375"/>
      <c r="K179" s="213"/>
      <c r="L179" s="140"/>
      <c r="M179" s="232"/>
      <c r="N179" s="380"/>
      <c r="O179" s="381"/>
      <c r="P179" s="227" t="s">
        <v>1055</v>
      </c>
      <c r="Q179" s="381"/>
      <c r="R179" s="381"/>
      <c r="S179" s="381"/>
      <c r="T179" s="381"/>
      <c r="U179" s="381"/>
      <c r="V179" s="381"/>
      <c r="W179" s="381"/>
      <c r="X179" s="381"/>
      <c r="Y179" s="381"/>
      <c r="Z179" s="381"/>
      <c r="AA179" s="381"/>
      <c r="AB179" s="381"/>
      <c r="AC179" s="381"/>
      <c r="AD179" s="381"/>
      <c r="AE179" s="426"/>
      <c r="AF179" s="423"/>
      <c r="AG179" s="432"/>
      <c r="AH179" s="432"/>
      <c r="AI179" s="423"/>
      <c r="AJ179" s="432"/>
      <c r="AK179" s="432"/>
      <c r="AL179" s="429"/>
      <c r="AM179" s="81"/>
      <c r="AN179" s="81"/>
      <c r="AO179" s="81"/>
      <c r="AP179" s="81"/>
      <c r="AQ179" s="81"/>
      <c r="AR179" s="81"/>
      <c r="AS179" s="81"/>
      <c r="AT179" s="81"/>
      <c r="AU179" s="81"/>
      <c r="AV179" s="81"/>
      <c r="AW179" s="81"/>
      <c r="AX179" s="81"/>
      <c r="AY179" s="81"/>
      <c r="AZ179" s="81"/>
      <c r="BA179" s="81"/>
      <c r="BB179" s="81"/>
      <c r="BC179" s="81"/>
      <c r="BD179" s="81"/>
      <c r="BE179" s="81"/>
      <c r="BF179" s="81"/>
    </row>
    <row r="180" ht="11.25" customHeight="1" spans="1:58">
      <c r="A180" s="297" t="s">
        <v>1004</v>
      </c>
      <c r="B180" s="297" t="s">
        <v>1104</v>
      </c>
      <c r="E180" s="53"/>
      <c r="F180" s="313"/>
      <c r="G180" s="235" t="s">
        <v>683</v>
      </c>
      <c r="H180" s="278" t="s">
        <v>1098</v>
      </c>
      <c r="I180" s="374" t="s">
        <v>1106</v>
      </c>
      <c r="J180" s="375" t="s">
        <v>1107</v>
      </c>
      <c r="K180" s="213" t="s">
        <v>1160</v>
      </c>
      <c r="L180" s="140" t="s">
        <v>19</v>
      </c>
      <c r="M180" s="232"/>
      <c r="N180" s="376"/>
      <c r="O180" s="377" t="s">
        <v>372</v>
      </c>
      <c r="P180" s="378"/>
      <c r="Q180" s="378"/>
      <c r="R180" s="378"/>
      <c r="S180" s="378"/>
      <c r="T180" s="378"/>
      <c r="U180" s="378"/>
      <c r="V180" s="378"/>
      <c r="W180" s="378"/>
      <c r="X180" s="378"/>
      <c r="Y180" s="378"/>
      <c r="Z180" s="378"/>
      <c r="AA180" s="378"/>
      <c r="AB180" s="378"/>
      <c r="AC180" s="378"/>
      <c r="AD180" s="378"/>
      <c r="AE180" s="378"/>
      <c r="AF180" s="423">
        <v>2026</v>
      </c>
      <c r="AG180" s="432" t="s">
        <v>1043</v>
      </c>
      <c r="AH180" s="432" t="s">
        <v>1044</v>
      </c>
      <c r="AI180" s="423"/>
      <c r="AJ180" s="432"/>
      <c r="AK180" s="432"/>
      <c r="AL180" s="429"/>
      <c r="AM180" s="81"/>
      <c r="AN180" s="81"/>
      <c r="AO180" s="81"/>
      <c r="AP180" s="81"/>
      <c r="AQ180" s="81"/>
      <c r="AR180" s="81"/>
      <c r="AS180" s="81"/>
      <c r="AT180" s="81"/>
      <c r="AU180" s="81"/>
      <c r="AV180" s="81"/>
      <c r="AW180" s="81"/>
      <c r="AX180" s="81"/>
      <c r="AY180" s="81"/>
      <c r="AZ180" s="81"/>
      <c r="BA180" s="81"/>
      <c r="BB180" s="81"/>
      <c r="BC180" s="81"/>
      <c r="BD180" s="81"/>
      <c r="BE180" s="81"/>
      <c r="BF180" s="81"/>
    </row>
    <row r="181" ht="11.25" customHeight="1" spans="1:58">
      <c r="A181" s="297" t="s">
        <v>1004</v>
      </c>
      <c r="E181" s="53"/>
      <c r="F181" s="313"/>
      <c r="G181" s="314"/>
      <c r="H181" s="278" t="s">
        <v>1158</v>
      </c>
      <c r="I181" s="374"/>
      <c r="J181" s="375"/>
      <c r="K181" s="213"/>
      <c r="L181" s="140"/>
      <c r="M181" s="232"/>
      <c r="N181" s="367"/>
      <c r="O181" s="379">
        <v>1</v>
      </c>
      <c r="P181" s="369" t="s">
        <v>66</v>
      </c>
      <c r="Q181" s="375" t="s">
        <v>1154</v>
      </c>
      <c r="R181" s="387" t="s">
        <v>1046</v>
      </c>
      <c r="S181" s="387" t="s">
        <v>1047</v>
      </c>
      <c r="T181" s="387" t="s">
        <v>1047</v>
      </c>
      <c r="U181" s="387" t="s">
        <v>1048</v>
      </c>
      <c r="V181" s="387" t="s">
        <v>1049</v>
      </c>
      <c r="W181" s="387" t="s">
        <v>1050</v>
      </c>
      <c r="X181" s="387" t="s">
        <v>1146</v>
      </c>
      <c r="Y181" s="387" t="s">
        <v>1155</v>
      </c>
      <c r="Z181" s="380"/>
      <c r="AA181" s="381"/>
      <c r="AB181" s="381"/>
      <c r="AC181" s="413"/>
      <c r="AD181" s="413"/>
      <c r="AE181" s="424"/>
      <c r="AF181" s="423"/>
      <c r="AG181" s="432"/>
      <c r="AH181" s="432"/>
      <c r="AI181" s="423"/>
      <c r="AJ181" s="432"/>
      <c r="AK181" s="432"/>
      <c r="AL181" s="429"/>
      <c r="AM181" s="81"/>
      <c r="AN181" s="81"/>
      <c r="AO181" s="81"/>
      <c r="AP181" s="81"/>
      <c r="AQ181" s="81"/>
      <c r="AR181" s="81"/>
      <c r="AS181" s="81"/>
      <c r="AT181" s="81"/>
      <c r="AU181" s="81"/>
      <c r="AV181" s="81"/>
      <c r="AW181" s="81"/>
      <c r="AX181" s="81"/>
      <c r="AY181" s="81"/>
      <c r="AZ181" s="81"/>
      <c r="BA181" s="81"/>
      <c r="BB181" s="81"/>
      <c r="BC181" s="81"/>
      <c r="BD181" s="81"/>
      <c r="BE181" s="81"/>
      <c r="BF181" s="81"/>
    </row>
    <row r="182" ht="30.75" customHeight="1" spans="1:58">
      <c r="A182" s="297" t="s">
        <v>1004</v>
      </c>
      <c r="E182" s="53"/>
      <c r="F182" s="313"/>
      <c r="G182" s="314"/>
      <c r="H182" s="278" t="s">
        <v>1158</v>
      </c>
      <c r="I182" s="374"/>
      <c r="J182" s="375"/>
      <c r="K182" s="213"/>
      <c r="L182" s="140"/>
      <c r="M182" s="232"/>
      <c r="N182" s="367"/>
      <c r="O182" s="379"/>
      <c r="P182" s="371"/>
      <c r="Q182" s="375"/>
      <c r="R182" s="104"/>
      <c r="S182" s="387"/>
      <c r="T182" s="104"/>
      <c r="U182" s="104"/>
      <c r="V182" s="104"/>
      <c r="W182" s="104"/>
      <c r="X182" s="104"/>
      <c r="Y182" s="104"/>
      <c r="Z182" s="415"/>
      <c r="AA182" s="368">
        <v>1</v>
      </c>
      <c r="AB182" s="416" t="s">
        <v>1053</v>
      </c>
      <c r="AC182" s="417">
        <v>4366.96</v>
      </c>
      <c r="AD182" s="416" t="str">
        <f>AB182</f>
        <v>      Амортизационные отчисления с выделением результатов переоценки основных средств и нематериальных активов</v>
      </c>
      <c r="AE182" s="417"/>
      <c r="AF182" s="423"/>
      <c r="AG182" s="432"/>
      <c r="AH182" s="432"/>
      <c r="AI182" s="423"/>
      <c r="AJ182" s="432"/>
      <c r="AK182" s="432"/>
      <c r="AL182" s="429"/>
      <c r="AM182" s="81"/>
      <c r="AN182" s="81"/>
      <c r="AO182" s="81"/>
      <c r="AP182" s="81"/>
      <c r="AQ182" s="81"/>
      <c r="AR182" s="81"/>
      <c r="AS182" s="81"/>
      <c r="AT182" s="81"/>
      <c r="AU182" s="81"/>
      <c r="AV182" s="81"/>
      <c r="AW182" s="81"/>
      <c r="AX182" s="81"/>
      <c r="AY182" s="81"/>
      <c r="AZ182" s="81"/>
      <c r="BA182" s="81"/>
      <c r="BB182" s="81"/>
      <c r="BC182" s="81"/>
      <c r="BD182" s="81"/>
      <c r="BE182" s="81"/>
      <c r="BF182" s="81"/>
    </row>
    <row r="183" ht="11.25" customHeight="1" spans="1:58">
      <c r="A183" s="297" t="s">
        <v>1004</v>
      </c>
      <c r="E183" s="53"/>
      <c r="F183" s="313"/>
      <c r="G183" s="314"/>
      <c r="H183" s="278" t="s">
        <v>1158</v>
      </c>
      <c r="I183" s="374"/>
      <c r="J183" s="375"/>
      <c r="K183" s="213"/>
      <c r="L183" s="140"/>
      <c r="M183" s="232"/>
      <c r="N183" s="367"/>
      <c r="O183" s="379"/>
      <c r="P183" s="373"/>
      <c r="Q183" s="375"/>
      <c r="R183" s="104"/>
      <c r="S183" s="387"/>
      <c r="T183" s="104"/>
      <c r="U183" s="104"/>
      <c r="V183" s="104"/>
      <c r="W183" s="104"/>
      <c r="X183" s="104"/>
      <c r="Y183" s="104"/>
      <c r="Z183" s="380"/>
      <c r="AA183" s="381"/>
      <c r="AB183" s="227" t="s">
        <v>1054</v>
      </c>
      <c r="AC183" s="413"/>
      <c r="AD183" s="413"/>
      <c r="AE183" s="425"/>
      <c r="AF183" s="423"/>
      <c r="AG183" s="432"/>
      <c r="AH183" s="432"/>
      <c r="AI183" s="423"/>
      <c r="AJ183" s="432"/>
      <c r="AK183" s="432"/>
      <c r="AL183" s="429"/>
      <c r="AM183" s="81"/>
      <c r="AN183" s="81"/>
      <c r="AO183" s="81"/>
      <c r="AP183" s="81"/>
      <c r="AQ183" s="81"/>
      <c r="AR183" s="81"/>
      <c r="AS183" s="81"/>
      <c r="AT183" s="81"/>
      <c r="AU183" s="81"/>
      <c r="AV183" s="81"/>
      <c r="AW183" s="81"/>
      <c r="AX183" s="81"/>
      <c r="AY183" s="81"/>
      <c r="AZ183" s="81"/>
      <c r="BA183" s="81"/>
      <c r="BB183" s="81"/>
      <c r="BC183" s="81"/>
      <c r="BD183" s="81"/>
      <c r="BE183" s="81"/>
      <c r="BF183" s="81"/>
    </row>
    <row r="184" ht="11.25" customHeight="1" spans="1:58">
      <c r="A184" s="297" t="s">
        <v>1004</v>
      </c>
      <c r="E184" s="53"/>
      <c r="F184" s="313"/>
      <c r="G184" s="314"/>
      <c r="H184" s="278" t="s">
        <v>1158</v>
      </c>
      <c r="I184" s="374"/>
      <c r="J184" s="375"/>
      <c r="K184" s="213"/>
      <c r="L184" s="140"/>
      <c r="M184" s="232"/>
      <c r="N184" s="380"/>
      <c r="O184" s="381"/>
      <c r="P184" s="227" t="s">
        <v>1055</v>
      </c>
      <c r="Q184" s="381"/>
      <c r="R184" s="381"/>
      <c r="S184" s="381"/>
      <c r="T184" s="381"/>
      <c r="U184" s="381"/>
      <c r="V184" s="381"/>
      <c r="W184" s="381"/>
      <c r="X184" s="381"/>
      <c r="Y184" s="381"/>
      <c r="Z184" s="381"/>
      <c r="AA184" s="381"/>
      <c r="AB184" s="381"/>
      <c r="AC184" s="381"/>
      <c r="AD184" s="381"/>
      <c r="AE184" s="426"/>
      <c r="AF184" s="423"/>
      <c r="AG184" s="432"/>
      <c r="AH184" s="432"/>
      <c r="AI184" s="423"/>
      <c r="AJ184" s="432"/>
      <c r="AK184" s="432"/>
      <c r="AL184" s="429"/>
      <c r="AM184" s="81"/>
      <c r="AN184" s="81"/>
      <c r="AO184" s="81"/>
      <c r="AP184" s="81"/>
      <c r="AQ184" s="81"/>
      <c r="AR184" s="81"/>
      <c r="AS184" s="81"/>
      <c r="AT184" s="81"/>
      <c r="AU184" s="81"/>
      <c r="AV184" s="81"/>
      <c r="AW184" s="81"/>
      <c r="AX184" s="81"/>
      <c r="AY184" s="81"/>
      <c r="AZ184" s="81"/>
      <c r="BA184" s="81"/>
      <c r="BB184" s="81"/>
      <c r="BC184" s="81"/>
      <c r="BD184" s="81"/>
      <c r="BE184" s="81"/>
      <c r="BF184" s="81"/>
    </row>
    <row r="185" ht="11.25" customHeight="1" spans="1:58">
      <c r="A185" s="297" t="s">
        <v>1004</v>
      </c>
      <c r="B185" s="297" t="s">
        <v>1104</v>
      </c>
      <c r="E185" s="53"/>
      <c r="F185" s="313"/>
      <c r="G185" s="235" t="s">
        <v>683</v>
      </c>
      <c r="H185" s="278" t="s">
        <v>1161</v>
      </c>
      <c r="I185" s="374" t="s">
        <v>1106</v>
      </c>
      <c r="J185" s="375" t="s">
        <v>1107</v>
      </c>
      <c r="K185" s="213" t="s">
        <v>1162</v>
      </c>
      <c r="L185" s="140" t="s">
        <v>19</v>
      </c>
      <c r="M185" s="232"/>
      <c r="N185" s="376"/>
      <c r="O185" s="377" t="s">
        <v>372</v>
      </c>
      <c r="P185" s="378"/>
      <c r="Q185" s="378"/>
      <c r="R185" s="378"/>
      <c r="S185" s="378"/>
      <c r="T185" s="378"/>
      <c r="U185" s="378"/>
      <c r="V185" s="378"/>
      <c r="W185" s="378"/>
      <c r="X185" s="378"/>
      <c r="Y185" s="378"/>
      <c r="Z185" s="378"/>
      <c r="AA185" s="378"/>
      <c r="AB185" s="378"/>
      <c r="AC185" s="378"/>
      <c r="AD185" s="378"/>
      <c r="AE185" s="378"/>
      <c r="AF185" s="423">
        <v>2026</v>
      </c>
      <c r="AG185" s="432" t="s">
        <v>1043</v>
      </c>
      <c r="AH185" s="432" t="s">
        <v>1044</v>
      </c>
      <c r="AI185" s="423"/>
      <c r="AJ185" s="432"/>
      <c r="AK185" s="432"/>
      <c r="AL185" s="429"/>
      <c r="AM185" s="81"/>
      <c r="AN185" s="81"/>
      <c r="AO185" s="81"/>
      <c r="AP185" s="81"/>
      <c r="AQ185" s="81"/>
      <c r="AR185" s="81"/>
      <c r="AS185" s="81"/>
      <c r="AT185" s="81"/>
      <c r="AU185" s="81"/>
      <c r="AV185" s="81"/>
      <c r="AW185" s="81"/>
      <c r="AX185" s="81"/>
      <c r="AY185" s="81"/>
      <c r="AZ185" s="81"/>
      <c r="BA185" s="81"/>
      <c r="BB185" s="81"/>
      <c r="BC185" s="81"/>
      <c r="BD185" s="81"/>
      <c r="BE185" s="81"/>
      <c r="BF185" s="81"/>
    </row>
    <row r="186" ht="11.25" customHeight="1" spans="1:58">
      <c r="A186" s="297" t="s">
        <v>1004</v>
      </c>
      <c r="E186" s="53"/>
      <c r="F186" s="313"/>
      <c r="G186" s="314"/>
      <c r="H186" s="278" t="s">
        <v>1098</v>
      </c>
      <c r="I186" s="374"/>
      <c r="J186" s="375"/>
      <c r="K186" s="213"/>
      <c r="L186" s="140"/>
      <c r="M186" s="232"/>
      <c r="N186" s="367"/>
      <c r="O186" s="379">
        <v>1</v>
      </c>
      <c r="P186" s="369" t="s">
        <v>66</v>
      </c>
      <c r="Q186" s="375" t="s">
        <v>1154</v>
      </c>
      <c r="R186" s="387" t="s">
        <v>1046</v>
      </c>
      <c r="S186" s="387" t="s">
        <v>1047</v>
      </c>
      <c r="T186" s="387" t="s">
        <v>1047</v>
      </c>
      <c r="U186" s="387" t="s">
        <v>1048</v>
      </c>
      <c r="V186" s="387" t="s">
        <v>1049</v>
      </c>
      <c r="W186" s="387" t="s">
        <v>1050</v>
      </c>
      <c r="X186" s="387" t="s">
        <v>1146</v>
      </c>
      <c r="Y186" s="387" t="s">
        <v>1155</v>
      </c>
      <c r="Z186" s="380"/>
      <c r="AA186" s="381"/>
      <c r="AB186" s="381"/>
      <c r="AC186" s="413"/>
      <c r="AD186" s="413"/>
      <c r="AE186" s="424"/>
      <c r="AF186" s="423"/>
      <c r="AG186" s="432"/>
      <c r="AH186" s="432"/>
      <c r="AI186" s="423"/>
      <c r="AJ186" s="432"/>
      <c r="AK186" s="432"/>
      <c r="AL186" s="429"/>
      <c r="AM186" s="81"/>
      <c r="AN186" s="81"/>
      <c r="AO186" s="81"/>
      <c r="AP186" s="81"/>
      <c r="AQ186" s="81"/>
      <c r="AR186" s="81"/>
      <c r="AS186" s="81"/>
      <c r="AT186" s="81"/>
      <c r="AU186" s="81"/>
      <c r="AV186" s="81"/>
      <c r="AW186" s="81"/>
      <c r="AX186" s="81"/>
      <c r="AY186" s="81"/>
      <c r="AZ186" s="81"/>
      <c r="BA186" s="81"/>
      <c r="BB186" s="81"/>
      <c r="BC186" s="81"/>
      <c r="BD186" s="81"/>
      <c r="BE186" s="81"/>
      <c r="BF186" s="81"/>
    </row>
    <row r="187" ht="33" customHeight="1" spans="1:58">
      <c r="A187" s="297" t="s">
        <v>1004</v>
      </c>
      <c r="E187" s="53"/>
      <c r="F187" s="313"/>
      <c r="G187" s="314"/>
      <c r="H187" s="278" t="s">
        <v>1098</v>
      </c>
      <c r="I187" s="374"/>
      <c r="J187" s="375"/>
      <c r="K187" s="213"/>
      <c r="L187" s="140"/>
      <c r="M187" s="232"/>
      <c r="N187" s="367"/>
      <c r="O187" s="379"/>
      <c r="P187" s="371"/>
      <c r="Q187" s="375"/>
      <c r="R187" s="104"/>
      <c r="S187" s="387"/>
      <c r="T187" s="104"/>
      <c r="U187" s="104"/>
      <c r="V187" s="104"/>
      <c r="W187" s="104"/>
      <c r="X187" s="104"/>
      <c r="Y187" s="104"/>
      <c r="Z187" s="415"/>
      <c r="AA187" s="368">
        <v>1</v>
      </c>
      <c r="AB187" s="416" t="s">
        <v>1053</v>
      </c>
      <c r="AC187" s="417">
        <v>6118.65</v>
      </c>
      <c r="AD187" s="416" t="str">
        <f>AB187</f>
        <v>      Амортизационные отчисления с выделением результатов переоценки основных средств и нематериальных активов</v>
      </c>
      <c r="AE187" s="417"/>
      <c r="AF187" s="423"/>
      <c r="AG187" s="432"/>
      <c r="AH187" s="432"/>
      <c r="AI187" s="423"/>
      <c r="AJ187" s="432"/>
      <c r="AK187" s="432"/>
      <c r="AL187" s="429"/>
      <c r="AM187" s="81"/>
      <c r="AN187" s="81"/>
      <c r="AO187" s="81"/>
      <c r="AP187" s="81"/>
      <c r="AQ187" s="81"/>
      <c r="AR187" s="81"/>
      <c r="AS187" s="81"/>
      <c r="AT187" s="81"/>
      <c r="AU187" s="81"/>
      <c r="AV187" s="81"/>
      <c r="AW187" s="81"/>
      <c r="AX187" s="81"/>
      <c r="AY187" s="81"/>
      <c r="AZ187" s="81"/>
      <c r="BA187" s="81"/>
      <c r="BB187" s="81"/>
      <c r="BC187" s="81"/>
      <c r="BD187" s="81"/>
      <c r="BE187" s="81"/>
      <c r="BF187" s="81"/>
    </row>
    <row r="188" ht="11.25" customHeight="1" spans="1:58">
      <c r="A188" s="297" t="s">
        <v>1004</v>
      </c>
      <c r="E188" s="53"/>
      <c r="F188" s="313"/>
      <c r="G188" s="314"/>
      <c r="H188" s="278" t="s">
        <v>1098</v>
      </c>
      <c r="I188" s="374"/>
      <c r="J188" s="375"/>
      <c r="K188" s="213"/>
      <c r="L188" s="140"/>
      <c r="M188" s="232"/>
      <c r="N188" s="367"/>
      <c r="O188" s="379"/>
      <c r="P188" s="373"/>
      <c r="Q188" s="375"/>
      <c r="R188" s="104"/>
      <c r="S188" s="387"/>
      <c r="T188" s="104"/>
      <c r="U188" s="104"/>
      <c r="V188" s="104"/>
      <c r="W188" s="104"/>
      <c r="X188" s="104"/>
      <c r="Y188" s="104"/>
      <c r="Z188" s="380"/>
      <c r="AA188" s="381"/>
      <c r="AB188" s="227" t="s">
        <v>1054</v>
      </c>
      <c r="AC188" s="413"/>
      <c r="AD188" s="413"/>
      <c r="AE188" s="425"/>
      <c r="AF188" s="423"/>
      <c r="AG188" s="432"/>
      <c r="AH188" s="432"/>
      <c r="AI188" s="423"/>
      <c r="AJ188" s="432"/>
      <c r="AK188" s="432"/>
      <c r="AL188" s="429"/>
      <c r="AM188" s="81"/>
      <c r="AN188" s="81"/>
      <c r="AO188" s="81"/>
      <c r="AP188" s="81"/>
      <c r="AQ188" s="81"/>
      <c r="AR188" s="81"/>
      <c r="AS188" s="81"/>
      <c r="AT188" s="81"/>
      <c r="AU188" s="81"/>
      <c r="AV188" s="81"/>
      <c r="AW188" s="81"/>
      <c r="AX188" s="81"/>
      <c r="AY188" s="81"/>
      <c r="AZ188" s="81"/>
      <c r="BA188" s="81"/>
      <c r="BB188" s="81"/>
      <c r="BC188" s="81"/>
      <c r="BD188" s="81"/>
      <c r="BE188" s="81"/>
      <c r="BF188" s="81"/>
    </row>
    <row r="189" ht="11.25" customHeight="1" spans="1:58">
      <c r="A189" s="297" t="s">
        <v>1004</v>
      </c>
      <c r="E189" s="53"/>
      <c r="F189" s="313"/>
      <c r="G189" s="314"/>
      <c r="H189" s="278" t="s">
        <v>1098</v>
      </c>
      <c r="I189" s="374"/>
      <c r="J189" s="375"/>
      <c r="K189" s="213"/>
      <c r="L189" s="140"/>
      <c r="M189" s="232"/>
      <c r="N189" s="380"/>
      <c r="O189" s="381"/>
      <c r="P189" s="227" t="s">
        <v>1055</v>
      </c>
      <c r="Q189" s="381"/>
      <c r="R189" s="381"/>
      <c r="S189" s="381"/>
      <c r="T189" s="381"/>
      <c r="U189" s="381"/>
      <c r="V189" s="381"/>
      <c r="W189" s="381"/>
      <c r="X189" s="381"/>
      <c r="Y189" s="381"/>
      <c r="Z189" s="381"/>
      <c r="AA189" s="381"/>
      <c r="AB189" s="381"/>
      <c r="AC189" s="381"/>
      <c r="AD189" s="381"/>
      <c r="AE189" s="426"/>
      <c r="AF189" s="423"/>
      <c r="AG189" s="432"/>
      <c r="AH189" s="432"/>
      <c r="AI189" s="423"/>
      <c r="AJ189" s="432"/>
      <c r="AK189" s="432"/>
      <c r="AL189" s="429"/>
      <c r="AM189" s="81"/>
      <c r="AN189" s="81"/>
      <c r="AO189" s="81"/>
      <c r="AP189" s="81"/>
      <c r="AQ189" s="81"/>
      <c r="AR189" s="81"/>
      <c r="AS189" s="81"/>
      <c r="AT189" s="81"/>
      <c r="AU189" s="81"/>
      <c r="AV189" s="81"/>
      <c r="AW189" s="81"/>
      <c r="AX189" s="81"/>
      <c r="AY189" s="81"/>
      <c r="AZ189" s="81"/>
      <c r="BA189" s="81"/>
      <c r="BB189" s="81"/>
      <c r="BC189" s="81"/>
      <c r="BD189" s="81"/>
      <c r="BE189" s="81"/>
      <c r="BF189" s="81"/>
    </row>
    <row r="190" ht="11.25" customHeight="1" spans="1:58">
      <c r="A190" s="297" t="s">
        <v>1004</v>
      </c>
      <c r="B190" s="297" t="s">
        <v>1104</v>
      </c>
      <c r="E190" s="53"/>
      <c r="F190" s="313"/>
      <c r="G190" s="235" t="s">
        <v>683</v>
      </c>
      <c r="H190" s="278" t="s">
        <v>1163</v>
      </c>
      <c r="I190" s="374" t="s">
        <v>1106</v>
      </c>
      <c r="J190" s="375" t="s">
        <v>1164</v>
      </c>
      <c r="K190" s="213" t="s">
        <v>1165</v>
      </c>
      <c r="L190" s="140" t="s">
        <v>19</v>
      </c>
      <c r="M190" s="232"/>
      <c r="N190" s="376"/>
      <c r="O190" s="377" t="s">
        <v>372</v>
      </c>
      <c r="P190" s="378"/>
      <c r="Q190" s="378"/>
      <c r="R190" s="378"/>
      <c r="S190" s="378"/>
      <c r="T190" s="378"/>
      <c r="U190" s="378"/>
      <c r="V190" s="378"/>
      <c r="W190" s="378"/>
      <c r="X190" s="378"/>
      <c r="Y190" s="378"/>
      <c r="Z190" s="378"/>
      <c r="AA190" s="378"/>
      <c r="AB190" s="378"/>
      <c r="AC190" s="378"/>
      <c r="AD190" s="378"/>
      <c r="AE190" s="378"/>
      <c r="AF190" s="423">
        <v>2026</v>
      </c>
      <c r="AG190" s="432" t="s">
        <v>1043</v>
      </c>
      <c r="AH190" s="432" t="s">
        <v>1044</v>
      </c>
      <c r="AI190" s="423"/>
      <c r="AJ190" s="432"/>
      <c r="AK190" s="432"/>
      <c r="AL190" s="429"/>
      <c r="AM190" s="81"/>
      <c r="AN190" s="81"/>
      <c r="AO190" s="81"/>
      <c r="AP190" s="81"/>
      <c r="AQ190" s="81"/>
      <c r="AR190" s="81"/>
      <c r="AS190" s="81"/>
      <c r="AT190" s="81"/>
      <c r="AU190" s="81"/>
      <c r="AV190" s="81"/>
      <c r="AW190" s="81"/>
      <c r="AX190" s="81"/>
      <c r="AY190" s="81"/>
      <c r="AZ190" s="81"/>
      <c r="BA190" s="81"/>
      <c r="BB190" s="81"/>
      <c r="BC190" s="81"/>
      <c r="BD190" s="81"/>
      <c r="BE190" s="81"/>
      <c r="BF190" s="81"/>
    </row>
    <row r="191" ht="11.25" customHeight="1" spans="1:58">
      <c r="A191" s="297" t="s">
        <v>1004</v>
      </c>
      <c r="E191" s="53"/>
      <c r="F191" s="313"/>
      <c r="G191" s="314"/>
      <c r="H191" s="278" t="s">
        <v>1161</v>
      </c>
      <c r="I191" s="374"/>
      <c r="J191" s="375"/>
      <c r="K191" s="213"/>
      <c r="L191" s="140"/>
      <c r="M191" s="232"/>
      <c r="N191" s="367"/>
      <c r="O191" s="379">
        <v>1</v>
      </c>
      <c r="P191" s="369" t="s">
        <v>66</v>
      </c>
      <c r="Q191" s="375" t="s">
        <v>1166</v>
      </c>
      <c r="R191" s="387" t="s">
        <v>1046</v>
      </c>
      <c r="S191" s="387" t="s">
        <v>1047</v>
      </c>
      <c r="T191" s="387" t="s">
        <v>1047</v>
      </c>
      <c r="U191" s="387" t="s">
        <v>1048</v>
      </c>
      <c r="V191" s="387" t="s">
        <v>1049</v>
      </c>
      <c r="W191" s="387" t="s">
        <v>1050</v>
      </c>
      <c r="X191" s="387" t="s">
        <v>1058</v>
      </c>
      <c r="Y191" s="387" t="s">
        <v>148</v>
      </c>
      <c r="Z191" s="380"/>
      <c r="AA191" s="381"/>
      <c r="AB191" s="381"/>
      <c r="AC191" s="413"/>
      <c r="AD191" s="413"/>
      <c r="AE191" s="424"/>
      <c r="AF191" s="423"/>
      <c r="AG191" s="432"/>
      <c r="AH191" s="432"/>
      <c r="AI191" s="423"/>
      <c r="AJ191" s="432"/>
      <c r="AK191" s="432"/>
      <c r="AL191" s="429"/>
      <c r="AM191" s="81"/>
      <c r="AN191" s="81"/>
      <c r="AO191" s="81"/>
      <c r="AP191" s="81"/>
      <c r="AQ191" s="81"/>
      <c r="AR191" s="81"/>
      <c r="AS191" s="81"/>
      <c r="AT191" s="81"/>
      <c r="AU191" s="81"/>
      <c r="AV191" s="81"/>
      <c r="AW191" s="81"/>
      <c r="AX191" s="81"/>
      <c r="AY191" s="81"/>
      <c r="AZ191" s="81"/>
      <c r="BA191" s="81"/>
      <c r="BB191" s="81"/>
      <c r="BC191" s="81"/>
      <c r="BD191" s="81"/>
      <c r="BE191" s="81"/>
      <c r="BF191" s="81"/>
    </row>
    <row r="192" ht="11.25" customHeight="1" spans="1:58">
      <c r="A192" s="297" t="s">
        <v>1004</v>
      </c>
      <c r="E192" s="53"/>
      <c r="F192" s="313"/>
      <c r="G192" s="314"/>
      <c r="H192" s="278" t="s">
        <v>1161</v>
      </c>
      <c r="I192" s="374"/>
      <c r="J192" s="375"/>
      <c r="K192" s="213"/>
      <c r="L192" s="140"/>
      <c r="M192" s="232"/>
      <c r="N192" s="367"/>
      <c r="O192" s="379"/>
      <c r="P192" s="371"/>
      <c r="Q192" s="375"/>
      <c r="R192" s="104"/>
      <c r="S192" s="387"/>
      <c r="T192" s="104"/>
      <c r="U192" s="104"/>
      <c r="V192" s="104"/>
      <c r="W192" s="104"/>
      <c r="X192" s="104"/>
      <c r="Y192" s="104"/>
      <c r="Z192" s="415"/>
      <c r="AA192" s="368">
        <v>1</v>
      </c>
      <c r="AB192" s="416" t="s">
        <v>1082</v>
      </c>
      <c r="AC192" s="417">
        <v>9692.69</v>
      </c>
      <c r="AD192" s="416" t="str">
        <f>AB192</f>
        <v>  Прибыль направляемая на инвестиции</v>
      </c>
      <c r="AE192" s="417"/>
      <c r="AF192" s="423"/>
      <c r="AG192" s="432"/>
      <c r="AH192" s="432"/>
      <c r="AI192" s="423"/>
      <c r="AJ192" s="432"/>
      <c r="AK192" s="432"/>
      <c r="AL192" s="429"/>
      <c r="AM192" s="81"/>
      <c r="AN192" s="81"/>
      <c r="AO192" s="81"/>
      <c r="AP192" s="81"/>
      <c r="AQ192" s="81"/>
      <c r="AR192" s="81"/>
      <c r="AS192" s="81"/>
      <c r="AT192" s="81"/>
      <c r="AU192" s="81"/>
      <c r="AV192" s="81"/>
      <c r="AW192" s="81"/>
      <c r="AX192" s="81"/>
      <c r="AY192" s="81"/>
      <c r="AZ192" s="81"/>
      <c r="BA192" s="81"/>
      <c r="BB192" s="81"/>
      <c r="BC192" s="81"/>
      <c r="BD192" s="81"/>
      <c r="BE192" s="81"/>
      <c r="BF192" s="81"/>
    </row>
    <row r="193" ht="11.25" customHeight="1" spans="1:58">
      <c r="A193" s="297" t="s">
        <v>1004</v>
      </c>
      <c r="E193" s="53"/>
      <c r="F193" s="313"/>
      <c r="G193" s="314"/>
      <c r="H193" s="278" t="s">
        <v>1161</v>
      </c>
      <c r="I193" s="374"/>
      <c r="J193" s="375"/>
      <c r="K193" s="213"/>
      <c r="L193" s="140"/>
      <c r="M193" s="232"/>
      <c r="N193" s="367"/>
      <c r="O193" s="379"/>
      <c r="P193" s="373"/>
      <c r="Q193" s="375"/>
      <c r="R193" s="104"/>
      <c r="S193" s="387"/>
      <c r="T193" s="104"/>
      <c r="U193" s="104"/>
      <c r="V193" s="104"/>
      <c r="W193" s="104"/>
      <c r="X193" s="104"/>
      <c r="Y193" s="104"/>
      <c r="Z193" s="380"/>
      <c r="AA193" s="381"/>
      <c r="AB193" s="227" t="s">
        <v>1054</v>
      </c>
      <c r="AC193" s="413"/>
      <c r="AD193" s="413"/>
      <c r="AE193" s="425"/>
      <c r="AF193" s="423"/>
      <c r="AG193" s="432"/>
      <c r="AH193" s="432"/>
      <c r="AI193" s="423"/>
      <c r="AJ193" s="432"/>
      <c r="AK193" s="432"/>
      <c r="AL193" s="429"/>
      <c r="AM193" s="81"/>
      <c r="AN193" s="81"/>
      <c r="AO193" s="81"/>
      <c r="AP193" s="81"/>
      <c r="AQ193" s="81"/>
      <c r="AR193" s="81"/>
      <c r="AS193" s="81"/>
      <c r="AT193" s="81"/>
      <c r="AU193" s="81"/>
      <c r="AV193" s="81"/>
      <c r="AW193" s="81"/>
      <c r="AX193" s="81"/>
      <c r="AY193" s="81"/>
      <c r="AZ193" s="81"/>
      <c r="BA193" s="81"/>
      <c r="BB193" s="81"/>
      <c r="BC193" s="81"/>
      <c r="BD193" s="81"/>
      <c r="BE193" s="81"/>
      <c r="BF193" s="81"/>
    </row>
    <row r="194" ht="11.25" customHeight="1" spans="1:58">
      <c r="A194" s="297" t="s">
        <v>1004</v>
      </c>
      <c r="E194" s="53"/>
      <c r="F194" s="313"/>
      <c r="G194" s="314"/>
      <c r="H194" s="278" t="s">
        <v>1161</v>
      </c>
      <c r="I194" s="374"/>
      <c r="J194" s="375"/>
      <c r="K194" s="213"/>
      <c r="L194" s="140"/>
      <c r="M194" s="232"/>
      <c r="N194" s="380"/>
      <c r="O194" s="381"/>
      <c r="P194" s="227" t="s">
        <v>1055</v>
      </c>
      <c r="Q194" s="381"/>
      <c r="R194" s="381"/>
      <c r="S194" s="381"/>
      <c r="T194" s="381"/>
      <c r="U194" s="381"/>
      <c r="V194" s="381"/>
      <c r="W194" s="381"/>
      <c r="X194" s="381"/>
      <c r="Y194" s="381"/>
      <c r="Z194" s="381"/>
      <c r="AA194" s="381"/>
      <c r="AB194" s="381"/>
      <c r="AC194" s="381"/>
      <c r="AD194" s="381"/>
      <c r="AE194" s="426"/>
      <c r="AF194" s="423"/>
      <c r="AG194" s="432"/>
      <c r="AH194" s="432"/>
      <c r="AI194" s="423"/>
      <c r="AJ194" s="432"/>
      <c r="AK194" s="432"/>
      <c r="AL194" s="429"/>
      <c r="AM194" s="81"/>
      <c r="AN194" s="81"/>
      <c r="AO194" s="81"/>
      <c r="AP194" s="81"/>
      <c r="AQ194" s="81"/>
      <c r="AR194" s="81"/>
      <c r="AS194" s="81"/>
      <c r="AT194" s="81"/>
      <c r="AU194" s="81"/>
      <c r="AV194" s="81"/>
      <c r="AW194" s="81"/>
      <c r="AX194" s="81"/>
      <c r="AY194" s="81"/>
      <c r="AZ194" s="81"/>
      <c r="BA194" s="81"/>
      <c r="BB194" s="81"/>
      <c r="BC194" s="81"/>
      <c r="BD194" s="81"/>
      <c r="BE194" s="81"/>
      <c r="BF194" s="81"/>
    </row>
    <row r="195" ht="11.25" customHeight="1" spans="1:58">
      <c r="A195" s="297" t="s">
        <v>1004</v>
      </c>
      <c r="B195" s="297" t="s">
        <v>1104</v>
      </c>
      <c r="E195" s="53"/>
      <c r="F195" s="313"/>
      <c r="G195" s="235" t="s">
        <v>683</v>
      </c>
      <c r="H195" s="278" t="s">
        <v>1167</v>
      </c>
      <c r="I195" s="374" t="s">
        <v>1106</v>
      </c>
      <c r="J195" s="375" t="s">
        <v>1164</v>
      </c>
      <c r="K195" s="213" t="s">
        <v>1168</v>
      </c>
      <c r="L195" s="140" t="s">
        <v>19</v>
      </c>
      <c r="M195" s="232"/>
      <c r="N195" s="376"/>
      <c r="O195" s="377" t="s">
        <v>372</v>
      </c>
      <c r="P195" s="378"/>
      <c r="Q195" s="378"/>
      <c r="R195" s="378"/>
      <c r="S195" s="378"/>
      <c r="T195" s="378"/>
      <c r="U195" s="378"/>
      <c r="V195" s="378"/>
      <c r="W195" s="378"/>
      <c r="X195" s="378"/>
      <c r="Y195" s="378"/>
      <c r="Z195" s="378"/>
      <c r="AA195" s="378"/>
      <c r="AB195" s="378"/>
      <c r="AC195" s="378"/>
      <c r="AD195" s="378"/>
      <c r="AE195" s="378"/>
      <c r="AF195" s="423">
        <v>2026</v>
      </c>
      <c r="AG195" s="432" t="s">
        <v>1043</v>
      </c>
      <c r="AH195" s="432" t="s">
        <v>1044</v>
      </c>
      <c r="AI195" s="423"/>
      <c r="AJ195" s="432"/>
      <c r="AK195" s="432"/>
      <c r="AL195" s="429"/>
      <c r="AM195" s="81"/>
      <c r="AN195" s="81"/>
      <c r="AO195" s="81"/>
      <c r="AP195" s="81"/>
      <c r="AQ195" s="81"/>
      <c r="AR195" s="81"/>
      <c r="AS195" s="81"/>
      <c r="AT195" s="81"/>
      <c r="AU195" s="81"/>
      <c r="AV195" s="81"/>
      <c r="AW195" s="81"/>
      <c r="AX195" s="81"/>
      <c r="AY195" s="81"/>
      <c r="AZ195" s="81"/>
      <c r="BA195" s="81"/>
      <c r="BB195" s="81"/>
      <c r="BC195" s="81"/>
      <c r="BD195" s="81"/>
      <c r="BE195" s="81"/>
      <c r="BF195" s="81"/>
    </row>
    <row r="196" ht="11.25" customHeight="1" spans="1:58">
      <c r="A196" s="297" t="s">
        <v>1004</v>
      </c>
      <c r="E196" s="53"/>
      <c r="F196" s="313"/>
      <c r="G196" s="314"/>
      <c r="H196" s="278" t="s">
        <v>1163</v>
      </c>
      <c r="I196" s="374"/>
      <c r="J196" s="375"/>
      <c r="K196" s="213"/>
      <c r="L196" s="140"/>
      <c r="M196" s="232"/>
      <c r="N196" s="367"/>
      <c r="O196" s="379">
        <v>1</v>
      </c>
      <c r="P196" s="369" t="s">
        <v>66</v>
      </c>
      <c r="Q196" s="375" t="s">
        <v>1169</v>
      </c>
      <c r="R196" s="387" t="s">
        <v>1070</v>
      </c>
      <c r="S196" s="387" t="s">
        <v>1047</v>
      </c>
      <c r="T196" s="387" t="s">
        <v>1047</v>
      </c>
      <c r="U196" s="387" t="s">
        <v>1048</v>
      </c>
      <c r="V196" s="387" t="s">
        <v>1049</v>
      </c>
      <c r="W196" s="387" t="s">
        <v>1050</v>
      </c>
      <c r="X196" s="387" t="s">
        <v>1170</v>
      </c>
      <c r="Y196" s="387" t="s">
        <v>110</v>
      </c>
      <c r="Z196" s="380"/>
      <c r="AA196" s="381"/>
      <c r="AB196" s="381"/>
      <c r="AC196" s="413"/>
      <c r="AD196" s="413"/>
      <c r="AE196" s="424"/>
      <c r="AF196" s="423"/>
      <c r="AG196" s="432"/>
      <c r="AH196" s="432"/>
      <c r="AI196" s="423"/>
      <c r="AJ196" s="432"/>
      <c r="AK196" s="432"/>
      <c r="AL196" s="429"/>
      <c r="AM196" s="81"/>
      <c r="AN196" s="81"/>
      <c r="AO196" s="81"/>
      <c r="AP196" s="81"/>
      <c r="AQ196" s="81"/>
      <c r="AR196" s="81"/>
      <c r="AS196" s="81"/>
      <c r="AT196" s="81"/>
      <c r="AU196" s="81"/>
      <c r="AV196" s="81"/>
      <c r="AW196" s="81"/>
      <c r="AX196" s="81"/>
      <c r="AY196" s="81"/>
      <c r="AZ196" s="81"/>
      <c r="BA196" s="81"/>
      <c r="BB196" s="81"/>
      <c r="BC196" s="81"/>
      <c r="BD196" s="81"/>
      <c r="BE196" s="81"/>
      <c r="BF196" s="81"/>
    </row>
    <row r="197" ht="11.25" customHeight="1" spans="1:58">
      <c r="A197" s="297" t="s">
        <v>1004</v>
      </c>
      <c r="E197" s="53"/>
      <c r="F197" s="313"/>
      <c r="G197" s="314"/>
      <c r="H197" s="278" t="s">
        <v>1163</v>
      </c>
      <c r="I197" s="374"/>
      <c r="J197" s="375"/>
      <c r="K197" s="213"/>
      <c r="L197" s="140"/>
      <c r="M197" s="232"/>
      <c r="N197" s="367"/>
      <c r="O197" s="379"/>
      <c r="P197" s="371"/>
      <c r="Q197" s="375"/>
      <c r="R197" s="104"/>
      <c r="S197" s="387"/>
      <c r="T197" s="104"/>
      <c r="U197" s="104"/>
      <c r="V197" s="104"/>
      <c r="W197" s="104"/>
      <c r="X197" s="104"/>
      <c r="Y197" s="104"/>
      <c r="Z197" s="415"/>
      <c r="AA197" s="368">
        <v>1</v>
      </c>
      <c r="AB197" s="416" t="s">
        <v>1082</v>
      </c>
      <c r="AC197" s="417">
        <v>9970.37</v>
      </c>
      <c r="AD197" s="416" t="str">
        <f>AB197</f>
        <v>  Прибыль направляемая на инвестиции</v>
      </c>
      <c r="AE197" s="417"/>
      <c r="AF197" s="423"/>
      <c r="AG197" s="432"/>
      <c r="AH197" s="432"/>
      <c r="AI197" s="423"/>
      <c r="AJ197" s="432"/>
      <c r="AK197" s="432"/>
      <c r="AL197" s="429"/>
      <c r="AM197" s="81"/>
      <c r="AN197" s="81"/>
      <c r="AO197" s="81"/>
      <c r="AP197" s="81"/>
      <c r="AQ197" s="81"/>
      <c r="AR197" s="81"/>
      <c r="AS197" s="81"/>
      <c r="AT197" s="81"/>
      <c r="AU197" s="81"/>
      <c r="AV197" s="81"/>
      <c r="AW197" s="81"/>
      <c r="AX197" s="81"/>
      <c r="AY197" s="81"/>
      <c r="AZ197" s="81"/>
      <c r="BA197" s="81"/>
      <c r="BB197" s="81"/>
      <c r="BC197" s="81"/>
      <c r="BD197" s="81"/>
      <c r="BE197" s="81"/>
      <c r="BF197" s="81"/>
    </row>
    <row r="198" ht="11.25" customHeight="1" spans="1:58">
      <c r="A198" s="297" t="s">
        <v>1004</v>
      </c>
      <c r="E198" s="53"/>
      <c r="F198" s="313"/>
      <c r="G198" s="314"/>
      <c r="H198" s="278" t="s">
        <v>1163</v>
      </c>
      <c r="I198" s="374"/>
      <c r="J198" s="375"/>
      <c r="K198" s="213"/>
      <c r="L198" s="140"/>
      <c r="M198" s="232"/>
      <c r="N198" s="367"/>
      <c r="O198" s="379"/>
      <c r="P198" s="373"/>
      <c r="Q198" s="375"/>
      <c r="R198" s="104"/>
      <c r="S198" s="387"/>
      <c r="T198" s="104"/>
      <c r="U198" s="104"/>
      <c r="V198" s="104"/>
      <c r="W198" s="104"/>
      <c r="X198" s="104"/>
      <c r="Y198" s="104"/>
      <c r="Z198" s="380"/>
      <c r="AA198" s="381"/>
      <c r="AB198" s="227" t="s">
        <v>1054</v>
      </c>
      <c r="AC198" s="413"/>
      <c r="AD198" s="413"/>
      <c r="AE198" s="425"/>
      <c r="AF198" s="423"/>
      <c r="AG198" s="432"/>
      <c r="AH198" s="432"/>
      <c r="AI198" s="423"/>
      <c r="AJ198" s="432"/>
      <c r="AK198" s="432"/>
      <c r="AL198" s="429"/>
      <c r="AM198" s="81"/>
      <c r="AN198" s="81"/>
      <c r="AO198" s="81"/>
      <c r="AP198" s="81"/>
      <c r="AQ198" s="81"/>
      <c r="AR198" s="81"/>
      <c r="AS198" s="81"/>
      <c r="AT198" s="81"/>
      <c r="AU198" s="81"/>
      <c r="AV198" s="81"/>
      <c r="AW198" s="81"/>
      <c r="AX198" s="81"/>
      <c r="AY198" s="81"/>
      <c r="AZ198" s="81"/>
      <c r="BA198" s="81"/>
      <c r="BB198" s="81"/>
      <c r="BC198" s="81"/>
      <c r="BD198" s="81"/>
      <c r="BE198" s="81"/>
      <c r="BF198" s="81"/>
    </row>
    <row r="199" ht="11.25" customHeight="1" spans="1:58">
      <c r="A199" s="297" t="s">
        <v>1004</v>
      </c>
      <c r="E199" s="53"/>
      <c r="F199" s="313"/>
      <c r="G199" s="314"/>
      <c r="H199" s="278" t="s">
        <v>1163</v>
      </c>
      <c r="I199" s="374"/>
      <c r="J199" s="375"/>
      <c r="K199" s="213"/>
      <c r="L199" s="140"/>
      <c r="M199" s="232"/>
      <c r="N199" s="380"/>
      <c r="O199" s="381"/>
      <c r="P199" s="227" t="s">
        <v>1055</v>
      </c>
      <c r="Q199" s="381"/>
      <c r="R199" s="381"/>
      <c r="S199" s="381"/>
      <c r="T199" s="381"/>
      <c r="U199" s="381"/>
      <c r="V199" s="381"/>
      <c r="W199" s="381"/>
      <c r="X199" s="381"/>
      <c r="Y199" s="381"/>
      <c r="Z199" s="381"/>
      <c r="AA199" s="381"/>
      <c r="AB199" s="381"/>
      <c r="AC199" s="381"/>
      <c r="AD199" s="381"/>
      <c r="AE199" s="426"/>
      <c r="AF199" s="423"/>
      <c r="AG199" s="432"/>
      <c r="AH199" s="432"/>
      <c r="AI199" s="423"/>
      <c r="AJ199" s="432"/>
      <c r="AK199" s="432"/>
      <c r="AL199" s="429"/>
      <c r="AM199" s="81"/>
      <c r="AN199" s="81"/>
      <c r="AO199" s="81"/>
      <c r="AP199" s="81"/>
      <c r="AQ199" s="81"/>
      <c r="AR199" s="81"/>
      <c r="AS199" s="81"/>
      <c r="AT199" s="81"/>
      <c r="AU199" s="81"/>
      <c r="AV199" s="81"/>
      <c r="AW199" s="81"/>
      <c r="AX199" s="81"/>
      <c r="AY199" s="81"/>
      <c r="AZ199" s="81"/>
      <c r="BA199" s="81"/>
      <c r="BB199" s="81"/>
      <c r="BC199" s="81"/>
      <c r="BD199" s="81"/>
      <c r="BE199" s="81"/>
      <c r="BF199" s="81"/>
    </row>
    <row r="200" ht="11.25" customHeight="1" spans="1:58">
      <c r="A200" s="297" t="s">
        <v>1004</v>
      </c>
      <c r="B200" s="297" t="s">
        <v>1104</v>
      </c>
      <c r="E200" s="53"/>
      <c r="F200" s="313"/>
      <c r="G200" s="235" t="s">
        <v>683</v>
      </c>
      <c r="H200" s="278" t="s">
        <v>1171</v>
      </c>
      <c r="I200" s="374" t="s">
        <v>1106</v>
      </c>
      <c r="J200" s="375" t="s">
        <v>1164</v>
      </c>
      <c r="K200" s="213" t="s">
        <v>1172</v>
      </c>
      <c r="L200" s="140" t="s">
        <v>19</v>
      </c>
      <c r="M200" s="232"/>
      <c r="N200" s="376"/>
      <c r="O200" s="377" t="s">
        <v>372</v>
      </c>
      <c r="P200" s="378"/>
      <c r="Q200" s="378"/>
      <c r="R200" s="378"/>
      <c r="S200" s="378"/>
      <c r="T200" s="378"/>
      <c r="U200" s="378"/>
      <c r="V200" s="378"/>
      <c r="W200" s="378"/>
      <c r="X200" s="378"/>
      <c r="Y200" s="378"/>
      <c r="Z200" s="378"/>
      <c r="AA200" s="378"/>
      <c r="AB200" s="378"/>
      <c r="AC200" s="378"/>
      <c r="AD200" s="378"/>
      <c r="AE200" s="378"/>
      <c r="AF200" s="423">
        <v>2026</v>
      </c>
      <c r="AG200" s="432" t="s">
        <v>1043</v>
      </c>
      <c r="AH200" s="432" t="s">
        <v>1044</v>
      </c>
      <c r="AI200" s="423"/>
      <c r="AJ200" s="432"/>
      <c r="AK200" s="432"/>
      <c r="AL200" s="429"/>
      <c r="AM200" s="81"/>
      <c r="AN200" s="81"/>
      <c r="AO200" s="81"/>
      <c r="AP200" s="81"/>
      <c r="AQ200" s="81"/>
      <c r="AR200" s="81"/>
      <c r="AS200" s="81"/>
      <c r="AT200" s="81"/>
      <c r="AU200" s="81"/>
      <c r="AV200" s="81"/>
      <c r="AW200" s="81"/>
      <c r="AX200" s="81"/>
      <c r="AY200" s="81"/>
      <c r="AZ200" s="81"/>
      <c r="BA200" s="81"/>
      <c r="BB200" s="81"/>
      <c r="BC200" s="81"/>
      <c r="BD200" s="81"/>
      <c r="BE200" s="81"/>
      <c r="BF200" s="81"/>
    </row>
    <row r="201" ht="11.25" customHeight="1" spans="1:58">
      <c r="A201" s="297" t="s">
        <v>1004</v>
      </c>
      <c r="E201" s="53"/>
      <c r="F201" s="313"/>
      <c r="G201" s="314"/>
      <c r="H201" s="278" t="s">
        <v>1167</v>
      </c>
      <c r="I201" s="374"/>
      <c r="J201" s="375"/>
      <c r="K201" s="213"/>
      <c r="L201" s="140"/>
      <c r="M201" s="232"/>
      <c r="N201" s="367"/>
      <c r="O201" s="379">
        <v>1</v>
      </c>
      <c r="P201" s="369" t="s">
        <v>66</v>
      </c>
      <c r="Q201" s="375" t="s">
        <v>1096</v>
      </c>
      <c r="R201" s="387" t="s">
        <v>1046</v>
      </c>
      <c r="S201" s="387" t="s">
        <v>1047</v>
      </c>
      <c r="T201" s="387" t="s">
        <v>1047</v>
      </c>
      <c r="U201" s="387" t="s">
        <v>1048</v>
      </c>
      <c r="V201" s="387" t="s">
        <v>1049</v>
      </c>
      <c r="W201" s="387" t="s">
        <v>1050</v>
      </c>
      <c r="X201" s="387" t="s">
        <v>1097</v>
      </c>
      <c r="Y201" s="387" t="s">
        <v>1098</v>
      </c>
      <c r="Z201" s="380"/>
      <c r="AA201" s="381"/>
      <c r="AB201" s="381"/>
      <c r="AC201" s="413"/>
      <c r="AD201" s="413"/>
      <c r="AE201" s="424"/>
      <c r="AF201" s="423"/>
      <c r="AG201" s="432"/>
      <c r="AH201" s="432"/>
      <c r="AI201" s="423"/>
      <c r="AJ201" s="432"/>
      <c r="AK201" s="432"/>
      <c r="AL201" s="429"/>
      <c r="AM201" s="81"/>
      <c r="AN201" s="81"/>
      <c r="AO201" s="81"/>
      <c r="AP201" s="81"/>
      <c r="AQ201" s="81"/>
      <c r="AR201" s="81"/>
      <c r="AS201" s="81"/>
      <c r="AT201" s="81"/>
      <c r="AU201" s="81"/>
      <c r="AV201" s="81"/>
      <c r="AW201" s="81"/>
      <c r="AX201" s="81"/>
      <c r="AY201" s="81"/>
      <c r="AZ201" s="81"/>
      <c r="BA201" s="81"/>
      <c r="BB201" s="81"/>
      <c r="BC201" s="81"/>
      <c r="BD201" s="81"/>
      <c r="BE201" s="81"/>
      <c r="BF201" s="81"/>
    </row>
    <row r="202" ht="11.25" customHeight="1" spans="1:58">
      <c r="A202" s="297" t="s">
        <v>1004</v>
      </c>
      <c r="E202" s="53"/>
      <c r="F202" s="313"/>
      <c r="G202" s="314"/>
      <c r="H202" s="278" t="s">
        <v>1167</v>
      </c>
      <c r="I202" s="374"/>
      <c r="J202" s="375"/>
      <c r="K202" s="213"/>
      <c r="L202" s="140"/>
      <c r="M202" s="232"/>
      <c r="N202" s="367"/>
      <c r="O202" s="379"/>
      <c r="P202" s="371"/>
      <c r="Q202" s="375"/>
      <c r="R202" s="104"/>
      <c r="S202" s="387"/>
      <c r="T202" s="104"/>
      <c r="U202" s="104"/>
      <c r="V202" s="104"/>
      <c r="W202" s="104"/>
      <c r="X202" s="104"/>
      <c r="Y202" s="104"/>
      <c r="Z202" s="415"/>
      <c r="AA202" s="368">
        <v>1</v>
      </c>
      <c r="AB202" s="416" t="s">
        <v>1082</v>
      </c>
      <c r="AC202" s="417">
        <v>31076.86</v>
      </c>
      <c r="AD202" s="416" t="str">
        <f>AB202</f>
        <v>  Прибыль направляемая на инвестиции</v>
      </c>
      <c r="AE202" s="417"/>
      <c r="AF202" s="423"/>
      <c r="AG202" s="432"/>
      <c r="AH202" s="432"/>
      <c r="AI202" s="423"/>
      <c r="AJ202" s="432"/>
      <c r="AK202" s="432"/>
      <c r="AL202" s="429"/>
      <c r="AM202" s="81"/>
      <c r="AN202" s="81"/>
      <c r="AO202" s="81"/>
      <c r="AP202" s="81"/>
      <c r="AQ202" s="81"/>
      <c r="AR202" s="81"/>
      <c r="AS202" s="81"/>
      <c r="AT202" s="81"/>
      <c r="AU202" s="81"/>
      <c r="AV202" s="81"/>
      <c r="AW202" s="81"/>
      <c r="AX202" s="81"/>
      <c r="AY202" s="81"/>
      <c r="AZ202" s="81"/>
      <c r="BA202" s="81"/>
      <c r="BB202" s="81"/>
      <c r="BC202" s="81"/>
      <c r="BD202" s="81"/>
      <c r="BE202" s="81"/>
      <c r="BF202" s="81"/>
    </row>
    <row r="203" ht="11.25" customHeight="1" spans="1:58">
      <c r="A203" s="297" t="s">
        <v>1004</v>
      </c>
      <c r="E203" s="53"/>
      <c r="F203" s="313"/>
      <c r="G203" s="314"/>
      <c r="H203" s="278" t="s">
        <v>1167</v>
      </c>
      <c r="I203" s="374"/>
      <c r="J203" s="375"/>
      <c r="K203" s="213"/>
      <c r="L203" s="140"/>
      <c r="M203" s="232"/>
      <c r="N203" s="367"/>
      <c r="O203" s="379"/>
      <c r="P203" s="373"/>
      <c r="Q203" s="375"/>
      <c r="R203" s="104"/>
      <c r="S203" s="387"/>
      <c r="T203" s="104"/>
      <c r="U203" s="104"/>
      <c r="V203" s="104"/>
      <c r="W203" s="104"/>
      <c r="X203" s="104"/>
      <c r="Y203" s="104"/>
      <c r="Z203" s="380"/>
      <c r="AA203" s="381"/>
      <c r="AB203" s="227" t="s">
        <v>1054</v>
      </c>
      <c r="AC203" s="413"/>
      <c r="AD203" s="413"/>
      <c r="AE203" s="425"/>
      <c r="AF203" s="423"/>
      <c r="AG203" s="432"/>
      <c r="AH203" s="432"/>
      <c r="AI203" s="423"/>
      <c r="AJ203" s="432"/>
      <c r="AK203" s="432"/>
      <c r="AL203" s="429"/>
      <c r="AM203" s="81"/>
      <c r="AN203" s="81"/>
      <c r="AO203" s="81"/>
      <c r="AP203" s="81"/>
      <c r="AQ203" s="81"/>
      <c r="AR203" s="81"/>
      <c r="AS203" s="81"/>
      <c r="AT203" s="81"/>
      <c r="AU203" s="81"/>
      <c r="AV203" s="81"/>
      <c r="AW203" s="81"/>
      <c r="AX203" s="81"/>
      <c r="AY203" s="81"/>
      <c r="AZ203" s="81"/>
      <c r="BA203" s="81"/>
      <c r="BB203" s="81"/>
      <c r="BC203" s="81"/>
      <c r="BD203" s="81"/>
      <c r="BE203" s="81"/>
      <c r="BF203" s="81"/>
    </row>
    <row r="204" ht="11.25" customHeight="1" spans="1:58">
      <c r="A204" s="297" t="s">
        <v>1004</v>
      </c>
      <c r="E204" s="53"/>
      <c r="F204" s="313"/>
      <c r="G204" s="314"/>
      <c r="H204" s="278" t="s">
        <v>1167</v>
      </c>
      <c r="I204" s="374"/>
      <c r="J204" s="375"/>
      <c r="K204" s="213"/>
      <c r="L204" s="140"/>
      <c r="M204" s="232"/>
      <c r="N204" s="380"/>
      <c r="O204" s="381"/>
      <c r="P204" s="227" t="s">
        <v>1055</v>
      </c>
      <c r="Q204" s="381"/>
      <c r="R204" s="381"/>
      <c r="S204" s="381"/>
      <c r="T204" s="381"/>
      <c r="U204" s="381"/>
      <c r="V204" s="381"/>
      <c r="W204" s="381"/>
      <c r="X204" s="381"/>
      <c r="Y204" s="381"/>
      <c r="Z204" s="381"/>
      <c r="AA204" s="381"/>
      <c r="AB204" s="381"/>
      <c r="AC204" s="381"/>
      <c r="AD204" s="381"/>
      <c r="AE204" s="426"/>
      <c r="AF204" s="423"/>
      <c r="AG204" s="432"/>
      <c r="AH204" s="432"/>
      <c r="AI204" s="423"/>
      <c r="AJ204" s="432"/>
      <c r="AK204" s="432"/>
      <c r="AL204" s="429"/>
      <c r="AM204" s="81"/>
      <c r="AN204" s="81"/>
      <c r="AO204" s="81"/>
      <c r="AP204" s="81"/>
      <c r="AQ204" s="81"/>
      <c r="AR204" s="81"/>
      <c r="AS204" s="81"/>
      <c r="AT204" s="81"/>
      <c r="AU204" s="81"/>
      <c r="AV204" s="81"/>
      <c r="AW204" s="81"/>
      <c r="AX204" s="81"/>
      <c r="AY204" s="81"/>
      <c r="AZ204" s="81"/>
      <c r="BA204" s="81"/>
      <c r="BB204" s="81"/>
      <c r="BC204" s="81"/>
      <c r="BD204" s="81"/>
      <c r="BE204" s="81"/>
      <c r="BF204" s="81"/>
    </row>
    <row r="205" ht="11.25" customHeight="1" spans="1:58">
      <c r="A205" s="297" t="s">
        <v>1004</v>
      </c>
      <c r="B205" s="297" t="s">
        <v>1104</v>
      </c>
      <c r="E205" s="53"/>
      <c r="F205" s="313"/>
      <c r="G205" s="235" t="s">
        <v>683</v>
      </c>
      <c r="H205" s="278" t="s">
        <v>1173</v>
      </c>
      <c r="I205" s="374" t="s">
        <v>1106</v>
      </c>
      <c r="J205" s="375" t="s">
        <v>1164</v>
      </c>
      <c r="K205" s="213" t="s">
        <v>1174</v>
      </c>
      <c r="L205" s="140" t="s">
        <v>19</v>
      </c>
      <c r="M205" s="232"/>
      <c r="N205" s="376"/>
      <c r="O205" s="377" t="s">
        <v>372</v>
      </c>
      <c r="P205" s="378"/>
      <c r="Q205" s="378"/>
      <c r="R205" s="378"/>
      <c r="S205" s="378"/>
      <c r="T205" s="378"/>
      <c r="U205" s="378"/>
      <c r="V205" s="378"/>
      <c r="W205" s="378"/>
      <c r="X205" s="378"/>
      <c r="Y205" s="378"/>
      <c r="Z205" s="378"/>
      <c r="AA205" s="378"/>
      <c r="AB205" s="378"/>
      <c r="AC205" s="378"/>
      <c r="AD205" s="378"/>
      <c r="AE205" s="378"/>
      <c r="AF205" s="423">
        <v>2026</v>
      </c>
      <c r="AG205" s="432" t="s">
        <v>1043</v>
      </c>
      <c r="AH205" s="432" t="s">
        <v>1044</v>
      </c>
      <c r="AI205" s="423"/>
      <c r="AJ205" s="432"/>
      <c r="AK205" s="432"/>
      <c r="AL205" s="429"/>
      <c r="AM205" s="81"/>
      <c r="AN205" s="81"/>
      <c r="AO205" s="81"/>
      <c r="AP205" s="81"/>
      <c r="AQ205" s="81"/>
      <c r="AR205" s="81"/>
      <c r="AS205" s="81"/>
      <c r="AT205" s="81"/>
      <c r="AU205" s="81"/>
      <c r="AV205" s="81"/>
      <c r="AW205" s="81"/>
      <c r="AX205" s="81"/>
      <c r="AY205" s="81"/>
      <c r="AZ205" s="81"/>
      <c r="BA205" s="81"/>
      <c r="BB205" s="81"/>
      <c r="BC205" s="81"/>
      <c r="BD205" s="81"/>
      <c r="BE205" s="81"/>
      <c r="BF205" s="81"/>
    </row>
    <row r="206" ht="11.25" customHeight="1" spans="1:58">
      <c r="A206" s="297" t="s">
        <v>1004</v>
      </c>
      <c r="E206" s="53"/>
      <c r="F206" s="313"/>
      <c r="G206" s="314"/>
      <c r="H206" s="278" t="s">
        <v>1171</v>
      </c>
      <c r="I206" s="374"/>
      <c r="J206" s="375"/>
      <c r="K206" s="213"/>
      <c r="L206" s="140"/>
      <c r="M206" s="232"/>
      <c r="N206" s="367"/>
      <c r="O206" s="379">
        <v>1</v>
      </c>
      <c r="P206" s="369" t="s">
        <v>66</v>
      </c>
      <c r="Q206" s="375" t="s">
        <v>1135</v>
      </c>
      <c r="R206" s="387" t="s">
        <v>1046</v>
      </c>
      <c r="S206" s="387" t="s">
        <v>1047</v>
      </c>
      <c r="T206" s="387" t="s">
        <v>1047</v>
      </c>
      <c r="U206" s="387" t="s">
        <v>1048</v>
      </c>
      <c r="V206" s="387" t="s">
        <v>1049</v>
      </c>
      <c r="W206" s="387" t="s">
        <v>1050</v>
      </c>
      <c r="X206" s="387" t="s">
        <v>1136</v>
      </c>
      <c r="Y206" s="387" t="s">
        <v>1137</v>
      </c>
      <c r="Z206" s="380"/>
      <c r="AA206" s="381"/>
      <c r="AB206" s="381"/>
      <c r="AC206" s="413"/>
      <c r="AD206" s="413"/>
      <c r="AE206" s="424"/>
      <c r="AF206" s="423"/>
      <c r="AG206" s="432"/>
      <c r="AH206" s="432"/>
      <c r="AI206" s="423"/>
      <c r="AJ206" s="432"/>
      <c r="AK206" s="432"/>
      <c r="AL206" s="429"/>
      <c r="AM206" s="81"/>
      <c r="AN206" s="81"/>
      <c r="AO206" s="81"/>
      <c r="AP206" s="81"/>
      <c r="AQ206" s="81"/>
      <c r="AR206" s="81"/>
      <c r="AS206" s="81"/>
      <c r="AT206" s="81"/>
      <c r="AU206" s="81"/>
      <c r="AV206" s="81"/>
      <c r="AW206" s="81"/>
      <c r="AX206" s="81"/>
      <c r="AY206" s="81"/>
      <c r="AZ206" s="81"/>
      <c r="BA206" s="81"/>
      <c r="BB206" s="81"/>
      <c r="BC206" s="81"/>
      <c r="BD206" s="81"/>
      <c r="BE206" s="81"/>
      <c r="BF206" s="81"/>
    </row>
    <row r="207" ht="11.25" customHeight="1" spans="1:58">
      <c r="A207" s="297" t="s">
        <v>1004</v>
      </c>
      <c r="E207" s="53"/>
      <c r="F207" s="313"/>
      <c r="G207" s="314"/>
      <c r="H207" s="278" t="s">
        <v>1171</v>
      </c>
      <c r="I207" s="374"/>
      <c r="J207" s="375"/>
      <c r="K207" s="213"/>
      <c r="L207" s="140"/>
      <c r="M207" s="232"/>
      <c r="N207" s="367"/>
      <c r="O207" s="379"/>
      <c r="P207" s="371"/>
      <c r="Q207" s="375"/>
      <c r="R207" s="104"/>
      <c r="S207" s="387"/>
      <c r="T207" s="104"/>
      <c r="U207" s="104"/>
      <c r="V207" s="104"/>
      <c r="W207" s="104"/>
      <c r="X207" s="104"/>
      <c r="Y207" s="104"/>
      <c r="Z207" s="415"/>
      <c r="AA207" s="368">
        <v>1</v>
      </c>
      <c r="AB207" s="416" t="s">
        <v>1082</v>
      </c>
      <c r="AC207" s="417">
        <v>23456.02</v>
      </c>
      <c r="AD207" s="416" t="str">
        <f>AB207</f>
        <v>  Прибыль направляемая на инвестиции</v>
      </c>
      <c r="AE207" s="417"/>
      <c r="AF207" s="423"/>
      <c r="AG207" s="432"/>
      <c r="AH207" s="432"/>
      <c r="AI207" s="423"/>
      <c r="AJ207" s="432"/>
      <c r="AK207" s="432"/>
      <c r="AL207" s="429"/>
      <c r="AM207" s="81"/>
      <c r="AN207" s="81"/>
      <c r="AO207" s="81"/>
      <c r="AP207" s="81"/>
      <c r="AQ207" s="81"/>
      <c r="AR207" s="81"/>
      <c r="AS207" s="81"/>
      <c r="AT207" s="81"/>
      <c r="AU207" s="81"/>
      <c r="AV207" s="81"/>
      <c r="AW207" s="81"/>
      <c r="AX207" s="81"/>
      <c r="AY207" s="81"/>
      <c r="AZ207" s="81"/>
      <c r="BA207" s="81"/>
      <c r="BB207" s="81"/>
      <c r="BC207" s="81"/>
      <c r="BD207" s="81"/>
      <c r="BE207" s="81"/>
      <c r="BF207" s="81"/>
    </row>
    <row r="208" ht="37.5" customHeight="1" spans="1:58">
      <c r="A208" s="297" t="s">
        <v>1004</v>
      </c>
      <c r="E208" s="53"/>
      <c r="F208" s="314"/>
      <c r="G208" s="314"/>
      <c r="H208" s="314"/>
      <c r="I208" s="314"/>
      <c r="J208" s="314"/>
      <c r="K208" s="314"/>
      <c r="L208" s="314"/>
      <c r="M208" s="314"/>
      <c r="N208" s="314"/>
      <c r="O208" s="314"/>
      <c r="P208" s="314"/>
      <c r="Q208" s="314"/>
      <c r="R208" s="314"/>
      <c r="S208" s="314"/>
      <c r="T208" s="314"/>
      <c r="U208" s="314"/>
      <c r="V208" s="314"/>
      <c r="W208" s="314"/>
      <c r="X208" s="314"/>
      <c r="Y208" s="314"/>
      <c r="Z208" s="235" t="s">
        <v>683</v>
      </c>
      <c r="AA208" s="379" t="s">
        <v>108</v>
      </c>
      <c r="AB208" s="416" t="s">
        <v>1053</v>
      </c>
      <c r="AC208" s="417">
        <v>756.36</v>
      </c>
      <c r="AD208" s="416" t="str">
        <f>AB208</f>
        <v>      Амортизационные отчисления с выделением результатов переоценки основных средств и нематериальных активов</v>
      </c>
      <c r="AE208" s="417"/>
      <c r="AF208" s="422"/>
      <c r="AG208" s="430"/>
      <c r="AH208" s="430"/>
      <c r="AI208" s="422"/>
      <c r="AJ208" s="430"/>
      <c r="AK208" s="431"/>
      <c r="AL208" s="429"/>
      <c r="AM208" s="81"/>
      <c r="AN208" s="81"/>
      <c r="AO208" s="81"/>
      <c r="AP208" s="81"/>
      <c r="AQ208" s="81"/>
      <c r="AR208" s="81"/>
      <c r="AS208" s="81"/>
      <c r="AT208" s="81"/>
      <c r="AU208" s="81"/>
      <c r="AV208" s="81"/>
      <c r="AW208" s="81"/>
      <c r="AX208" s="81"/>
      <c r="AY208" s="81"/>
      <c r="AZ208" s="81"/>
      <c r="BA208" s="81"/>
      <c r="BB208" s="81"/>
      <c r="BC208" s="81"/>
      <c r="BD208" s="81"/>
      <c r="BE208" s="81"/>
      <c r="BF208" s="81"/>
    </row>
    <row r="209" ht="11.25" customHeight="1" spans="1:58">
      <c r="A209" s="297" t="s">
        <v>1004</v>
      </c>
      <c r="E209" s="53"/>
      <c r="F209" s="313"/>
      <c r="G209" s="314"/>
      <c r="H209" s="278" t="s">
        <v>1171</v>
      </c>
      <c r="I209" s="374"/>
      <c r="J209" s="375"/>
      <c r="K209" s="213"/>
      <c r="L209" s="140"/>
      <c r="M209" s="232"/>
      <c r="N209" s="367"/>
      <c r="O209" s="379"/>
      <c r="P209" s="373"/>
      <c r="Q209" s="375"/>
      <c r="R209" s="104"/>
      <c r="S209" s="387"/>
      <c r="T209" s="104"/>
      <c r="U209" s="104"/>
      <c r="V209" s="104"/>
      <c r="W209" s="104"/>
      <c r="X209" s="104"/>
      <c r="Y209" s="104"/>
      <c r="Z209" s="380"/>
      <c r="AA209" s="381"/>
      <c r="AB209" s="227" t="s">
        <v>1054</v>
      </c>
      <c r="AC209" s="413"/>
      <c r="AD209" s="413"/>
      <c r="AE209" s="425"/>
      <c r="AF209" s="423"/>
      <c r="AG209" s="432"/>
      <c r="AH209" s="432"/>
      <c r="AI209" s="423"/>
      <c r="AJ209" s="432"/>
      <c r="AK209" s="432"/>
      <c r="AL209" s="429"/>
      <c r="AM209" s="81"/>
      <c r="AN209" s="81"/>
      <c r="AO209" s="81"/>
      <c r="AP209" s="81"/>
      <c r="AQ209" s="81"/>
      <c r="AR209" s="81"/>
      <c r="AS209" s="81"/>
      <c r="AT209" s="81"/>
      <c r="AU209" s="81"/>
      <c r="AV209" s="81"/>
      <c r="AW209" s="81"/>
      <c r="AX209" s="81"/>
      <c r="AY209" s="81"/>
      <c r="AZ209" s="81"/>
      <c r="BA209" s="81"/>
      <c r="BB209" s="81"/>
      <c r="BC209" s="81"/>
      <c r="BD209" s="81"/>
      <c r="BE209" s="81"/>
      <c r="BF209" s="81"/>
    </row>
    <row r="210" ht="11.25" customHeight="1" spans="1:58">
      <c r="A210" s="297" t="s">
        <v>1004</v>
      </c>
      <c r="E210" s="53"/>
      <c r="F210" s="313"/>
      <c r="G210" s="314"/>
      <c r="H210" s="278" t="s">
        <v>1171</v>
      </c>
      <c r="I210" s="374"/>
      <c r="J210" s="375"/>
      <c r="K210" s="213"/>
      <c r="L210" s="140"/>
      <c r="M210" s="232"/>
      <c r="N210" s="380"/>
      <c r="O210" s="381"/>
      <c r="P210" s="227" t="s">
        <v>1055</v>
      </c>
      <c r="Q210" s="381"/>
      <c r="R210" s="381"/>
      <c r="S210" s="381"/>
      <c r="T210" s="381"/>
      <c r="U210" s="381"/>
      <c r="V210" s="381"/>
      <c r="W210" s="381"/>
      <c r="X210" s="381"/>
      <c r="Y210" s="381"/>
      <c r="Z210" s="381"/>
      <c r="AA210" s="381"/>
      <c r="AB210" s="381"/>
      <c r="AC210" s="381"/>
      <c r="AD210" s="381"/>
      <c r="AE210" s="426"/>
      <c r="AF210" s="423"/>
      <c r="AG210" s="432"/>
      <c r="AH210" s="432"/>
      <c r="AI210" s="423"/>
      <c r="AJ210" s="432"/>
      <c r="AK210" s="432"/>
      <c r="AL210" s="429"/>
      <c r="AM210" s="81"/>
      <c r="AN210" s="81"/>
      <c r="AO210" s="81"/>
      <c r="AP210" s="81"/>
      <c r="AQ210" s="81"/>
      <c r="AR210" s="81"/>
      <c r="AS210" s="81"/>
      <c r="AT210" s="81"/>
      <c r="AU210" s="81"/>
      <c r="AV210" s="81"/>
      <c r="AW210" s="81"/>
      <c r="AX210" s="81"/>
      <c r="AY210" s="81"/>
      <c r="AZ210" s="81"/>
      <c r="BA210" s="81"/>
      <c r="BB210" s="81"/>
      <c r="BC210" s="81"/>
      <c r="BD210" s="81"/>
      <c r="BE210" s="81"/>
      <c r="BF210" s="81"/>
    </row>
    <row r="211" ht="9.75" customHeight="1" spans="1:58">
      <c r="A211" s="297" t="s">
        <v>1004</v>
      </c>
      <c r="B211" s="297" t="s">
        <v>1104</v>
      </c>
      <c r="E211" s="53"/>
      <c r="F211" s="313"/>
      <c r="G211" s="235" t="s">
        <v>683</v>
      </c>
      <c r="H211" s="278" t="s">
        <v>1175</v>
      </c>
      <c r="I211" s="374" t="s">
        <v>1106</v>
      </c>
      <c r="J211" s="375" t="s">
        <v>1164</v>
      </c>
      <c r="K211" s="213" t="s">
        <v>1176</v>
      </c>
      <c r="L211" s="140" t="s">
        <v>19</v>
      </c>
      <c r="M211" s="232"/>
      <c r="N211" s="376"/>
      <c r="O211" s="377" t="s">
        <v>372</v>
      </c>
      <c r="P211" s="378"/>
      <c r="Q211" s="378"/>
      <c r="R211" s="378"/>
      <c r="S211" s="378"/>
      <c r="T211" s="378"/>
      <c r="U211" s="378"/>
      <c r="V211" s="378"/>
      <c r="W211" s="378"/>
      <c r="X211" s="378"/>
      <c r="Y211" s="378"/>
      <c r="Z211" s="378"/>
      <c r="AA211" s="378"/>
      <c r="AB211" s="378"/>
      <c r="AC211" s="378"/>
      <c r="AD211" s="378"/>
      <c r="AE211" s="378"/>
      <c r="AF211" s="423">
        <v>2026</v>
      </c>
      <c r="AG211" s="432" t="s">
        <v>1043</v>
      </c>
      <c r="AH211" s="432" t="s">
        <v>1044</v>
      </c>
      <c r="AI211" s="423"/>
      <c r="AJ211" s="432"/>
      <c r="AK211" s="432"/>
      <c r="AL211" s="429"/>
      <c r="AM211" s="81"/>
      <c r="AN211" s="81"/>
      <c r="AO211" s="81"/>
      <c r="AP211" s="81"/>
      <c r="AQ211" s="81"/>
      <c r="AR211" s="81"/>
      <c r="AS211" s="81"/>
      <c r="AT211" s="81"/>
      <c r="AU211" s="81"/>
      <c r="AV211" s="81"/>
      <c r="AW211" s="81"/>
      <c r="AX211" s="81"/>
      <c r="AY211" s="81"/>
      <c r="AZ211" s="81"/>
      <c r="BA211" s="81"/>
      <c r="BB211" s="81"/>
      <c r="BC211" s="81"/>
      <c r="BD211" s="81"/>
      <c r="BE211" s="81"/>
      <c r="BF211" s="81"/>
    </row>
    <row r="212" ht="11.25" customHeight="1" spans="1:58">
      <c r="A212" s="297" t="s">
        <v>1004</v>
      </c>
      <c r="E212" s="53"/>
      <c r="F212" s="313"/>
      <c r="G212" s="314"/>
      <c r="H212" s="278" t="s">
        <v>1173</v>
      </c>
      <c r="I212" s="374"/>
      <c r="J212" s="375"/>
      <c r="K212" s="213"/>
      <c r="L212" s="140"/>
      <c r="M212" s="232"/>
      <c r="N212" s="367"/>
      <c r="O212" s="379">
        <v>1</v>
      </c>
      <c r="P212" s="369" t="s">
        <v>66</v>
      </c>
      <c r="Q212" s="375" t="s">
        <v>1177</v>
      </c>
      <c r="R212" s="387" t="s">
        <v>1046</v>
      </c>
      <c r="S212" s="387" t="s">
        <v>1047</v>
      </c>
      <c r="T212" s="387" t="s">
        <v>1047</v>
      </c>
      <c r="U212" s="387" t="s">
        <v>1048</v>
      </c>
      <c r="V212" s="387" t="s">
        <v>1049</v>
      </c>
      <c r="W212" s="387" t="s">
        <v>1050</v>
      </c>
      <c r="X212" s="387" t="s">
        <v>1178</v>
      </c>
      <c r="Y212" s="387" t="s">
        <v>1179</v>
      </c>
      <c r="Z212" s="380"/>
      <c r="AA212" s="381"/>
      <c r="AB212" s="381"/>
      <c r="AC212" s="413"/>
      <c r="AD212" s="413"/>
      <c r="AE212" s="424"/>
      <c r="AF212" s="423"/>
      <c r="AG212" s="432"/>
      <c r="AH212" s="432"/>
      <c r="AI212" s="423"/>
      <c r="AJ212" s="432"/>
      <c r="AK212" s="432"/>
      <c r="AL212" s="429"/>
      <c r="AM212" s="81"/>
      <c r="AN212" s="81"/>
      <c r="AO212" s="81"/>
      <c r="AP212" s="81"/>
      <c r="AQ212" s="81"/>
      <c r="AR212" s="81"/>
      <c r="AS212" s="81"/>
      <c r="AT212" s="81"/>
      <c r="AU212" s="81"/>
      <c r="AV212" s="81"/>
      <c r="AW212" s="81"/>
      <c r="AX212" s="81"/>
      <c r="AY212" s="81"/>
      <c r="AZ212" s="81"/>
      <c r="BA212" s="81"/>
      <c r="BB212" s="81"/>
      <c r="BC212" s="81"/>
      <c r="BD212" s="81"/>
      <c r="BE212" s="81"/>
      <c r="BF212" s="81"/>
    </row>
    <row r="213" ht="33" customHeight="1" spans="1:58">
      <c r="A213" s="297" t="s">
        <v>1004</v>
      </c>
      <c r="E213" s="53"/>
      <c r="F213" s="313"/>
      <c r="G213" s="314"/>
      <c r="H213" s="278" t="s">
        <v>1173</v>
      </c>
      <c r="I213" s="374"/>
      <c r="J213" s="375"/>
      <c r="K213" s="213"/>
      <c r="L213" s="140"/>
      <c r="M213" s="232"/>
      <c r="N213" s="367"/>
      <c r="O213" s="379"/>
      <c r="P213" s="371"/>
      <c r="Q213" s="375"/>
      <c r="R213" s="104"/>
      <c r="S213" s="387"/>
      <c r="T213" s="104"/>
      <c r="U213" s="104"/>
      <c r="V213" s="104"/>
      <c r="W213" s="104"/>
      <c r="X213" s="104"/>
      <c r="Y213" s="104"/>
      <c r="Z213" s="415"/>
      <c r="AA213" s="368">
        <v>1</v>
      </c>
      <c r="AB213" s="416" t="s">
        <v>1053</v>
      </c>
      <c r="AC213" s="417">
        <v>41205.01</v>
      </c>
      <c r="AD213" s="416" t="str">
        <f>AB213</f>
        <v>      Амортизационные отчисления с выделением результатов переоценки основных средств и нематериальных активов</v>
      </c>
      <c r="AE213" s="417"/>
      <c r="AF213" s="423"/>
      <c r="AG213" s="432"/>
      <c r="AH213" s="432"/>
      <c r="AI213" s="423"/>
      <c r="AJ213" s="432"/>
      <c r="AK213" s="432"/>
      <c r="AL213" s="429"/>
      <c r="AM213" s="81"/>
      <c r="AN213" s="81"/>
      <c r="AO213" s="81"/>
      <c r="AP213" s="81"/>
      <c r="AQ213" s="81"/>
      <c r="AR213" s="81"/>
      <c r="AS213" s="81"/>
      <c r="AT213" s="81"/>
      <c r="AU213" s="81"/>
      <c r="AV213" s="81"/>
      <c r="AW213" s="81"/>
      <c r="AX213" s="81"/>
      <c r="AY213" s="81"/>
      <c r="AZ213" s="81"/>
      <c r="BA213" s="81"/>
      <c r="BB213" s="81"/>
      <c r="BC213" s="81"/>
      <c r="BD213" s="81"/>
      <c r="BE213" s="81"/>
      <c r="BF213" s="81"/>
    </row>
    <row r="214" ht="11.25" customHeight="1" spans="1:58">
      <c r="A214" s="297" t="s">
        <v>1004</v>
      </c>
      <c r="E214" s="53"/>
      <c r="F214" s="313"/>
      <c r="G214" s="314"/>
      <c r="H214" s="278" t="s">
        <v>1173</v>
      </c>
      <c r="I214" s="374"/>
      <c r="J214" s="375"/>
      <c r="K214" s="213"/>
      <c r="L214" s="140"/>
      <c r="M214" s="232"/>
      <c r="N214" s="367"/>
      <c r="O214" s="379"/>
      <c r="P214" s="373"/>
      <c r="Q214" s="375"/>
      <c r="R214" s="104"/>
      <c r="S214" s="387"/>
      <c r="T214" s="104"/>
      <c r="U214" s="104"/>
      <c r="V214" s="104"/>
      <c r="W214" s="104"/>
      <c r="X214" s="104"/>
      <c r="Y214" s="104"/>
      <c r="Z214" s="380"/>
      <c r="AA214" s="381"/>
      <c r="AB214" s="227" t="s">
        <v>1054</v>
      </c>
      <c r="AC214" s="413"/>
      <c r="AD214" s="413"/>
      <c r="AE214" s="425"/>
      <c r="AF214" s="423"/>
      <c r="AG214" s="432"/>
      <c r="AH214" s="432"/>
      <c r="AI214" s="423"/>
      <c r="AJ214" s="432"/>
      <c r="AK214" s="432"/>
      <c r="AL214" s="429"/>
      <c r="AM214" s="81"/>
      <c r="AN214" s="81"/>
      <c r="AO214" s="81"/>
      <c r="AP214" s="81"/>
      <c r="AQ214" s="81"/>
      <c r="AR214" s="81"/>
      <c r="AS214" s="81"/>
      <c r="AT214" s="81"/>
      <c r="AU214" s="81"/>
      <c r="AV214" s="81"/>
      <c r="AW214" s="81"/>
      <c r="AX214" s="81"/>
      <c r="AY214" s="81"/>
      <c r="AZ214" s="81"/>
      <c r="BA214" s="81"/>
      <c r="BB214" s="81"/>
      <c r="BC214" s="81"/>
      <c r="BD214" s="81"/>
      <c r="BE214" s="81"/>
      <c r="BF214" s="81"/>
    </row>
    <row r="215" ht="11.25" customHeight="1" spans="1:58">
      <c r="A215" s="297" t="s">
        <v>1004</v>
      </c>
      <c r="E215" s="53"/>
      <c r="F215" s="313"/>
      <c r="G215" s="314"/>
      <c r="H215" s="278" t="s">
        <v>1173</v>
      </c>
      <c r="I215" s="374"/>
      <c r="J215" s="375"/>
      <c r="K215" s="213"/>
      <c r="L215" s="140"/>
      <c r="M215" s="232"/>
      <c r="N215" s="380"/>
      <c r="O215" s="381"/>
      <c r="P215" s="227" t="s">
        <v>1055</v>
      </c>
      <c r="Q215" s="381"/>
      <c r="R215" s="381"/>
      <c r="S215" s="381"/>
      <c r="T215" s="381"/>
      <c r="U215" s="381"/>
      <c r="V215" s="381"/>
      <c r="W215" s="381"/>
      <c r="X215" s="381"/>
      <c r="Y215" s="381"/>
      <c r="Z215" s="381"/>
      <c r="AA215" s="381"/>
      <c r="AB215" s="381"/>
      <c r="AC215" s="381"/>
      <c r="AD215" s="381"/>
      <c r="AE215" s="426"/>
      <c r="AF215" s="423"/>
      <c r="AG215" s="432"/>
      <c r="AH215" s="432"/>
      <c r="AI215" s="423"/>
      <c r="AJ215" s="432"/>
      <c r="AK215" s="432"/>
      <c r="AL215" s="429"/>
      <c r="AM215" s="81"/>
      <c r="AN215" s="81"/>
      <c r="AO215" s="81"/>
      <c r="AP215" s="81"/>
      <c r="AQ215" s="81"/>
      <c r="AR215" s="81"/>
      <c r="AS215" s="81"/>
      <c r="AT215" s="81"/>
      <c r="AU215" s="81"/>
      <c r="AV215" s="81"/>
      <c r="AW215" s="81"/>
      <c r="AX215" s="81"/>
      <c r="AY215" s="81"/>
      <c r="AZ215" s="81"/>
      <c r="BA215" s="81"/>
      <c r="BB215" s="81"/>
      <c r="BC215" s="81"/>
      <c r="BD215" s="81"/>
      <c r="BE215" s="81"/>
      <c r="BF215" s="81"/>
    </row>
    <row r="216" ht="11.25" customHeight="1" spans="1:58">
      <c r="A216" s="297" t="s">
        <v>1004</v>
      </c>
      <c r="B216" s="297" t="s">
        <v>1104</v>
      </c>
      <c r="E216" s="53"/>
      <c r="F216" s="313"/>
      <c r="G216" s="235" t="s">
        <v>683</v>
      </c>
      <c r="H216" s="278" t="s">
        <v>1180</v>
      </c>
      <c r="I216" s="374" t="s">
        <v>1106</v>
      </c>
      <c r="J216" s="375" t="s">
        <v>1164</v>
      </c>
      <c r="K216" s="213" t="s">
        <v>1181</v>
      </c>
      <c r="L216" s="140" t="s">
        <v>19</v>
      </c>
      <c r="M216" s="232"/>
      <c r="N216" s="376"/>
      <c r="O216" s="377" t="s">
        <v>372</v>
      </c>
      <c r="P216" s="378"/>
      <c r="Q216" s="378"/>
      <c r="R216" s="378"/>
      <c r="S216" s="378"/>
      <c r="T216" s="378"/>
      <c r="U216" s="378"/>
      <c r="V216" s="378"/>
      <c r="W216" s="378"/>
      <c r="X216" s="378"/>
      <c r="Y216" s="378"/>
      <c r="Z216" s="378"/>
      <c r="AA216" s="378"/>
      <c r="AB216" s="378"/>
      <c r="AC216" s="378"/>
      <c r="AD216" s="378"/>
      <c r="AE216" s="378"/>
      <c r="AF216" s="423">
        <v>2026</v>
      </c>
      <c r="AG216" s="432" t="s">
        <v>1043</v>
      </c>
      <c r="AH216" s="432" t="s">
        <v>1044</v>
      </c>
      <c r="AI216" s="423"/>
      <c r="AJ216" s="432"/>
      <c r="AK216" s="432"/>
      <c r="AL216" s="429"/>
      <c r="AM216" s="81"/>
      <c r="AN216" s="81"/>
      <c r="AO216" s="81"/>
      <c r="AP216" s="81"/>
      <c r="AQ216" s="81"/>
      <c r="AR216" s="81"/>
      <c r="AS216" s="81"/>
      <c r="AT216" s="81"/>
      <c r="AU216" s="81"/>
      <c r="AV216" s="81"/>
      <c r="AW216" s="81"/>
      <c r="AX216" s="81"/>
      <c r="AY216" s="81"/>
      <c r="AZ216" s="81"/>
      <c r="BA216" s="81"/>
      <c r="BB216" s="81"/>
      <c r="BC216" s="81"/>
      <c r="BD216" s="81"/>
      <c r="BE216" s="81"/>
      <c r="BF216" s="81"/>
    </row>
    <row r="217" ht="11.25" customHeight="1" spans="1:58">
      <c r="A217" s="297" t="s">
        <v>1004</v>
      </c>
      <c r="E217" s="53"/>
      <c r="F217" s="313"/>
      <c r="G217" s="314"/>
      <c r="H217" s="278" t="s">
        <v>1175</v>
      </c>
      <c r="I217" s="374"/>
      <c r="J217" s="375"/>
      <c r="K217" s="213"/>
      <c r="L217" s="140"/>
      <c r="M217" s="232"/>
      <c r="N217" s="367"/>
      <c r="O217" s="379">
        <v>1</v>
      </c>
      <c r="P217" s="369" t="s">
        <v>66</v>
      </c>
      <c r="Q217" s="375" t="s">
        <v>1182</v>
      </c>
      <c r="R217" s="387" t="s">
        <v>1046</v>
      </c>
      <c r="S217" s="387" t="s">
        <v>1047</v>
      </c>
      <c r="T217" s="387" t="s">
        <v>1047</v>
      </c>
      <c r="U217" s="387" t="s">
        <v>1048</v>
      </c>
      <c r="V217" s="387" t="s">
        <v>1049</v>
      </c>
      <c r="W217" s="387" t="s">
        <v>1050</v>
      </c>
      <c r="X217" s="387" t="s">
        <v>1183</v>
      </c>
      <c r="Y217" s="387" t="s">
        <v>1184</v>
      </c>
      <c r="Z217" s="380"/>
      <c r="AA217" s="381"/>
      <c r="AB217" s="381"/>
      <c r="AC217" s="413"/>
      <c r="AD217" s="413"/>
      <c r="AE217" s="424"/>
      <c r="AF217" s="423"/>
      <c r="AG217" s="432"/>
      <c r="AH217" s="432"/>
      <c r="AI217" s="423"/>
      <c r="AJ217" s="432"/>
      <c r="AK217" s="432"/>
      <c r="AL217" s="429"/>
      <c r="AM217" s="81"/>
      <c r="AN217" s="81"/>
      <c r="AO217" s="81"/>
      <c r="AP217" s="81"/>
      <c r="AQ217" s="81"/>
      <c r="AR217" s="81"/>
      <c r="AS217" s="81"/>
      <c r="AT217" s="81"/>
      <c r="AU217" s="81"/>
      <c r="AV217" s="81"/>
      <c r="AW217" s="81"/>
      <c r="AX217" s="81"/>
      <c r="AY217" s="81"/>
      <c r="AZ217" s="81"/>
      <c r="BA217" s="81"/>
      <c r="BB217" s="81"/>
      <c r="BC217" s="81"/>
      <c r="BD217" s="81"/>
      <c r="BE217" s="81"/>
      <c r="BF217" s="81"/>
    </row>
    <row r="218" ht="30.75" customHeight="1" spans="1:58">
      <c r="A218" s="297" t="s">
        <v>1004</v>
      </c>
      <c r="E218" s="53"/>
      <c r="F218" s="313"/>
      <c r="G218" s="314"/>
      <c r="H218" s="278" t="s">
        <v>1175</v>
      </c>
      <c r="I218" s="374"/>
      <c r="J218" s="375"/>
      <c r="K218" s="213"/>
      <c r="L218" s="140"/>
      <c r="M218" s="232"/>
      <c r="N218" s="367"/>
      <c r="O218" s="379"/>
      <c r="P218" s="371"/>
      <c r="Q218" s="375"/>
      <c r="R218" s="104"/>
      <c r="S218" s="387"/>
      <c r="T218" s="104"/>
      <c r="U218" s="104"/>
      <c r="V218" s="104"/>
      <c r="W218" s="104"/>
      <c r="X218" s="104"/>
      <c r="Y218" s="104"/>
      <c r="Z218" s="415"/>
      <c r="AA218" s="368">
        <v>1</v>
      </c>
      <c r="AB218" s="416" t="s">
        <v>1053</v>
      </c>
      <c r="AC218" s="417">
        <v>29204.7</v>
      </c>
      <c r="AD218" s="416" t="str">
        <f>AB218</f>
        <v>      Амортизационные отчисления с выделением результатов переоценки основных средств и нематериальных активов</v>
      </c>
      <c r="AE218" s="417"/>
      <c r="AF218" s="423"/>
      <c r="AG218" s="432"/>
      <c r="AH218" s="432"/>
      <c r="AI218" s="423"/>
      <c r="AJ218" s="432"/>
      <c r="AK218" s="432"/>
      <c r="AL218" s="429"/>
      <c r="AM218" s="81"/>
      <c r="AN218" s="81"/>
      <c r="AO218" s="81"/>
      <c r="AP218" s="81"/>
      <c r="AQ218" s="81"/>
      <c r="AR218" s="81"/>
      <c r="AS218" s="81"/>
      <c r="AT218" s="81"/>
      <c r="AU218" s="81"/>
      <c r="AV218" s="81"/>
      <c r="AW218" s="81"/>
      <c r="AX218" s="81"/>
      <c r="AY218" s="81"/>
      <c r="AZ218" s="81"/>
      <c r="BA218" s="81"/>
      <c r="BB218" s="81"/>
      <c r="BC218" s="81"/>
      <c r="BD218" s="81"/>
      <c r="BE218" s="81"/>
      <c r="BF218" s="81"/>
    </row>
    <row r="219" ht="11.25" customHeight="1" spans="1:58">
      <c r="A219" s="297" t="s">
        <v>1004</v>
      </c>
      <c r="E219" s="53"/>
      <c r="F219" s="313"/>
      <c r="G219" s="314"/>
      <c r="H219" s="278" t="s">
        <v>1175</v>
      </c>
      <c r="I219" s="374"/>
      <c r="J219" s="375"/>
      <c r="K219" s="213"/>
      <c r="L219" s="140"/>
      <c r="M219" s="232"/>
      <c r="N219" s="367"/>
      <c r="O219" s="379"/>
      <c r="P219" s="373"/>
      <c r="Q219" s="375"/>
      <c r="R219" s="104"/>
      <c r="S219" s="387"/>
      <c r="T219" s="104"/>
      <c r="U219" s="104"/>
      <c r="V219" s="104"/>
      <c r="W219" s="104"/>
      <c r="X219" s="104"/>
      <c r="Y219" s="104"/>
      <c r="Z219" s="380"/>
      <c r="AA219" s="381"/>
      <c r="AB219" s="227" t="s">
        <v>1054</v>
      </c>
      <c r="AC219" s="413"/>
      <c r="AD219" s="413"/>
      <c r="AE219" s="425"/>
      <c r="AF219" s="423"/>
      <c r="AG219" s="432"/>
      <c r="AH219" s="432"/>
      <c r="AI219" s="423"/>
      <c r="AJ219" s="432"/>
      <c r="AK219" s="432"/>
      <c r="AL219" s="429"/>
      <c r="AM219" s="81"/>
      <c r="AN219" s="81"/>
      <c r="AO219" s="81"/>
      <c r="AP219" s="81"/>
      <c r="AQ219" s="81"/>
      <c r="AR219" s="81"/>
      <c r="AS219" s="81"/>
      <c r="AT219" s="81"/>
      <c r="AU219" s="81"/>
      <c r="AV219" s="81"/>
      <c r="AW219" s="81"/>
      <c r="AX219" s="81"/>
      <c r="AY219" s="81"/>
      <c r="AZ219" s="81"/>
      <c r="BA219" s="81"/>
      <c r="BB219" s="81"/>
      <c r="BC219" s="81"/>
      <c r="BD219" s="81"/>
      <c r="BE219" s="81"/>
      <c r="BF219" s="81"/>
    </row>
    <row r="220" ht="11.25" customHeight="1" spans="1:58">
      <c r="A220" s="297" t="s">
        <v>1004</v>
      </c>
      <c r="E220" s="53"/>
      <c r="F220" s="313"/>
      <c r="G220" s="314"/>
      <c r="H220" s="278" t="s">
        <v>1175</v>
      </c>
      <c r="I220" s="374"/>
      <c r="J220" s="375"/>
      <c r="K220" s="213"/>
      <c r="L220" s="140"/>
      <c r="M220" s="232"/>
      <c r="N220" s="380"/>
      <c r="O220" s="381"/>
      <c r="P220" s="227" t="s">
        <v>1055</v>
      </c>
      <c r="Q220" s="381"/>
      <c r="R220" s="381"/>
      <c r="S220" s="381"/>
      <c r="T220" s="381"/>
      <c r="U220" s="381"/>
      <c r="V220" s="381"/>
      <c r="W220" s="381"/>
      <c r="X220" s="381"/>
      <c r="Y220" s="381"/>
      <c r="Z220" s="381"/>
      <c r="AA220" s="381"/>
      <c r="AB220" s="381"/>
      <c r="AC220" s="381"/>
      <c r="AD220" s="381"/>
      <c r="AE220" s="426"/>
      <c r="AF220" s="423"/>
      <c r="AG220" s="432"/>
      <c r="AH220" s="432"/>
      <c r="AI220" s="423"/>
      <c r="AJ220" s="432"/>
      <c r="AK220" s="432"/>
      <c r="AL220" s="429"/>
      <c r="AM220" s="81"/>
      <c r="AN220" s="81"/>
      <c r="AO220" s="81"/>
      <c r="AP220" s="81"/>
      <c r="AQ220" s="81"/>
      <c r="AR220" s="81"/>
      <c r="AS220" s="81"/>
      <c r="AT220" s="81"/>
      <c r="AU220" s="81"/>
      <c r="AV220" s="81"/>
      <c r="AW220" s="81"/>
      <c r="AX220" s="81"/>
      <c r="AY220" s="81"/>
      <c r="AZ220" s="81"/>
      <c r="BA220" s="81"/>
      <c r="BB220" s="81"/>
      <c r="BC220" s="81"/>
      <c r="BD220" s="81"/>
      <c r="BE220" s="81"/>
      <c r="BF220" s="81"/>
    </row>
    <row r="221" ht="11.25" customHeight="1" spans="1:58">
      <c r="A221" s="297" t="s">
        <v>1004</v>
      </c>
      <c r="B221" s="297" t="s">
        <v>1104</v>
      </c>
      <c r="E221" s="53"/>
      <c r="F221" s="313"/>
      <c r="G221" s="235" t="s">
        <v>683</v>
      </c>
      <c r="H221" s="278" t="s">
        <v>1067</v>
      </c>
      <c r="I221" s="374" t="s">
        <v>1106</v>
      </c>
      <c r="J221" s="375" t="s">
        <v>1164</v>
      </c>
      <c r="K221" s="213" t="s">
        <v>1185</v>
      </c>
      <c r="L221" s="140" t="s">
        <v>19</v>
      </c>
      <c r="M221" s="232"/>
      <c r="N221" s="376"/>
      <c r="O221" s="377" t="s">
        <v>372</v>
      </c>
      <c r="P221" s="378"/>
      <c r="Q221" s="378"/>
      <c r="R221" s="378"/>
      <c r="S221" s="378"/>
      <c r="T221" s="378"/>
      <c r="U221" s="378"/>
      <c r="V221" s="378"/>
      <c r="W221" s="378"/>
      <c r="X221" s="378"/>
      <c r="Y221" s="378"/>
      <c r="Z221" s="378"/>
      <c r="AA221" s="378"/>
      <c r="AB221" s="378"/>
      <c r="AC221" s="378"/>
      <c r="AD221" s="378"/>
      <c r="AE221" s="378"/>
      <c r="AF221" s="423">
        <v>2026</v>
      </c>
      <c r="AG221" s="432" t="s">
        <v>1043</v>
      </c>
      <c r="AH221" s="432" t="s">
        <v>1044</v>
      </c>
      <c r="AI221" s="423"/>
      <c r="AJ221" s="432"/>
      <c r="AK221" s="432"/>
      <c r="AL221" s="429"/>
      <c r="AM221" s="81"/>
      <c r="AN221" s="81"/>
      <c r="AO221" s="81"/>
      <c r="AP221" s="81"/>
      <c r="AQ221" s="81"/>
      <c r="AR221" s="81"/>
      <c r="AS221" s="81"/>
      <c r="AT221" s="81"/>
      <c r="AU221" s="81"/>
      <c r="AV221" s="81"/>
      <c r="AW221" s="81"/>
      <c r="AX221" s="81"/>
      <c r="AY221" s="81"/>
      <c r="AZ221" s="81"/>
      <c r="BA221" s="81"/>
      <c r="BB221" s="81"/>
      <c r="BC221" s="81"/>
      <c r="BD221" s="81"/>
      <c r="BE221" s="81"/>
      <c r="BF221" s="81"/>
    </row>
    <row r="222" ht="11.25" customHeight="1" spans="1:58">
      <c r="A222" s="297" t="s">
        <v>1004</v>
      </c>
      <c r="E222" s="53"/>
      <c r="F222" s="313"/>
      <c r="G222" s="314"/>
      <c r="H222" s="278" t="s">
        <v>1180</v>
      </c>
      <c r="I222" s="374"/>
      <c r="J222" s="375"/>
      <c r="K222" s="213"/>
      <c r="L222" s="140"/>
      <c r="M222" s="232"/>
      <c r="N222" s="367"/>
      <c r="O222" s="379">
        <v>1</v>
      </c>
      <c r="P222" s="369" t="s">
        <v>66</v>
      </c>
      <c r="Q222" s="375" t="s">
        <v>1186</v>
      </c>
      <c r="R222" s="387" t="s">
        <v>1046</v>
      </c>
      <c r="S222" s="387" t="s">
        <v>1047</v>
      </c>
      <c r="T222" s="387" t="s">
        <v>1047</v>
      </c>
      <c r="U222" s="387" t="s">
        <v>1048</v>
      </c>
      <c r="V222" s="387" t="s">
        <v>1049</v>
      </c>
      <c r="W222" s="387" t="s">
        <v>1050</v>
      </c>
      <c r="X222" s="387" t="s">
        <v>1187</v>
      </c>
      <c r="Y222" s="387" t="s">
        <v>1188</v>
      </c>
      <c r="Z222" s="380"/>
      <c r="AA222" s="381"/>
      <c r="AB222" s="381"/>
      <c r="AC222" s="413"/>
      <c r="AD222" s="413"/>
      <c r="AE222" s="424"/>
      <c r="AF222" s="423"/>
      <c r="AG222" s="432"/>
      <c r="AH222" s="432"/>
      <c r="AI222" s="423"/>
      <c r="AJ222" s="432"/>
      <c r="AK222" s="432"/>
      <c r="AL222" s="429"/>
      <c r="AM222" s="81"/>
      <c r="AN222" s="81"/>
      <c r="AO222" s="81"/>
      <c r="AP222" s="81"/>
      <c r="AQ222" s="81"/>
      <c r="AR222" s="81"/>
      <c r="AS222" s="81"/>
      <c r="AT222" s="81"/>
      <c r="AU222" s="81"/>
      <c r="AV222" s="81"/>
      <c r="AW222" s="81"/>
      <c r="AX222" s="81"/>
      <c r="AY222" s="81"/>
      <c r="AZ222" s="81"/>
      <c r="BA222" s="81"/>
      <c r="BB222" s="81"/>
      <c r="BC222" s="81"/>
      <c r="BD222" s="81"/>
      <c r="BE222" s="81"/>
      <c r="BF222" s="81"/>
    </row>
    <row r="223" ht="34.5" customHeight="1" spans="1:58">
      <c r="A223" s="297" t="s">
        <v>1004</v>
      </c>
      <c r="E223" s="53"/>
      <c r="F223" s="313"/>
      <c r="G223" s="314"/>
      <c r="H223" s="278" t="s">
        <v>1180</v>
      </c>
      <c r="I223" s="374"/>
      <c r="J223" s="375"/>
      <c r="K223" s="213"/>
      <c r="L223" s="140"/>
      <c r="M223" s="232"/>
      <c r="N223" s="367"/>
      <c r="O223" s="379"/>
      <c r="P223" s="371"/>
      <c r="Q223" s="375"/>
      <c r="R223" s="104"/>
      <c r="S223" s="387"/>
      <c r="T223" s="104"/>
      <c r="U223" s="104"/>
      <c r="V223" s="104"/>
      <c r="W223" s="104"/>
      <c r="X223" s="104"/>
      <c r="Y223" s="104"/>
      <c r="Z223" s="415"/>
      <c r="AA223" s="368">
        <v>1</v>
      </c>
      <c r="AB223" s="416" t="s">
        <v>1053</v>
      </c>
      <c r="AC223" s="417">
        <v>17825.86</v>
      </c>
      <c r="AD223" s="416" t="str">
        <f>AB223</f>
        <v>      Амортизационные отчисления с выделением результатов переоценки основных средств и нематериальных активов</v>
      </c>
      <c r="AE223" s="417"/>
      <c r="AF223" s="423"/>
      <c r="AG223" s="432"/>
      <c r="AH223" s="432"/>
      <c r="AI223" s="423"/>
      <c r="AJ223" s="432"/>
      <c r="AK223" s="432"/>
      <c r="AL223" s="429"/>
      <c r="AM223" s="81"/>
      <c r="AN223" s="81"/>
      <c r="AO223" s="81"/>
      <c r="AP223" s="81"/>
      <c r="AQ223" s="81"/>
      <c r="AR223" s="81"/>
      <c r="AS223" s="81"/>
      <c r="AT223" s="81"/>
      <c r="AU223" s="81"/>
      <c r="AV223" s="81"/>
      <c r="AW223" s="81"/>
      <c r="AX223" s="81"/>
      <c r="AY223" s="81"/>
      <c r="AZ223" s="81"/>
      <c r="BA223" s="81"/>
      <c r="BB223" s="81"/>
      <c r="BC223" s="81"/>
      <c r="BD223" s="81"/>
      <c r="BE223" s="81"/>
      <c r="BF223" s="81"/>
    </row>
    <row r="224" ht="11.25" customHeight="1" spans="1:58">
      <c r="A224" s="297" t="s">
        <v>1004</v>
      </c>
      <c r="E224" s="53"/>
      <c r="F224" s="313"/>
      <c r="G224" s="314"/>
      <c r="H224" s="278" t="s">
        <v>1180</v>
      </c>
      <c r="I224" s="374"/>
      <c r="J224" s="375"/>
      <c r="K224" s="213"/>
      <c r="L224" s="140"/>
      <c r="M224" s="232"/>
      <c r="N224" s="367"/>
      <c r="O224" s="379"/>
      <c r="P224" s="373"/>
      <c r="Q224" s="375"/>
      <c r="R224" s="104"/>
      <c r="S224" s="387"/>
      <c r="T224" s="104"/>
      <c r="U224" s="104"/>
      <c r="V224" s="104"/>
      <c r="W224" s="104"/>
      <c r="X224" s="104"/>
      <c r="Y224" s="104"/>
      <c r="Z224" s="380"/>
      <c r="AA224" s="381"/>
      <c r="AB224" s="227" t="s">
        <v>1054</v>
      </c>
      <c r="AC224" s="413"/>
      <c r="AD224" s="413"/>
      <c r="AE224" s="425"/>
      <c r="AF224" s="423"/>
      <c r="AG224" s="432"/>
      <c r="AH224" s="432"/>
      <c r="AI224" s="423"/>
      <c r="AJ224" s="432"/>
      <c r="AK224" s="432"/>
      <c r="AL224" s="429"/>
      <c r="AM224" s="81"/>
      <c r="AN224" s="81"/>
      <c r="AO224" s="81"/>
      <c r="AP224" s="81"/>
      <c r="AQ224" s="81"/>
      <c r="AR224" s="81"/>
      <c r="AS224" s="81"/>
      <c r="AT224" s="81"/>
      <c r="AU224" s="81"/>
      <c r="AV224" s="81"/>
      <c r="AW224" s="81"/>
      <c r="AX224" s="81"/>
      <c r="AY224" s="81"/>
      <c r="AZ224" s="81"/>
      <c r="BA224" s="81"/>
      <c r="BB224" s="81"/>
      <c r="BC224" s="81"/>
      <c r="BD224" s="81"/>
      <c r="BE224" s="81"/>
      <c r="BF224" s="81"/>
    </row>
    <row r="225" ht="11.25" customHeight="1" spans="1:58">
      <c r="A225" s="297" t="s">
        <v>1004</v>
      </c>
      <c r="E225" s="53"/>
      <c r="F225" s="313"/>
      <c r="G225" s="314"/>
      <c r="H225" s="278" t="s">
        <v>1180</v>
      </c>
      <c r="I225" s="374"/>
      <c r="J225" s="375"/>
      <c r="K225" s="213"/>
      <c r="L225" s="140"/>
      <c r="M225" s="232"/>
      <c r="N225" s="380"/>
      <c r="O225" s="381"/>
      <c r="P225" s="227" t="s">
        <v>1055</v>
      </c>
      <c r="Q225" s="381"/>
      <c r="R225" s="381"/>
      <c r="S225" s="381"/>
      <c r="T225" s="381"/>
      <c r="U225" s="381"/>
      <c r="V225" s="381"/>
      <c r="W225" s="381"/>
      <c r="X225" s="381"/>
      <c r="Y225" s="381"/>
      <c r="Z225" s="381"/>
      <c r="AA225" s="381"/>
      <c r="AB225" s="381"/>
      <c r="AC225" s="381"/>
      <c r="AD225" s="381"/>
      <c r="AE225" s="426"/>
      <c r="AF225" s="423"/>
      <c r="AG225" s="432"/>
      <c r="AH225" s="432"/>
      <c r="AI225" s="423"/>
      <c r="AJ225" s="432"/>
      <c r="AK225" s="432"/>
      <c r="AL225" s="429"/>
      <c r="AM225" s="81"/>
      <c r="AN225" s="81"/>
      <c r="AO225" s="81"/>
      <c r="AP225" s="81"/>
      <c r="AQ225" s="81"/>
      <c r="AR225" s="81"/>
      <c r="AS225" s="81"/>
      <c r="AT225" s="81"/>
      <c r="AU225" s="81"/>
      <c r="AV225" s="81"/>
      <c r="AW225" s="81"/>
      <c r="AX225" s="81"/>
      <c r="AY225" s="81"/>
      <c r="AZ225" s="81"/>
      <c r="BA225" s="81"/>
      <c r="BB225" s="81"/>
      <c r="BC225" s="81"/>
      <c r="BD225" s="81"/>
      <c r="BE225" s="81"/>
      <c r="BF225" s="81"/>
    </row>
    <row r="226" ht="12" customHeight="1" spans="1:58">
      <c r="A226" s="297" t="s">
        <v>1004</v>
      </c>
      <c r="E226" s="53"/>
      <c r="F226" s="311"/>
      <c r="G226" s="312"/>
      <c r="H226" s="312"/>
      <c r="I226" s="322" t="s">
        <v>1189</v>
      </c>
      <c r="J226" s="322"/>
      <c r="K226" s="322"/>
      <c r="L226" s="363"/>
      <c r="M226" s="363"/>
      <c r="N226" s="364"/>
      <c r="O226" s="364"/>
      <c r="P226" s="364"/>
      <c r="Q226" s="364"/>
      <c r="R226" s="364"/>
      <c r="S226" s="364"/>
      <c r="T226" s="364"/>
      <c r="U226" s="364"/>
      <c r="V226" s="364"/>
      <c r="W226" s="364"/>
      <c r="X226" s="364"/>
      <c r="Y226" s="364"/>
      <c r="Z226" s="364"/>
      <c r="AA226" s="364"/>
      <c r="AB226" s="364"/>
      <c r="AC226" s="364"/>
      <c r="AD226" s="364"/>
      <c r="AE226" s="364"/>
      <c r="AF226" s="364"/>
      <c r="AG226" s="363"/>
      <c r="AH226" s="363"/>
      <c r="AI226" s="364"/>
      <c r="AJ226" s="363"/>
      <c r="AK226" s="364"/>
      <c r="AL226" s="429"/>
      <c r="AM226" s="81"/>
      <c r="AN226" s="81"/>
      <c r="AO226" s="81"/>
      <c r="AP226" s="81"/>
      <c r="AQ226" s="81"/>
      <c r="AR226" s="81"/>
      <c r="AS226" s="81"/>
      <c r="AT226" s="81"/>
      <c r="AU226" s="81"/>
      <c r="AV226" s="81"/>
      <c r="AW226" s="81"/>
      <c r="AX226" s="81"/>
      <c r="AY226" s="81"/>
      <c r="AZ226" s="81"/>
      <c r="BA226" s="81"/>
      <c r="BB226" s="81"/>
      <c r="BC226" s="81"/>
      <c r="BD226" s="81"/>
      <c r="BE226" s="81"/>
      <c r="BF226" s="81"/>
    </row>
    <row r="227" ht="21" customHeight="1" spans="1:58">
      <c r="A227" s="307" t="s">
        <v>1008</v>
      </c>
      <c r="E227" s="53" t="s">
        <v>22</v>
      </c>
      <c r="F227" s="308" t="str">
        <f>INDEX(IP_MAIN_LIST_NAME_IP,MATCH(A227,IP_MAIN_LIST_IP_ID,0))&amp;" ("&amp;INDEX(IP_MAIN_START_DATE,MATCH(A227,IP_MAIN_LIST_IP_ID,0))&amp;"-"&amp;INDEX(IP_MAIN_END_DATE,MATCH(A227,IP_MAIN_LIST_IP_ID,0))&amp;")"</f>
        <v>Инвестиционная программа № 148 от 30.10.2025 АО "ТЕПЛОКОММУНЭНЕРГО"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Ростов-на-Дону на 2026 год (01.01.2026-31.12.2026)</v>
      </c>
      <c r="G227" s="309"/>
      <c r="H227" s="309"/>
      <c r="I227" s="348"/>
      <c r="J227" s="348"/>
      <c r="K227" s="349"/>
      <c r="L227" s="349"/>
      <c r="M227" s="349"/>
      <c r="N227" s="350"/>
      <c r="O227" s="350"/>
      <c r="P227" s="350"/>
      <c r="Q227" s="350"/>
      <c r="R227" s="350"/>
      <c r="S227" s="350"/>
      <c r="T227" s="350"/>
      <c r="U227" s="350"/>
      <c r="V227" s="350"/>
      <c r="W227" s="350"/>
      <c r="X227" s="350"/>
      <c r="Y227" s="350"/>
      <c r="Z227" s="350"/>
      <c r="AA227" s="350"/>
      <c r="AB227" s="350"/>
      <c r="AC227" s="350"/>
      <c r="AD227" s="350"/>
      <c r="AE227" s="403"/>
      <c r="AF227" s="349"/>
      <c r="AG227" s="349"/>
      <c r="AH227" s="349"/>
      <c r="AI227" s="349"/>
      <c r="AJ227" s="349"/>
      <c r="AK227" s="349"/>
      <c r="AL227" s="429"/>
      <c r="AM227" s="81"/>
      <c r="AN227" s="81"/>
      <c r="AO227" s="81"/>
      <c r="AP227" s="81"/>
      <c r="AQ227" s="81"/>
      <c r="AR227" s="81"/>
      <c r="AS227" s="81"/>
      <c r="AT227" s="81"/>
      <c r="AU227" s="81"/>
      <c r="AV227" s="81"/>
      <c r="AW227" s="81"/>
      <c r="AX227" s="81"/>
      <c r="AY227" s="81"/>
      <c r="AZ227" s="81"/>
      <c r="BA227" s="81"/>
      <c r="BB227" s="81"/>
      <c r="BC227" s="81"/>
      <c r="BD227" s="81"/>
      <c r="BE227" s="81"/>
      <c r="BF227" s="81"/>
    </row>
    <row r="228" ht="0.75" customHeight="1" spans="1:58">
      <c r="A228" s="297" t="s">
        <v>1008</v>
      </c>
      <c r="E228" s="53"/>
      <c r="F228" s="270">
        <v>2026</v>
      </c>
      <c r="G228" s="278"/>
      <c r="H228" s="310" t="s">
        <v>372</v>
      </c>
      <c r="I228" s="351"/>
      <c r="J228" s="220"/>
      <c r="K228" s="220"/>
      <c r="L228" s="352"/>
      <c r="M228" s="353"/>
      <c r="N228" s="354"/>
      <c r="O228" s="355"/>
      <c r="P228" s="354"/>
      <c r="Q228" s="354"/>
      <c r="R228" s="354"/>
      <c r="S228" s="354"/>
      <c r="T228" s="354"/>
      <c r="U228" s="354"/>
      <c r="V228" s="354"/>
      <c r="W228" s="354"/>
      <c r="X228" s="354"/>
      <c r="Y228" s="354"/>
      <c r="Z228" s="354"/>
      <c r="AA228" s="354"/>
      <c r="AB228" s="354"/>
      <c r="AC228" s="354"/>
      <c r="AD228" s="354"/>
      <c r="AE228" s="354"/>
      <c r="AF228" s="404"/>
      <c r="AG228" s="352"/>
      <c r="AH228" s="352"/>
      <c r="AI228" s="404"/>
      <c r="AJ228" s="352"/>
      <c r="AK228" s="352"/>
      <c r="AL228" s="429"/>
      <c r="AM228" s="81"/>
      <c r="AN228" s="81"/>
      <c r="AO228" s="81"/>
      <c r="AP228" s="81"/>
      <c r="AQ228" s="81"/>
      <c r="AR228" s="81"/>
      <c r="AS228" s="81"/>
      <c r="AT228" s="81"/>
      <c r="AU228" s="81"/>
      <c r="AV228" s="81"/>
      <c r="AW228" s="81"/>
      <c r="AX228" s="81"/>
      <c r="AY228" s="81"/>
      <c r="AZ228" s="81"/>
      <c r="BA228" s="81"/>
      <c r="BB228" s="81"/>
      <c r="BC228" s="81"/>
      <c r="BD228" s="81"/>
      <c r="BE228" s="81"/>
      <c r="BF228" s="81"/>
    </row>
    <row r="229" ht="0.75" customHeight="1" spans="1:58">
      <c r="A229" s="297" t="s">
        <v>1008</v>
      </c>
      <c r="E229" s="53"/>
      <c r="F229" s="270"/>
      <c r="G229" s="278"/>
      <c r="H229" s="310"/>
      <c r="I229" s="351"/>
      <c r="J229" s="220"/>
      <c r="K229" s="220"/>
      <c r="L229" s="352"/>
      <c r="M229" s="353"/>
      <c r="N229" s="356"/>
      <c r="O229" s="357"/>
      <c r="P229" s="358"/>
      <c r="Q229" s="220"/>
      <c r="R229" s="220"/>
      <c r="S229" s="220"/>
      <c r="T229" s="220"/>
      <c r="U229" s="220"/>
      <c r="V229" s="220"/>
      <c r="W229" s="220"/>
      <c r="X229" s="220"/>
      <c r="Y229" s="220"/>
      <c r="Z229" s="405"/>
      <c r="AA229" s="361"/>
      <c r="AB229" s="361"/>
      <c r="AC229" s="406"/>
      <c r="AD229" s="406"/>
      <c r="AE229" s="407"/>
      <c r="AF229" s="404"/>
      <c r="AG229" s="352"/>
      <c r="AH229" s="352"/>
      <c r="AI229" s="404"/>
      <c r="AJ229" s="352"/>
      <c r="AK229" s="352"/>
      <c r="AL229" s="429"/>
      <c r="AM229" s="81"/>
      <c r="AN229" s="81"/>
      <c r="AO229" s="81"/>
      <c r="AP229" s="81"/>
      <c r="AQ229" s="81"/>
      <c r="AR229" s="81"/>
      <c r="AS229" s="81"/>
      <c r="AT229" s="81"/>
      <c r="AU229" s="81"/>
      <c r="AV229" s="81"/>
      <c r="AW229" s="81"/>
      <c r="AX229" s="81"/>
      <c r="AY229" s="81"/>
      <c r="AZ229" s="81"/>
      <c r="BA229" s="81"/>
      <c r="BB229" s="81"/>
      <c r="BC229" s="81"/>
      <c r="BD229" s="81"/>
      <c r="BE229" s="81"/>
      <c r="BF229" s="81"/>
    </row>
    <row r="230" ht="0.75" customHeight="1" spans="1:58">
      <c r="A230" s="297" t="s">
        <v>1008</v>
      </c>
      <c r="E230" s="53"/>
      <c r="F230" s="270"/>
      <c r="G230" s="278"/>
      <c r="H230" s="310"/>
      <c r="I230" s="351"/>
      <c r="J230" s="220"/>
      <c r="K230" s="220"/>
      <c r="L230" s="352"/>
      <c r="M230" s="353"/>
      <c r="N230" s="356"/>
      <c r="O230" s="357"/>
      <c r="P230" s="359"/>
      <c r="Q230" s="220"/>
      <c r="R230" s="220"/>
      <c r="S230" s="220"/>
      <c r="T230" s="220"/>
      <c r="U230" s="220"/>
      <c r="V230" s="220"/>
      <c r="W230" s="220"/>
      <c r="X230" s="220"/>
      <c r="Y230" s="220"/>
      <c r="Z230" s="408"/>
      <c r="AA230" s="357"/>
      <c r="AB230" s="409"/>
      <c r="AC230" s="410"/>
      <c r="AD230" s="409"/>
      <c r="AE230" s="410"/>
      <c r="AF230" s="404"/>
      <c r="AG230" s="352"/>
      <c r="AH230" s="352"/>
      <c r="AI230" s="404"/>
      <c r="AJ230" s="352"/>
      <c r="AK230" s="352"/>
      <c r="AL230" s="429"/>
      <c r="AM230" s="81"/>
      <c r="AN230" s="81"/>
      <c r="AO230" s="81"/>
      <c r="AP230" s="81"/>
      <c r="AQ230" s="81"/>
      <c r="AR230" s="81"/>
      <c r="AS230" s="81"/>
      <c r="AT230" s="81"/>
      <c r="AU230" s="81"/>
      <c r="AV230" s="81"/>
      <c r="AW230" s="81"/>
      <c r="AX230" s="81"/>
      <c r="AY230" s="81"/>
      <c r="AZ230" s="81"/>
      <c r="BA230" s="81"/>
      <c r="BB230" s="81"/>
      <c r="BC230" s="81"/>
      <c r="BD230" s="81"/>
      <c r="BE230" s="81"/>
      <c r="BF230" s="81"/>
    </row>
    <row r="231" ht="0.75" customHeight="1" spans="1:58">
      <c r="A231" s="297" t="s">
        <v>1008</v>
      </c>
      <c r="E231" s="53"/>
      <c r="F231" s="270"/>
      <c r="G231" s="278"/>
      <c r="H231" s="310"/>
      <c r="I231" s="351"/>
      <c r="J231" s="220"/>
      <c r="K231" s="220"/>
      <c r="L231" s="352"/>
      <c r="M231" s="353"/>
      <c r="N231" s="356"/>
      <c r="O231" s="357"/>
      <c r="P231" s="360"/>
      <c r="Q231" s="220"/>
      <c r="R231" s="220"/>
      <c r="S231" s="220"/>
      <c r="T231" s="220"/>
      <c r="U231" s="220"/>
      <c r="V231" s="220"/>
      <c r="W231" s="220"/>
      <c r="X231" s="220"/>
      <c r="Y231" s="220"/>
      <c r="Z231" s="405"/>
      <c r="AA231" s="361"/>
      <c r="AB231" s="362"/>
      <c r="AC231" s="406"/>
      <c r="AD231" s="406"/>
      <c r="AE231" s="411"/>
      <c r="AF231" s="404"/>
      <c r="AG231" s="352"/>
      <c r="AH231" s="352"/>
      <c r="AI231" s="404"/>
      <c r="AJ231" s="352"/>
      <c r="AK231" s="352"/>
      <c r="AL231" s="429"/>
      <c r="AM231" s="81"/>
      <c r="AN231" s="81"/>
      <c r="AO231" s="81"/>
      <c r="AP231" s="81"/>
      <c r="AQ231" s="81"/>
      <c r="AR231" s="81"/>
      <c r="AS231" s="81"/>
      <c r="AT231" s="81"/>
      <c r="AU231" s="81"/>
      <c r="AV231" s="81"/>
      <c r="AW231" s="81"/>
      <c r="AX231" s="81"/>
      <c r="AY231" s="81"/>
      <c r="AZ231" s="81"/>
      <c r="BA231" s="81"/>
      <c r="BB231" s="81"/>
      <c r="BC231" s="81"/>
      <c r="BD231" s="81"/>
      <c r="BE231" s="81"/>
      <c r="BF231" s="81"/>
    </row>
    <row r="232" ht="0.75" customHeight="1" spans="1:58">
      <c r="A232" s="297" t="s">
        <v>1008</v>
      </c>
      <c r="E232" s="53"/>
      <c r="F232" s="270"/>
      <c r="G232" s="278"/>
      <c r="H232" s="310"/>
      <c r="I232" s="351"/>
      <c r="J232" s="220"/>
      <c r="K232" s="220"/>
      <c r="L232" s="352"/>
      <c r="M232" s="353"/>
      <c r="N232" s="361"/>
      <c r="O232" s="361"/>
      <c r="P232" s="362"/>
      <c r="Q232" s="361"/>
      <c r="R232" s="361"/>
      <c r="S232" s="361"/>
      <c r="T232" s="361"/>
      <c r="U232" s="361"/>
      <c r="V232" s="361"/>
      <c r="W232" s="361"/>
      <c r="X232" s="361"/>
      <c r="Y232" s="361"/>
      <c r="Z232" s="361"/>
      <c r="AA232" s="361"/>
      <c r="AB232" s="361"/>
      <c r="AC232" s="361"/>
      <c r="AD232" s="361"/>
      <c r="AE232" s="412"/>
      <c r="AF232" s="404"/>
      <c r="AG232" s="352"/>
      <c r="AH232" s="352"/>
      <c r="AI232" s="404"/>
      <c r="AJ232" s="352"/>
      <c r="AK232" s="352"/>
      <c r="AL232" s="429"/>
      <c r="AM232" s="81"/>
      <c r="AN232" s="81"/>
      <c r="AO232" s="81"/>
      <c r="AP232" s="81"/>
      <c r="AQ232" s="81"/>
      <c r="AR232" s="81"/>
      <c r="AS232" s="81"/>
      <c r="AT232" s="81"/>
      <c r="AU232" s="81"/>
      <c r="AV232" s="81"/>
      <c r="AW232" s="81"/>
      <c r="AX232" s="81"/>
      <c r="AY232" s="81"/>
      <c r="AZ232" s="81"/>
      <c r="BA232" s="81"/>
      <c r="BB232" s="81"/>
      <c r="BC232" s="81"/>
      <c r="BD232" s="81"/>
      <c r="BE232" s="81"/>
      <c r="BF232" s="81"/>
    </row>
    <row r="233" ht="11.25" customHeight="1" spans="1:58">
      <c r="A233" s="297" t="s">
        <v>1008</v>
      </c>
      <c r="B233" s="297" t="s">
        <v>1104</v>
      </c>
      <c r="E233" s="53"/>
      <c r="F233" s="313"/>
      <c r="G233" s="235" t="s">
        <v>683</v>
      </c>
      <c r="H233" s="278" t="s">
        <v>107</v>
      </c>
      <c r="I233" s="374" t="s">
        <v>1106</v>
      </c>
      <c r="J233" s="375" t="s">
        <v>1107</v>
      </c>
      <c r="K233" s="213" t="s">
        <v>1190</v>
      </c>
      <c r="L233" s="140" t="s">
        <v>19</v>
      </c>
      <c r="M233" s="232"/>
      <c r="N233" s="376"/>
      <c r="O233" s="377" t="s">
        <v>372</v>
      </c>
      <c r="P233" s="378"/>
      <c r="Q233" s="378"/>
      <c r="R233" s="378"/>
      <c r="S233" s="378"/>
      <c r="T233" s="378"/>
      <c r="U233" s="378"/>
      <c r="V233" s="378"/>
      <c r="W233" s="378"/>
      <c r="X233" s="378"/>
      <c r="Y233" s="378"/>
      <c r="Z233" s="378"/>
      <c r="AA233" s="378"/>
      <c r="AB233" s="378"/>
      <c r="AC233" s="378"/>
      <c r="AD233" s="378"/>
      <c r="AE233" s="378"/>
      <c r="AF233" s="423">
        <v>2026</v>
      </c>
      <c r="AG233" s="432" t="s">
        <v>1043</v>
      </c>
      <c r="AH233" s="432" t="s">
        <v>1044</v>
      </c>
      <c r="AI233" s="423"/>
      <c r="AJ233" s="432"/>
      <c r="AK233" s="432"/>
      <c r="AL233" s="429"/>
      <c r="AM233" s="81"/>
      <c r="AN233" s="81"/>
      <c r="AO233" s="81"/>
      <c r="AP233" s="81"/>
      <c r="AQ233" s="81"/>
      <c r="AR233" s="81"/>
      <c r="AS233" s="81"/>
      <c r="AT233" s="81"/>
      <c r="AU233" s="81"/>
      <c r="AV233" s="81"/>
      <c r="AW233" s="81"/>
      <c r="AX233" s="81"/>
      <c r="AY233" s="81"/>
      <c r="AZ233" s="81"/>
      <c r="BA233" s="81"/>
      <c r="BB233" s="81"/>
      <c r="BC233" s="81"/>
      <c r="BD233" s="81"/>
      <c r="BE233" s="81"/>
      <c r="BF233" s="81"/>
    </row>
    <row r="234" ht="11.25" customHeight="1" spans="1:58">
      <c r="A234" s="297" t="s">
        <v>1008</v>
      </c>
      <c r="E234" s="53"/>
      <c r="F234" s="313"/>
      <c r="G234" s="314"/>
      <c r="H234" s="278" t="s">
        <v>372</v>
      </c>
      <c r="I234" s="374"/>
      <c r="J234" s="375"/>
      <c r="K234" s="213"/>
      <c r="L234" s="140"/>
      <c r="M234" s="232"/>
      <c r="N234" s="367"/>
      <c r="O234" s="379">
        <v>1</v>
      </c>
      <c r="P234" s="369" t="s">
        <v>19</v>
      </c>
      <c r="Q234" s="901" t="s">
        <v>22</v>
      </c>
      <c r="R234" s="901" t="s">
        <v>22</v>
      </c>
      <c r="S234" s="901" t="s">
        <v>22</v>
      </c>
      <c r="T234" s="901" t="s">
        <v>22</v>
      </c>
      <c r="U234" s="901" t="s">
        <v>22</v>
      </c>
      <c r="V234" s="901" t="s">
        <v>22</v>
      </c>
      <c r="W234" s="901" t="s">
        <v>22</v>
      </c>
      <c r="X234" s="901" t="s">
        <v>22</v>
      </c>
      <c r="Y234" s="901" t="s">
        <v>22</v>
      </c>
      <c r="Z234" s="380"/>
      <c r="AA234" s="381"/>
      <c r="AB234" s="381"/>
      <c r="AC234" s="413"/>
      <c r="AD234" s="413"/>
      <c r="AE234" s="424"/>
      <c r="AF234" s="423"/>
      <c r="AG234" s="432"/>
      <c r="AH234" s="432"/>
      <c r="AI234" s="423"/>
      <c r="AJ234" s="432"/>
      <c r="AK234" s="432"/>
      <c r="AL234" s="429"/>
      <c r="AM234" s="81"/>
      <c r="AN234" s="81"/>
      <c r="AO234" s="81"/>
      <c r="AP234" s="81"/>
      <c r="AQ234" s="81"/>
      <c r="AR234" s="81"/>
      <c r="AS234" s="81"/>
      <c r="AT234" s="81"/>
      <c r="AU234" s="81"/>
      <c r="AV234" s="81"/>
      <c r="AW234" s="81"/>
      <c r="AX234" s="81"/>
      <c r="AY234" s="81"/>
      <c r="AZ234" s="81"/>
      <c r="BA234" s="81"/>
      <c r="BB234" s="81"/>
      <c r="BC234" s="81"/>
      <c r="BD234" s="81"/>
      <c r="BE234" s="81"/>
      <c r="BF234" s="81"/>
    </row>
    <row r="235" ht="11.25" customHeight="1" spans="1:58">
      <c r="A235" s="297" t="s">
        <v>1008</v>
      </c>
      <c r="E235" s="53"/>
      <c r="F235" s="313"/>
      <c r="G235" s="314"/>
      <c r="H235" s="278" t="s">
        <v>372</v>
      </c>
      <c r="I235" s="374"/>
      <c r="J235" s="375"/>
      <c r="K235" s="213"/>
      <c r="L235" s="140"/>
      <c r="M235" s="232"/>
      <c r="N235" s="367"/>
      <c r="O235" s="379"/>
      <c r="P235" s="371"/>
      <c r="Q235" s="375"/>
      <c r="R235" s="104"/>
      <c r="S235" s="387"/>
      <c r="T235" s="104"/>
      <c r="U235" s="104"/>
      <c r="V235" s="104"/>
      <c r="W235" s="104"/>
      <c r="X235" s="104"/>
      <c r="Y235" s="104"/>
      <c r="Z235" s="415"/>
      <c r="AA235" s="368">
        <v>1</v>
      </c>
      <c r="AB235" s="416" t="s">
        <v>1082</v>
      </c>
      <c r="AC235" s="417">
        <v>1699.68</v>
      </c>
      <c r="AD235" s="416" t="str">
        <f>AB235</f>
        <v>  Прибыль направляемая на инвестиции</v>
      </c>
      <c r="AE235" s="417"/>
      <c r="AF235" s="423"/>
      <c r="AG235" s="432"/>
      <c r="AH235" s="432"/>
      <c r="AI235" s="423"/>
      <c r="AJ235" s="432"/>
      <c r="AK235" s="432"/>
      <c r="AL235" s="429"/>
      <c r="AM235" s="81"/>
      <c r="AN235" s="81"/>
      <c r="AO235" s="81"/>
      <c r="AP235" s="81"/>
      <c r="AQ235" s="81"/>
      <c r="AR235" s="81"/>
      <c r="AS235" s="81"/>
      <c r="AT235" s="81"/>
      <c r="AU235" s="81"/>
      <c r="AV235" s="81"/>
      <c r="AW235" s="81"/>
      <c r="AX235" s="81"/>
      <c r="AY235" s="81"/>
      <c r="AZ235" s="81"/>
      <c r="BA235" s="81"/>
      <c r="BB235" s="81"/>
      <c r="BC235" s="81"/>
      <c r="BD235" s="81"/>
      <c r="BE235" s="81"/>
      <c r="BF235" s="81"/>
    </row>
    <row r="236" ht="11.25" customHeight="1" spans="1:58">
      <c r="A236" s="297" t="s">
        <v>1008</v>
      </c>
      <c r="E236" s="53"/>
      <c r="F236" s="313"/>
      <c r="G236" s="314"/>
      <c r="H236" s="278" t="s">
        <v>372</v>
      </c>
      <c r="I236" s="374"/>
      <c r="J236" s="375"/>
      <c r="K236" s="213"/>
      <c r="L236" s="140"/>
      <c r="M236" s="232"/>
      <c r="N236" s="367"/>
      <c r="O236" s="379"/>
      <c r="P236" s="373"/>
      <c r="Q236" s="375"/>
      <c r="R236" s="104"/>
      <c r="S236" s="387"/>
      <c r="T236" s="104"/>
      <c r="U236" s="104"/>
      <c r="V236" s="104"/>
      <c r="W236" s="104"/>
      <c r="X236" s="104"/>
      <c r="Y236" s="104"/>
      <c r="Z236" s="380"/>
      <c r="AA236" s="381"/>
      <c r="AB236" s="227" t="s">
        <v>1054</v>
      </c>
      <c r="AC236" s="413"/>
      <c r="AD236" s="413"/>
      <c r="AE236" s="425"/>
      <c r="AF236" s="423"/>
      <c r="AG236" s="432"/>
      <c r="AH236" s="432"/>
      <c r="AI236" s="423"/>
      <c r="AJ236" s="432"/>
      <c r="AK236" s="432"/>
      <c r="AL236" s="429"/>
      <c r="AM236" s="81"/>
      <c r="AN236" s="81"/>
      <c r="AO236" s="81"/>
      <c r="AP236" s="81"/>
      <c r="AQ236" s="81"/>
      <c r="AR236" s="81"/>
      <c r="AS236" s="81"/>
      <c r="AT236" s="81"/>
      <c r="AU236" s="81"/>
      <c r="AV236" s="81"/>
      <c r="AW236" s="81"/>
      <c r="AX236" s="81"/>
      <c r="AY236" s="81"/>
      <c r="AZ236" s="81"/>
      <c r="BA236" s="81"/>
      <c r="BB236" s="81"/>
      <c r="BC236" s="81"/>
      <c r="BD236" s="81"/>
      <c r="BE236" s="81"/>
      <c r="BF236" s="81"/>
    </row>
    <row r="237" ht="11.25" customHeight="1" spans="1:58">
      <c r="A237" s="297" t="s">
        <v>1008</v>
      </c>
      <c r="E237" s="53"/>
      <c r="F237" s="313"/>
      <c r="G237" s="314"/>
      <c r="H237" s="278" t="s">
        <v>372</v>
      </c>
      <c r="I237" s="374"/>
      <c r="J237" s="375"/>
      <c r="K237" s="213"/>
      <c r="L237" s="140"/>
      <c r="M237" s="232"/>
      <c r="N237" s="380"/>
      <c r="O237" s="381"/>
      <c r="P237" s="227" t="s">
        <v>1055</v>
      </c>
      <c r="Q237" s="381"/>
      <c r="R237" s="381"/>
      <c r="S237" s="381"/>
      <c r="T237" s="381"/>
      <c r="U237" s="381"/>
      <c r="V237" s="381"/>
      <c r="W237" s="381"/>
      <c r="X237" s="381"/>
      <c r="Y237" s="381"/>
      <c r="Z237" s="381"/>
      <c r="AA237" s="381"/>
      <c r="AB237" s="381"/>
      <c r="AC237" s="381"/>
      <c r="AD237" s="381"/>
      <c r="AE237" s="426"/>
      <c r="AF237" s="423"/>
      <c r="AG237" s="432"/>
      <c r="AH237" s="432"/>
      <c r="AI237" s="423"/>
      <c r="AJ237" s="432"/>
      <c r="AK237" s="432"/>
      <c r="AL237" s="429"/>
      <c r="AM237" s="81"/>
      <c r="AN237" s="81"/>
      <c r="AO237" s="81"/>
      <c r="AP237" s="81"/>
      <c r="AQ237" s="81"/>
      <c r="AR237" s="81"/>
      <c r="AS237" s="81"/>
      <c r="AT237" s="81"/>
      <c r="AU237" s="81"/>
      <c r="AV237" s="81"/>
      <c r="AW237" s="81"/>
      <c r="AX237" s="81"/>
      <c r="AY237" s="81"/>
      <c r="AZ237" s="81"/>
      <c r="BA237" s="81"/>
      <c r="BB237" s="81"/>
      <c r="BC237" s="81"/>
      <c r="BD237" s="81"/>
      <c r="BE237" s="81"/>
      <c r="BF237" s="81"/>
    </row>
    <row r="238" ht="11.25" customHeight="1" spans="1:58">
      <c r="A238" s="297" t="s">
        <v>1008</v>
      </c>
      <c r="B238" s="297" t="s">
        <v>1104</v>
      </c>
      <c r="E238" s="53"/>
      <c r="F238" s="313"/>
      <c r="G238" s="235" t="s">
        <v>683</v>
      </c>
      <c r="H238" s="278" t="s">
        <v>108</v>
      </c>
      <c r="I238" s="374" t="s">
        <v>1106</v>
      </c>
      <c r="J238" s="375" t="s">
        <v>1107</v>
      </c>
      <c r="K238" s="213" t="s">
        <v>1191</v>
      </c>
      <c r="L238" s="140" t="s">
        <v>19</v>
      </c>
      <c r="M238" s="232"/>
      <c r="N238" s="376"/>
      <c r="O238" s="377" t="s">
        <v>372</v>
      </c>
      <c r="P238" s="378"/>
      <c r="Q238" s="378"/>
      <c r="R238" s="378"/>
      <c r="S238" s="378"/>
      <c r="T238" s="378"/>
      <c r="U238" s="378"/>
      <c r="V238" s="378"/>
      <c r="W238" s="378"/>
      <c r="X238" s="378"/>
      <c r="Y238" s="378"/>
      <c r="Z238" s="378"/>
      <c r="AA238" s="378"/>
      <c r="AB238" s="378"/>
      <c r="AC238" s="378"/>
      <c r="AD238" s="378"/>
      <c r="AE238" s="378"/>
      <c r="AF238" s="423">
        <v>2026</v>
      </c>
      <c r="AG238" s="432" t="s">
        <v>1043</v>
      </c>
      <c r="AH238" s="432" t="s">
        <v>1044</v>
      </c>
      <c r="AI238" s="423"/>
      <c r="AJ238" s="432"/>
      <c r="AK238" s="432"/>
      <c r="AL238" s="429"/>
      <c r="AM238" s="81"/>
      <c r="AN238" s="81"/>
      <c r="AO238" s="81"/>
      <c r="AP238" s="81"/>
      <c r="AQ238" s="81"/>
      <c r="AR238" s="81"/>
      <c r="AS238" s="81"/>
      <c r="AT238" s="81"/>
      <c r="AU238" s="81"/>
      <c r="AV238" s="81"/>
      <c r="AW238" s="81"/>
      <c r="AX238" s="81"/>
      <c r="AY238" s="81"/>
      <c r="AZ238" s="81"/>
      <c r="BA238" s="81"/>
      <c r="BB238" s="81"/>
      <c r="BC238" s="81"/>
      <c r="BD238" s="81"/>
      <c r="BE238" s="81"/>
      <c r="BF238" s="81"/>
    </row>
    <row r="239" ht="11.25" customHeight="1" spans="1:58">
      <c r="A239" s="297" t="s">
        <v>1008</v>
      </c>
      <c r="E239" s="53"/>
      <c r="F239" s="313"/>
      <c r="G239" s="314"/>
      <c r="H239" s="278" t="s">
        <v>107</v>
      </c>
      <c r="I239" s="374"/>
      <c r="J239" s="375"/>
      <c r="K239" s="213"/>
      <c r="L239" s="140"/>
      <c r="M239" s="232"/>
      <c r="N239" s="367"/>
      <c r="O239" s="379">
        <v>1</v>
      </c>
      <c r="P239" s="369" t="s">
        <v>19</v>
      </c>
      <c r="Q239" s="104" t="s">
        <v>22</v>
      </c>
      <c r="R239" s="104" t="s">
        <v>22</v>
      </c>
      <c r="S239" s="104" t="s">
        <v>22</v>
      </c>
      <c r="T239" s="104" t="s">
        <v>22</v>
      </c>
      <c r="U239" s="104" t="s">
        <v>22</v>
      </c>
      <c r="V239" s="104" t="s">
        <v>22</v>
      </c>
      <c r="W239" s="104" t="s">
        <v>22</v>
      </c>
      <c r="X239" s="104" t="s">
        <v>22</v>
      </c>
      <c r="Y239" s="104"/>
      <c r="Z239" s="380"/>
      <c r="AA239" s="381"/>
      <c r="AB239" s="381"/>
      <c r="AC239" s="413"/>
      <c r="AD239" s="413"/>
      <c r="AE239" s="424"/>
      <c r="AF239" s="423"/>
      <c r="AG239" s="432"/>
      <c r="AH239" s="432"/>
      <c r="AI239" s="423"/>
      <c r="AJ239" s="432"/>
      <c r="AK239" s="432"/>
      <c r="AL239" s="429"/>
      <c r="AM239" s="81"/>
      <c r="AN239" s="81"/>
      <c r="AO239" s="81"/>
      <c r="AP239" s="81"/>
      <c r="AQ239" s="81"/>
      <c r="AR239" s="81"/>
      <c r="AS239" s="81"/>
      <c r="AT239" s="81"/>
      <c r="AU239" s="81"/>
      <c r="AV239" s="81"/>
      <c r="AW239" s="81"/>
      <c r="AX239" s="81"/>
      <c r="AY239" s="81"/>
      <c r="AZ239" s="81"/>
      <c r="BA239" s="81"/>
      <c r="BB239" s="81"/>
      <c r="BC239" s="81"/>
      <c r="BD239" s="81"/>
      <c r="BE239" s="81"/>
      <c r="BF239" s="81"/>
    </row>
    <row r="240" ht="11.25" customHeight="1" spans="1:58">
      <c r="A240" s="297" t="s">
        <v>1008</v>
      </c>
      <c r="E240" s="53"/>
      <c r="F240" s="313"/>
      <c r="G240" s="314"/>
      <c r="H240" s="278" t="s">
        <v>107</v>
      </c>
      <c r="I240" s="374"/>
      <c r="J240" s="375"/>
      <c r="K240" s="213"/>
      <c r="L240" s="140"/>
      <c r="M240" s="232"/>
      <c r="N240" s="367"/>
      <c r="O240" s="379"/>
      <c r="P240" s="371"/>
      <c r="Q240" s="104"/>
      <c r="R240" s="104"/>
      <c r="S240" s="387"/>
      <c r="T240" s="104"/>
      <c r="U240" s="104"/>
      <c r="V240" s="104"/>
      <c r="W240" s="104"/>
      <c r="X240" s="104"/>
      <c r="Y240" s="104"/>
      <c r="Z240" s="415"/>
      <c r="AA240" s="368">
        <v>1</v>
      </c>
      <c r="AB240" s="416" t="s">
        <v>1082</v>
      </c>
      <c r="AC240" s="417">
        <v>2707.85</v>
      </c>
      <c r="AD240" s="416" t="str">
        <f>AB240</f>
        <v>  Прибыль направляемая на инвестиции</v>
      </c>
      <c r="AE240" s="417"/>
      <c r="AF240" s="423"/>
      <c r="AG240" s="432"/>
      <c r="AH240" s="432"/>
      <c r="AI240" s="423"/>
      <c r="AJ240" s="432"/>
      <c r="AK240" s="432"/>
      <c r="AL240" s="429"/>
      <c r="AM240" s="81"/>
      <c r="AN240" s="81"/>
      <c r="AO240" s="81"/>
      <c r="AP240" s="81"/>
      <c r="AQ240" s="81"/>
      <c r="AR240" s="81"/>
      <c r="AS240" s="81"/>
      <c r="AT240" s="81"/>
      <c r="AU240" s="81"/>
      <c r="AV240" s="81"/>
      <c r="AW240" s="81"/>
      <c r="AX240" s="81"/>
      <c r="AY240" s="81"/>
      <c r="AZ240" s="81"/>
      <c r="BA240" s="81"/>
      <c r="BB240" s="81"/>
      <c r="BC240" s="81"/>
      <c r="BD240" s="81"/>
      <c r="BE240" s="81"/>
      <c r="BF240" s="81"/>
    </row>
    <row r="241" ht="11.25" customHeight="1" spans="1:58">
      <c r="A241" s="297" t="s">
        <v>1008</v>
      </c>
      <c r="E241" s="53"/>
      <c r="F241" s="313"/>
      <c r="G241" s="314"/>
      <c r="H241" s="278" t="s">
        <v>107</v>
      </c>
      <c r="I241" s="374"/>
      <c r="J241" s="375"/>
      <c r="K241" s="213"/>
      <c r="L241" s="140"/>
      <c r="M241" s="232"/>
      <c r="N241" s="367"/>
      <c r="O241" s="379"/>
      <c r="P241" s="373"/>
      <c r="Q241" s="104"/>
      <c r="R241" s="104"/>
      <c r="S241" s="387"/>
      <c r="T241" s="104"/>
      <c r="U241" s="104"/>
      <c r="V241" s="104"/>
      <c r="W241" s="104"/>
      <c r="X241" s="104"/>
      <c r="Y241" s="104"/>
      <c r="Z241" s="380"/>
      <c r="AA241" s="381"/>
      <c r="AB241" s="227" t="s">
        <v>1054</v>
      </c>
      <c r="AC241" s="413"/>
      <c r="AD241" s="413"/>
      <c r="AE241" s="425"/>
      <c r="AF241" s="423"/>
      <c r="AG241" s="432"/>
      <c r="AH241" s="432"/>
      <c r="AI241" s="423"/>
      <c r="AJ241" s="432"/>
      <c r="AK241" s="432"/>
      <c r="AL241" s="429"/>
      <c r="AM241" s="81"/>
      <c r="AN241" s="81"/>
      <c r="AO241" s="81"/>
      <c r="AP241" s="81"/>
      <c r="AQ241" s="81"/>
      <c r="AR241" s="81"/>
      <c r="AS241" s="81"/>
      <c r="AT241" s="81"/>
      <c r="AU241" s="81"/>
      <c r="AV241" s="81"/>
      <c r="AW241" s="81"/>
      <c r="AX241" s="81"/>
      <c r="AY241" s="81"/>
      <c r="AZ241" s="81"/>
      <c r="BA241" s="81"/>
      <c r="BB241" s="81"/>
      <c r="BC241" s="81"/>
      <c r="BD241" s="81"/>
      <c r="BE241" s="81"/>
      <c r="BF241" s="81"/>
    </row>
    <row r="242" ht="11.25" customHeight="1" spans="1:58">
      <c r="A242" s="297" t="s">
        <v>1008</v>
      </c>
      <c r="E242" s="53"/>
      <c r="F242" s="313"/>
      <c r="G242" s="314"/>
      <c r="H242" s="278" t="s">
        <v>107</v>
      </c>
      <c r="I242" s="374"/>
      <c r="J242" s="375"/>
      <c r="K242" s="213"/>
      <c r="L242" s="140"/>
      <c r="M242" s="232"/>
      <c r="N242" s="380"/>
      <c r="O242" s="381"/>
      <c r="P242" s="227" t="s">
        <v>1055</v>
      </c>
      <c r="Q242" s="381"/>
      <c r="R242" s="381"/>
      <c r="S242" s="381"/>
      <c r="T242" s="381"/>
      <c r="U242" s="381"/>
      <c r="V242" s="381"/>
      <c r="W242" s="381"/>
      <c r="X242" s="381"/>
      <c r="Y242" s="381"/>
      <c r="Z242" s="381"/>
      <c r="AA242" s="381"/>
      <c r="AB242" s="381"/>
      <c r="AC242" s="381"/>
      <c r="AD242" s="381"/>
      <c r="AE242" s="426"/>
      <c r="AF242" s="423"/>
      <c r="AG242" s="432"/>
      <c r="AH242" s="432"/>
      <c r="AI242" s="423"/>
      <c r="AJ242" s="432"/>
      <c r="AK242" s="432"/>
      <c r="AL242" s="429"/>
      <c r="AM242" s="81"/>
      <c r="AN242" s="81"/>
      <c r="AO242" s="81"/>
      <c r="AP242" s="81"/>
      <c r="AQ242" s="81"/>
      <c r="AR242" s="81"/>
      <c r="AS242" s="81"/>
      <c r="AT242" s="81"/>
      <c r="AU242" s="81"/>
      <c r="AV242" s="81"/>
      <c r="AW242" s="81"/>
      <c r="AX242" s="81"/>
      <c r="AY242" s="81"/>
      <c r="AZ242" s="81"/>
      <c r="BA242" s="81"/>
      <c r="BB242" s="81"/>
      <c r="BC242" s="81"/>
      <c r="BD242" s="81"/>
      <c r="BE242" s="81"/>
      <c r="BF242" s="81"/>
    </row>
    <row r="243" ht="11.25" customHeight="1" spans="1:58">
      <c r="A243" s="297" t="s">
        <v>1008</v>
      </c>
      <c r="B243" s="297" t="s">
        <v>1104</v>
      </c>
      <c r="E243" s="53"/>
      <c r="F243" s="313"/>
      <c r="G243" s="235" t="s">
        <v>683</v>
      </c>
      <c r="H243" s="278" t="s">
        <v>91</v>
      </c>
      <c r="I243" s="374" t="s">
        <v>1106</v>
      </c>
      <c r="J243" s="375" t="s">
        <v>1107</v>
      </c>
      <c r="K243" s="213" t="s">
        <v>1192</v>
      </c>
      <c r="L243" s="140" t="s">
        <v>19</v>
      </c>
      <c r="M243" s="232"/>
      <c r="N243" s="376"/>
      <c r="O243" s="377" t="s">
        <v>372</v>
      </c>
      <c r="P243" s="378"/>
      <c r="Q243" s="378"/>
      <c r="R243" s="378"/>
      <c r="S243" s="378"/>
      <c r="T243" s="378"/>
      <c r="U243" s="378"/>
      <c r="V243" s="378"/>
      <c r="W243" s="378"/>
      <c r="X243" s="378"/>
      <c r="Y243" s="378"/>
      <c r="Z243" s="378"/>
      <c r="AA243" s="378"/>
      <c r="AB243" s="378"/>
      <c r="AC243" s="378"/>
      <c r="AD243" s="378"/>
      <c r="AE243" s="378"/>
      <c r="AF243" s="423">
        <v>2026</v>
      </c>
      <c r="AG243" s="432" t="s">
        <v>1043</v>
      </c>
      <c r="AH243" s="432" t="s">
        <v>1044</v>
      </c>
      <c r="AI243" s="423"/>
      <c r="AJ243" s="432"/>
      <c r="AK243" s="432"/>
      <c r="AL243" s="429"/>
      <c r="AM243" s="81"/>
      <c r="AN243" s="81"/>
      <c r="AO243" s="81"/>
      <c r="AP243" s="81"/>
      <c r="AQ243" s="81"/>
      <c r="AR243" s="81"/>
      <c r="AS243" s="81"/>
      <c r="AT243" s="81"/>
      <c r="AU243" s="81"/>
      <c r="AV243" s="81"/>
      <c r="AW243" s="81"/>
      <c r="AX243" s="81"/>
      <c r="AY243" s="81"/>
      <c r="AZ243" s="81"/>
      <c r="BA243" s="81"/>
      <c r="BB243" s="81"/>
      <c r="BC243" s="81"/>
      <c r="BD243" s="81"/>
      <c r="BE243" s="81"/>
      <c r="BF243" s="81"/>
    </row>
    <row r="244" ht="11.25" customHeight="1" spans="1:58">
      <c r="A244" s="297" t="s">
        <v>1008</v>
      </c>
      <c r="E244" s="53"/>
      <c r="F244" s="313"/>
      <c r="G244" s="314"/>
      <c r="H244" s="278" t="s">
        <v>108</v>
      </c>
      <c r="I244" s="374"/>
      <c r="J244" s="375"/>
      <c r="K244" s="213"/>
      <c r="L244" s="140"/>
      <c r="M244" s="232"/>
      <c r="N244" s="367"/>
      <c r="O244" s="379">
        <v>1</v>
      </c>
      <c r="P244" s="369" t="s">
        <v>19</v>
      </c>
      <c r="Q244" s="104" t="s">
        <v>22</v>
      </c>
      <c r="R244" s="104" t="s">
        <v>22</v>
      </c>
      <c r="S244" s="104" t="s">
        <v>22</v>
      </c>
      <c r="T244" s="104" t="s">
        <v>22</v>
      </c>
      <c r="U244" s="104" t="s">
        <v>22</v>
      </c>
      <c r="V244" s="104" t="s">
        <v>22</v>
      </c>
      <c r="W244" s="104" t="s">
        <v>22</v>
      </c>
      <c r="X244" s="104" t="s">
        <v>22</v>
      </c>
      <c r="Y244" s="104"/>
      <c r="Z244" s="380"/>
      <c r="AA244" s="381"/>
      <c r="AB244" s="381"/>
      <c r="AC244" s="413"/>
      <c r="AD244" s="413"/>
      <c r="AE244" s="424"/>
      <c r="AF244" s="423"/>
      <c r="AG244" s="432"/>
      <c r="AH244" s="432"/>
      <c r="AI244" s="423"/>
      <c r="AJ244" s="432"/>
      <c r="AK244" s="432"/>
      <c r="AL244" s="429"/>
      <c r="AM244" s="81"/>
      <c r="AN244" s="81"/>
      <c r="AO244" s="81"/>
      <c r="AP244" s="81"/>
      <c r="AQ244" s="81"/>
      <c r="AR244" s="81"/>
      <c r="AS244" s="81"/>
      <c r="AT244" s="81"/>
      <c r="AU244" s="81"/>
      <c r="AV244" s="81"/>
      <c r="AW244" s="81"/>
      <c r="AX244" s="81"/>
      <c r="AY244" s="81"/>
      <c r="AZ244" s="81"/>
      <c r="BA244" s="81"/>
      <c r="BB244" s="81"/>
      <c r="BC244" s="81"/>
      <c r="BD244" s="81"/>
      <c r="BE244" s="81"/>
      <c r="BF244" s="81"/>
    </row>
    <row r="245" ht="11.25" customHeight="1" spans="1:58">
      <c r="A245" s="297" t="s">
        <v>1008</v>
      </c>
      <c r="E245" s="53"/>
      <c r="F245" s="313"/>
      <c r="G245" s="314"/>
      <c r="H245" s="278" t="s">
        <v>108</v>
      </c>
      <c r="I245" s="374"/>
      <c r="J245" s="375"/>
      <c r="K245" s="213"/>
      <c r="L245" s="140"/>
      <c r="M245" s="232"/>
      <c r="N245" s="367"/>
      <c r="O245" s="379"/>
      <c r="P245" s="371"/>
      <c r="Q245" s="104"/>
      <c r="R245" s="104"/>
      <c r="S245" s="387"/>
      <c r="T245" s="104"/>
      <c r="U245" s="104"/>
      <c r="V245" s="104"/>
      <c r="W245" s="104"/>
      <c r="X245" s="104"/>
      <c r="Y245" s="104"/>
      <c r="Z245" s="415"/>
      <c r="AA245" s="368">
        <v>1</v>
      </c>
      <c r="AB245" s="416" t="s">
        <v>1082</v>
      </c>
      <c r="AC245" s="417">
        <v>4237.35</v>
      </c>
      <c r="AD245" s="416" t="str">
        <f>AB245</f>
        <v>  Прибыль направляемая на инвестиции</v>
      </c>
      <c r="AE245" s="417"/>
      <c r="AF245" s="423"/>
      <c r="AG245" s="432"/>
      <c r="AH245" s="432"/>
      <c r="AI245" s="423"/>
      <c r="AJ245" s="432"/>
      <c r="AK245" s="432"/>
      <c r="AL245" s="429"/>
      <c r="AM245" s="81"/>
      <c r="AN245" s="81"/>
      <c r="AO245" s="81"/>
      <c r="AP245" s="81"/>
      <c r="AQ245" s="81"/>
      <c r="AR245" s="81"/>
      <c r="AS245" s="81"/>
      <c r="AT245" s="81"/>
      <c r="AU245" s="81"/>
      <c r="AV245" s="81"/>
      <c r="AW245" s="81"/>
      <c r="AX245" s="81"/>
      <c r="AY245" s="81"/>
      <c r="AZ245" s="81"/>
      <c r="BA245" s="81"/>
      <c r="BB245" s="81"/>
      <c r="BC245" s="81"/>
      <c r="BD245" s="81"/>
      <c r="BE245" s="81"/>
      <c r="BF245" s="81"/>
    </row>
    <row r="246" ht="11.25" customHeight="1" spans="1:58">
      <c r="A246" s="297" t="s">
        <v>1008</v>
      </c>
      <c r="E246" s="53"/>
      <c r="F246" s="313"/>
      <c r="G246" s="314"/>
      <c r="H246" s="278" t="s">
        <v>108</v>
      </c>
      <c r="I246" s="374"/>
      <c r="J246" s="375"/>
      <c r="K246" s="213"/>
      <c r="L246" s="140"/>
      <c r="M246" s="232"/>
      <c r="N246" s="367"/>
      <c r="O246" s="379"/>
      <c r="P246" s="373"/>
      <c r="Q246" s="104"/>
      <c r="R246" s="104"/>
      <c r="S246" s="387"/>
      <c r="T246" s="104"/>
      <c r="U246" s="104"/>
      <c r="V246" s="104"/>
      <c r="W246" s="104"/>
      <c r="X246" s="104"/>
      <c r="Y246" s="104"/>
      <c r="Z246" s="380"/>
      <c r="AA246" s="381"/>
      <c r="AB246" s="227" t="s">
        <v>1054</v>
      </c>
      <c r="AC246" s="413"/>
      <c r="AD246" s="413"/>
      <c r="AE246" s="425"/>
      <c r="AF246" s="423"/>
      <c r="AG246" s="432"/>
      <c r="AH246" s="432"/>
      <c r="AI246" s="423"/>
      <c r="AJ246" s="432"/>
      <c r="AK246" s="432"/>
      <c r="AL246" s="429"/>
      <c r="AM246" s="81"/>
      <c r="AN246" s="81"/>
      <c r="AO246" s="81"/>
      <c r="AP246" s="81"/>
      <c r="AQ246" s="81"/>
      <c r="AR246" s="81"/>
      <c r="AS246" s="81"/>
      <c r="AT246" s="81"/>
      <c r="AU246" s="81"/>
      <c r="AV246" s="81"/>
      <c r="AW246" s="81"/>
      <c r="AX246" s="81"/>
      <c r="AY246" s="81"/>
      <c r="AZ246" s="81"/>
      <c r="BA246" s="81"/>
      <c r="BB246" s="81"/>
      <c r="BC246" s="81"/>
      <c r="BD246" s="81"/>
      <c r="BE246" s="81"/>
      <c r="BF246" s="81"/>
    </row>
    <row r="247" ht="11.25" customHeight="1" spans="1:58">
      <c r="A247" s="297" t="s">
        <v>1008</v>
      </c>
      <c r="E247" s="53"/>
      <c r="F247" s="313"/>
      <c r="G247" s="314"/>
      <c r="H247" s="278" t="s">
        <v>108</v>
      </c>
      <c r="I247" s="374"/>
      <c r="J247" s="375"/>
      <c r="K247" s="213"/>
      <c r="L247" s="140"/>
      <c r="M247" s="232"/>
      <c r="N247" s="380"/>
      <c r="O247" s="381"/>
      <c r="P247" s="227" t="s">
        <v>1055</v>
      </c>
      <c r="Q247" s="381"/>
      <c r="R247" s="381"/>
      <c r="S247" s="381"/>
      <c r="T247" s="381"/>
      <c r="U247" s="381"/>
      <c r="V247" s="381"/>
      <c r="W247" s="381"/>
      <c r="X247" s="381"/>
      <c r="Y247" s="381"/>
      <c r="Z247" s="381"/>
      <c r="AA247" s="381"/>
      <c r="AB247" s="381"/>
      <c r="AC247" s="381"/>
      <c r="AD247" s="381"/>
      <c r="AE247" s="426"/>
      <c r="AF247" s="423"/>
      <c r="AG247" s="432"/>
      <c r="AH247" s="432"/>
      <c r="AI247" s="423"/>
      <c r="AJ247" s="432"/>
      <c r="AK247" s="432"/>
      <c r="AL247" s="429"/>
      <c r="AM247" s="81"/>
      <c r="AN247" s="81"/>
      <c r="AO247" s="81"/>
      <c r="AP247" s="81"/>
      <c r="AQ247" s="81"/>
      <c r="AR247" s="81"/>
      <c r="AS247" s="81"/>
      <c r="AT247" s="81"/>
      <c r="AU247" s="81"/>
      <c r="AV247" s="81"/>
      <c r="AW247" s="81"/>
      <c r="AX247" s="81"/>
      <c r="AY247" s="81"/>
      <c r="AZ247" s="81"/>
      <c r="BA247" s="81"/>
      <c r="BB247" s="81"/>
      <c r="BC247" s="81"/>
      <c r="BD247" s="81"/>
      <c r="BE247" s="81"/>
      <c r="BF247" s="81"/>
    </row>
    <row r="248" ht="11.25" customHeight="1" spans="1:58">
      <c r="A248" s="297" t="s">
        <v>1008</v>
      </c>
      <c r="B248" s="297" t="s">
        <v>1104</v>
      </c>
      <c r="E248" s="53"/>
      <c r="F248" s="313"/>
      <c r="G248" s="235" t="s">
        <v>683</v>
      </c>
      <c r="H248" s="278" t="s">
        <v>92</v>
      </c>
      <c r="I248" s="374" t="s">
        <v>1106</v>
      </c>
      <c r="J248" s="375" t="s">
        <v>1107</v>
      </c>
      <c r="K248" s="213" t="s">
        <v>1193</v>
      </c>
      <c r="L248" s="140" t="s">
        <v>19</v>
      </c>
      <c r="M248" s="232"/>
      <c r="N248" s="376"/>
      <c r="O248" s="377" t="s">
        <v>372</v>
      </c>
      <c r="P248" s="378"/>
      <c r="Q248" s="378"/>
      <c r="R248" s="378"/>
      <c r="S248" s="378"/>
      <c r="T248" s="378"/>
      <c r="U248" s="378"/>
      <c r="V248" s="378"/>
      <c r="W248" s="378"/>
      <c r="X248" s="378"/>
      <c r="Y248" s="378"/>
      <c r="Z248" s="378"/>
      <c r="AA248" s="378"/>
      <c r="AB248" s="378"/>
      <c r="AC248" s="378"/>
      <c r="AD248" s="378"/>
      <c r="AE248" s="378"/>
      <c r="AF248" s="423">
        <v>2026</v>
      </c>
      <c r="AG248" s="432" t="s">
        <v>1043</v>
      </c>
      <c r="AH248" s="432" t="s">
        <v>1044</v>
      </c>
      <c r="AI248" s="423"/>
      <c r="AJ248" s="432"/>
      <c r="AK248" s="432"/>
      <c r="AL248" s="429"/>
      <c r="AM248" s="81"/>
      <c r="AN248" s="81"/>
      <c r="AO248" s="81"/>
      <c r="AP248" s="81"/>
      <c r="AQ248" s="81"/>
      <c r="AR248" s="81"/>
      <c r="AS248" s="81"/>
      <c r="AT248" s="81"/>
      <c r="AU248" s="81"/>
      <c r="AV248" s="81"/>
      <c r="AW248" s="81"/>
      <c r="AX248" s="81"/>
      <c r="AY248" s="81"/>
      <c r="AZ248" s="81"/>
      <c r="BA248" s="81"/>
      <c r="BB248" s="81"/>
      <c r="BC248" s="81"/>
      <c r="BD248" s="81"/>
      <c r="BE248" s="81"/>
      <c r="BF248" s="81"/>
    </row>
    <row r="249" ht="11.25" customHeight="1" spans="1:58">
      <c r="A249" s="297" t="s">
        <v>1008</v>
      </c>
      <c r="E249" s="53"/>
      <c r="F249" s="313"/>
      <c r="G249" s="314"/>
      <c r="H249" s="278" t="s">
        <v>91</v>
      </c>
      <c r="I249" s="374"/>
      <c r="J249" s="375"/>
      <c r="K249" s="213"/>
      <c r="L249" s="140"/>
      <c r="M249" s="232"/>
      <c r="N249" s="367"/>
      <c r="O249" s="379">
        <v>1</v>
      </c>
      <c r="P249" s="369" t="s">
        <v>19</v>
      </c>
      <c r="Q249" s="104" t="s">
        <v>22</v>
      </c>
      <c r="R249" s="104" t="s">
        <v>22</v>
      </c>
      <c r="S249" s="104" t="s">
        <v>22</v>
      </c>
      <c r="T249" s="104" t="s">
        <v>22</v>
      </c>
      <c r="U249" s="104" t="s">
        <v>22</v>
      </c>
      <c r="V249" s="104" t="s">
        <v>22</v>
      </c>
      <c r="W249" s="104" t="s">
        <v>22</v>
      </c>
      <c r="X249" s="104" t="s">
        <v>22</v>
      </c>
      <c r="Y249" s="104"/>
      <c r="Z249" s="380"/>
      <c r="AA249" s="381"/>
      <c r="AB249" s="381"/>
      <c r="AC249" s="413"/>
      <c r="AD249" s="413"/>
      <c r="AE249" s="424"/>
      <c r="AF249" s="423"/>
      <c r="AG249" s="432"/>
      <c r="AH249" s="432"/>
      <c r="AI249" s="423"/>
      <c r="AJ249" s="432"/>
      <c r="AK249" s="432"/>
      <c r="AL249" s="429"/>
      <c r="AM249" s="81"/>
      <c r="AN249" s="81"/>
      <c r="AO249" s="81"/>
      <c r="AP249" s="81"/>
      <c r="AQ249" s="81"/>
      <c r="AR249" s="81"/>
      <c r="AS249" s="81"/>
      <c r="AT249" s="81"/>
      <c r="AU249" s="81"/>
      <c r="AV249" s="81"/>
      <c r="AW249" s="81"/>
      <c r="AX249" s="81"/>
      <c r="AY249" s="81"/>
      <c r="AZ249" s="81"/>
      <c r="BA249" s="81"/>
      <c r="BB249" s="81"/>
      <c r="BC249" s="81"/>
      <c r="BD249" s="81"/>
      <c r="BE249" s="81"/>
      <c r="BF249" s="81"/>
    </row>
    <row r="250" ht="11.25" customHeight="1" spans="1:58">
      <c r="A250" s="297" t="s">
        <v>1008</v>
      </c>
      <c r="E250" s="53"/>
      <c r="F250" s="313"/>
      <c r="G250" s="314"/>
      <c r="H250" s="278" t="s">
        <v>91</v>
      </c>
      <c r="I250" s="374"/>
      <c r="J250" s="375"/>
      <c r="K250" s="213"/>
      <c r="L250" s="140"/>
      <c r="M250" s="232"/>
      <c r="N250" s="367"/>
      <c r="O250" s="379"/>
      <c r="P250" s="371"/>
      <c r="Q250" s="104"/>
      <c r="R250" s="104"/>
      <c r="S250" s="387"/>
      <c r="T250" s="104"/>
      <c r="U250" s="104"/>
      <c r="V250" s="104"/>
      <c r="W250" s="104"/>
      <c r="X250" s="104"/>
      <c r="Y250" s="104"/>
      <c r="Z250" s="415"/>
      <c r="AA250" s="368">
        <v>1</v>
      </c>
      <c r="AB250" s="416" t="s">
        <v>1082</v>
      </c>
      <c r="AC250" s="417">
        <v>1133.32</v>
      </c>
      <c r="AD250" s="416" t="str">
        <f>AB250</f>
        <v>  Прибыль направляемая на инвестиции</v>
      </c>
      <c r="AE250" s="417"/>
      <c r="AF250" s="423"/>
      <c r="AG250" s="432"/>
      <c r="AH250" s="432"/>
      <c r="AI250" s="423"/>
      <c r="AJ250" s="432"/>
      <c r="AK250" s="432"/>
      <c r="AL250" s="429"/>
      <c r="AM250" s="81"/>
      <c r="AN250" s="81"/>
      <c r="AO250" s="81"/>
      <c r="AP250" s="81"/>
      <c r="AQ250" s="81"/>
      <c r="AR250" s="81"/>
      <c r="AS250" s="81"/>
      <c r="AT250" s="81"/>
      <c r="AU250" s="81"/>
      <c r="AV250" s="81"/>
      <c r="AW250" s="81"/>
      <c r="AX250" s="81"/>
      <c r="AY250" s="81"/>
      <c r="AZ250" s="81"/>
      <c r="BA250" s="81"/>
      <c r="BB250" s="81"/>
      <c r="BC250" s="81"/>
      <c r="BD250" s="81"/>
      <c r="BE250" s="81"/>
      <c r="BF250" s="81"/>
    </row>
    <row r="251" ht="11.25" customHeight="1" spans="1:58">
      <c r="A251" s="297" t="s">
        <v>1008</v>
      </c>
      <c r="E251" s="53"/>
      <c r="F251" s="313"/>
      <c r="G251" s="314"/>
      <c r="H251" s="278" t="s">
        <v>91</v>
      </c>
      <c r="I251" s="374"/>
      <c r="J251" s="375"/>
      <c r="K251" s="213"/>
      <c r="L251" s="140"/>
      <c r="M251" s="232"/>
      <c r="N251" s="367"/>
      <c r="O251" s="379"/>
      <c r="P251" s="373"/>
      <c r="Q251" s="104"/>
      <c r="R251" s="104"/>
      <c r="S251" s="387"/>
      <c r="T251" s="104"/>
      <c r="U251" s="104"/>
      <c r="V251" s="104"/>
      <c r="W251" s="104"/>
      <c r="X251" s="104"/>
      <c r="Y251" s="104"/>
      <c r="Z251" s="380"/>
      <c r="AA251" s="381"/>
      <c r="AB251" s="227" t="s">
        <v>1054</v>
      </c>
      <c r="AC251" s="413"/>
      <c r="AD251" s="413"/>
      <c r="AE251" s="425"/>
      <c r="AF251" s="423"/>
      <c r="AG251" s="432"/>
      <c r="AH251" s="432"/>
      <c r="AI251" s="423"/>
      <c r="AJ251" s="432"/>
      <c r="AK251" s="432"/>
      <c r="AL251" s="429"/>
      <c r="AM251" s="81"/>
      <c r="AN251" s="81"/>
      <c r="AO251" s="81"/>
      <c r="AP251" s="81"/>
      <c r="AQ251" s="81"/>
      <c r="AR251" s="81"/>
      <c r="AS251" s="81"/>
      <c r="AT251" s="81"/>
      <c r="AU251" s="81"/>
      <c r="AV251" s="81"/>
      <c r="AW251" s="81"/>
      <c r="AX251" s="81"/>
      <c r="AY251" s="81"/>
      <c r="AZ251" s="81"/>
      <c r="BA251" s="81"/>
      <c r="BB251" s="81"/>
      <c r="BC251" s="81"/>
      <c r="BD251" s="81"/>
      <c r="BE251" s="81"/>
      <c r="BF251" s="81"/>
    </row>
    <row r="252" ht="11.25" customHeight="1" spans="1:58">
      <c r="A252" s="297" t="s">
        <v>1008</v>
      </c>
      <c r="E252" s="53"/>
      <c r="F252" s="313"/>
      <c r="G252" s="314"/>
      <c r="H252" s="278" t="s">
        <v>91</v>
      </c>
      <c r="I252" s="374"/>
      <c r="J252" s="375"/>
      <c r="K252" s="213"/>
      <c r="L252" s="140"/>
      <c r="M252" s="232"/>
      <c r="N252" s="380"/>
      <c r="O252" s="381"/>
      <c r="P252" s="227" t="s">
        <v>1055</v>
      </c>
      <c r="Q252" s="381"/>
      <c r="R252" s="381"/>
      <c r="S252" s="381"/>
      <c r="T252" s="381"/>
      <c r="U252" s="381"/>
      <c r="V252" s="381"/>
      <c r="W252" s="381"/>
      <c r="X252" s="381"/>
      <c r="Y252" s="381"/>
      <c r="Z252" s="381"/>
      <c r="AA252" s="381"/>
      <c r="AB252" s="381"/>
      <c r="AC252" s="381"/>
      <c r="AD252" s="381"/>
      <c r="AE252" s="426"/>
      <c r="AF252" s="423"/>
      <c r="AG252" s="432"/>
      <c r="AH252" s="432"/>
      <c r="AI252" s="423"/>
      <c r="AJ252" s="432"/>
      <c r="AK252" s="432"/>
      <c r="AL252" s="429"/>
      <c r="AM252" s="81"/>
      <c r="AN252" s="81"/>
      <c r="AO252" s="81"/>
      <c r="AP252" s="81"/>
      <c r="AQ252" s="81"/>
      <c r="AR252" s="81"/>
      <c r="AS252" s="81"/>
      <c r="AT252" s="81"/>
      <c r="AU252" s="81"/>
      <c r="AV252" s="81"/>
      <c r="AW252" s="81"/>
      <c r="AX252" s="81"/>
      <c r="AY252" s="81"/>
      <c r="AZ252" s="81"/>
      <c r="BA252" s="81"/>
      <c r="BB252" s="81"/>
      <c r="BC252" s="81"/>
      <c r="BD252" s="81"/>
      <c r="BE252" s="81"/>
      <c r="BF252" s="81"/>
    </row>
    <row r="253" ht="11.25" customHeight="1" spans="1:58">
      <c r="A253" s="297" t="s">
        <v>1008</v>
      </c>
      <c r="B253" s="297" t="s">
        <v>1104</v>
      </c>
      <c r="E253" s="53"/>
      <c r="F253" s="313"/>
      <c r="G253" s="235" t="s">
        <v>683</v>
      </c>
      <c r="H253" s="278" t="s">
        <v>109</v>
      </c>
      <c r="I253" s="374" t="s">
        <v>1106</v>
      </c>
      <c r="J253" s="375" t="s">
        <v>1107</v>
      </c>
      <c r="K253" s="213" t="s">
        <v>1194</v>
      </c>
      <c r="L253" s="140" t="s">
        <v>19</v>
      </c>
      <c r="M253" s="232"/>
      <c r="N253" s="376"/>
      <c r="O253" s="377" t="s">
        <v>372</v>
      </c>
      <c r="P253" s="378"/>
      <c r="Q253" s="378"/>
      <c r="R253" s="378"/>
      <c r="S253" s="378"/>
      <c r="T253" s="378"/>
      <c r="U253" s="378"/>
      <c r="V253" s="378"/>
      <c r="W253" s="378"/>
      <c r="X253" s="378"/>
      <c r="Y253" s="378"/>
      <c r="Z253" s="378"/>
      <c r="AA253" s="378"/>
      <c r="AB253" s="378"/>
      <c r="AC253" s="378"/>
      <c r="AD253" s="378"/>
      <c r="AE253" s="378"/>
      <c r="AF253" s="423">
        <v>2026</v>
      </c>
      <c r="AG253" s="432" t="s">
        <v>1043</v>
      </c>
      <c r="AH253" s="432" t="s">
        <v>1044</v>
      </c>
      <c r="AI253" s="423"/>
      <c r="AJ253" s="432"/>
      <c r="AK253" s="432"/>
      <c r="AL253" s="429"/>
      <c r="AM253" s="81"/>
      <c r="AN253" s="81"/>
      <c r="AO253" s="81"/>
      <c r="AP253" s="81"/>
      <c r="AQ253" s="81"/>
      <c r="AR253" s="81"/>
      <c r="AS253" s="81"/>
      <c r="AT253" s="81"/>
      <c r="AU253" s="81"/>
      <c r="AV253" s="81"/>
      <c r="AW253" s="81"/>
      <c r="AX253" s="81"/>
      <c r="AY253" s="81"/>
      <c r="AZ253" s="81"/>
      <c r="BA253" s="81"/>
      <c r="BB253" s="81"/>
      <c r="BC253" s="81"/>
      <c r="BD253" s="81"/>
      <c r="BE253" s="81"/>
      <c r="BF253" s="81"/>
    </row>
    <row r="254" ht="11.25" customHeight="1" spans="1:58">
      <c r="A254" s="297" t="s">
        <v>1008</v>
      </c>
      <c r="E254" s="53"/>
      <c r="F254" s="313"/>
      <c r="G254" s="314"/>
      <c r="H254" s="278" t="s">
        <v>92</v>
      </c>
      <c r="I254" s="374"/>
      <c r="J254" s="375"/>
      <c r="K254" s="213"/>
      <c r="L254" s="140"/>
      <c r="M254" s="232"/>
      <c r="N254" s="367"/>
      <c r="O254" s="379">
        <v>1</v>
      </c>
      <c r="P254" s="369" t="s">
        <v>19</v>
      </c>
      <c r="Q254" s="104" t="s">
        <v>22</v>
      </c>
      <c r="R254" s="104" t="s">
        <v>22</v>
      </c>
      <c r="S254" s="104" t="s">
        <v>22</v>
      </c>
      <c r="T254" s="104" t="s">
        <v>22</v>
      </c>
      <c r="U254" s="104" t="s">
        <v>22</v>
      </c>
      <c r="V254" s="104" t="s">
        <v>22</v>
      </c>
      <c r="W254" s="104" t="s">
        <v>22</v>
      </c>
      <c r="X254" s="104" t="s">
        <v>22</v>
      </c>
      <c r="Y254" s="104"/>
      <c r="Z254" s="380"/>
      <c r="AA254" s="381"/>
      <c r="AB254" s="381"/>
      <c r="AC254" s="413"/>
      <c r="AD254" s="413"/>
      <c r="AE254" s="424"/>
      <c r="AF254" s="423"/>
      <c r="AG254" s="432"/>
      <c r="AH254" s="432"/>
      <c r="AI254" s="423"/>
      <c r="AJ254" s="432"/>
      <c r="AK254" s="432"/>
      <c r="AL254" s="429"/>
      <c r="AM254" s="81"/>
      <c r="AN254" s="81"/>
      <c r="AO254" s="81"/>
      <c r="AP254" s="81"/>
      <c r="AQ254" s="81"/>
      <c r="AR254" s="81"/>
      <c r="AS254" s="81"/>
      <c r="AT254" s="81"/>
      <c r="AU254" s="81"/>
      <c r="AV254" s="81"/>
      <c r="AW254" s="81"/>
      <c r="AX254" s="81"/>
      <c r="AY254" s="81"/>
      <c r="AZ254" s="81"/>
      <c r="BA254" s="81"/>
      <c r="BB254" s="81"/>
      <c r="BC254" s="81"/>
      <c r="BD254" s="81"/>
      <c r="BE254" s="81"/>
      <c r="BF254" s="81"/>
    </row>
    <row r="255" ht="11.25" customHeight="1" spans="1:58">
      <c r="A255" s="297" t="s">
        <v>1008</v>
      </c>
      <c r="E255" s="53"/>
      <c r="F255" s="313"/>
      <c r="G255" s="314"/>
      <c r="H255" s="278" t="s">
        <v>92</v>
      </c>
      <c r="I255" s="374"/>
      <c r="J255" s="375"/>
      <c r="K255" s="213"/>
      <c r="L255" s="140"/>
      <c r="M255" s="232"/>
      <c r="N255" s="367"/>
      <c r="O255" s="379"/>
      <c r="P255" s="371"/>
      <c r="Q255" s="104"/>
      <c r="R255" s="104"/>
      <c r="S255" s="387"/>
      <c r="T255" s="104"/>
      <c r="U255" s="104"/>
      <c r="V255" s="104"/>
      <c r="W255" s="104"/>
      <c r="X255" s="104"/>
      <c r="Y255" s="104"/>
      <c r="Z255" s="415"/>
      <c r="AA255" s="368">
        <v>1</v>
      </c>
      <c r="AB255" s="416" t="s">
        <v>1082</v>
      </c>
      <c r="AC255" s="417">
        <v>957.08</v>
      </c>
      <c r="AD255" s="416" t="str">
        <f>AB255</f>
        <v>  Прибыль направляемая на инвестиции</v>
      </c>
      <c r="AE255" s="417"/>
      <c r="AF255" s="423"/>
      <c r="AG255" s="432"/>
      <c r="AH255" s="432"/>
      <c r="AI255" s="423"/>
      <c r="AJ255" s="432"/>
      <c r="AK255" s="432"/>
      <c r="AL255" s="429"/>
      <c r="AM255" s="81"/>
      <c r="AN255" s="81"/>
      <c r="AO255" s="81"/>
      <c r="AP255" s="81"/>
      <c r="AQ255" s="81"/>
      <c r="AR255" s="81"/>
      <c r="AS255" s="81"/>
      <c r="AT255" s="81"/>
      <c r="AU255" s="81"/>
      <c r="AV255" s="81"/>
      <c r="AW255" s="81"/>
      <c r="AX255" s="81"/>
      <c r="AY255" s="81"/>
      <c r="AZ255" s="81"/>
      <c r="BA255" s="81"/>
      <c r="BB255" s="81"/>
      <c r="BC255" s="81"/>
      <c r="BD255" s="81"/>
      <c r="BE255" s="81"/>
      <c r="BF255" s="81"/>
    </row>
    <row r="256" ht="11.25" customHeight="1" spans="1:58">
      <c r="A256" s="297" t="s">
        <v>1008</v>
      </c>
      <c r="E256" s="53"/>
      <c r="F256" s="313"/>
      <c r="G256" s="314"/>
      <c r="H256" s="278" t="s">
        <v>92</v>
      </c>
      <c r="I256" s="374"/>
      <c r="J256" s="375"/>
      <c r="K256" s="213"/>
      <c r="L256" s="140"/>
      <c r="M256" s="232"/>
      <c r="N256" s="367"/>
      <c r="O256" s="379"/>
      <c r="P256" s="373"/>
      <c r="Q256" s="104"/>
      <c r="R256" s="104"/>
      <c r="S256" s="387"/>
      <c r="T256" s="104"/>
      <c r="U256" s="104"/>
      <c r="V256" s="104"/>
      <c r="W256" s="104"/>
      <c r="X256" s="104"/>
      <c r="Y256" s="104"/>
      <c r="Z256" s="380"/>
      <c r="AA256" s="381"/>
      <c r="AB256" s="227" t="s">
        <v>1054</v>
      </c>
      <c r="AC256" s="413"/>
      <c r="AD256" s="413"/>
      <c r="AE256" s="425"/>
      <c r="AF256" s="423"/>
      <c r="AG256" s="432"/>
      <c r="AH256" s="432"/>
      <c r="AI256" s="423"/>
      <c r="AJ256" s="432"/>
      <c r="AK256" s="432"/>
      <c r="AL256" s="429"/>
      <c r="AM256" s="81"/>
      <c r="AN256" s="81"/>
      <c r="AO256" s="81"/>
      <c r="AP256" s="81"/>
      <c r="AQ256" s="81"/>
      <c r="AR256" s="81"/>
      <c r="AS256" s="81"/>
      <c r="AT256" s="81"/>
      <c r="AU256" s="81"/>
      <c r="AV256" s="81"/>
      <c r="AW256" s="81"/>
      <c r="AX256" s="81"/>
      <c r="AY256" s="81"/>
      <c r="AZ256" s="81"/>
      <c r="BA256" s="81"/>
      <c r="BB256" s="81"/>
      <c r="BC256" s="81"/>
      <c r="BD256" s="81"/>
      <c r="BE256" s="81"/>
      <c r="BF256" s="81"/>
    </row>
    <row r="257" ht="11.25" customHeight="1" spans="1:58">
      <c r="A257" s="297" t="s">
        <v>1008</v>
      </c>
      <c r="E257" s="53"/>
      <c r="F257" s="313"/>
      <c r="G257" s="314"/>
      <c r="H257" s="278" t="s">
        <v>92</v>
      </c>
      <c r="I257" s="374"/>
      <c r="J257" s="375"/>
      <c r="K257" s="213"/>
      <c r="L257" s="140"/>
      <c r="M257" s="232"/>
      <c r="N257" s="380"/>
      <c r="O257" s="381"/>
      <c r="P257" s="227" t="s">
        <v>1055</v>
      </c>
      <c r="Q257" s="381"/>
      <c r="R257" s="381"/>
      <c r="S257" s="381"/>
      <c r="T257" s="381"/>
      <c r="U257" s="381"/>
      <c r="V257" s="381"/>
      <c r="W257" s="381"/>
      <c r="X257" s="381"/>
      <c r="Y257" s="381"/>
      <c r="Z257" s="381"/>
      <c r="AA257" s="381"/>
      <c r="AB257" s="381"/>
      <c r="AC257" s="381"/>
      <c r="AD257" s="381"/>
      <c r="AE257" s="426"/>
      <c r="AF257" s="423"/>
      <c r="AG257" s="432"/>
      <c r="AH257" s="432"/>
      <c r="AI257" s="423"/>
      <c r="AJ257" s="432"/>
      <c r="AK257" s="432"/>
      <c r="AL257" s="429"/>
      <c r="AM257" s="81"/>
      <c r="AN257" s="81"/>
      <c r="AO257" s="81"/>
      <c r="AP257" s="81"/>
      <c r="AQ257" s="81"/>
      <c r="AR257" s="81"/>
      <c r="AS257" s="81"/>
      <c r="AT257" s="81"/>
      <c r="AU257" s="81"/>
      <c r="AV257" s="81"/>
      <c r="AW257" s="81"/>
      <c r="AX257" s="81"/>
      <c r="AY257" s="81"/>
      <c r="AZ257" s="81"/>
      <c r="BA257" s="81"/>
      <c r="BB257" s="81"/>
      <c r="BC257" s="81"/>
      <c r="BD257" s="81"/>
      <c r="BE257" s="81"/>
      <c r="BF257" s="81"/>
    </row>
    <row r="258" ht="11.25" customHeight="1" spans="1:58">
      <c r="A258" s="297" t="s">
        <v>1008</v>
      </c>
      <c r="B258" s="297" t="s">
        <v>1104</v>
      </c>
      <c r="E258" s="53"/>
      <c r="F258" s="313"/>
      <c r="G258" s="235" t="s">
        <v>683</v>
      </c>
      <c r="H258" s="278" t="s">
        <v>93</v>
      </c>
      <c r="I258" s="374" t="s">
        <v>1106</v>
      </c>
      <c r="J258" s="375" t="s">
        <v>1107</v>
      </c>
      <c r="K258" s="213" t="s">
        <v>1195</v>
      </c>
      <c r="L258" s="140" t="s">
        <v>19</v>
      </c>
      <c r="M258" s="232"/>
      <c r="N258" s="376"/>
      <c r="O258" s="377" t="s">
        <v>372</v>
      </c>
      <c r="P258" s="378"/>
      <c r="Q258" s="378"/>
      <c r="R258" s="378"/>
      <c r="S258" s="378"/>
      <c r="T258" s="378"/>
      <c r="U258" s="378"/>
      <c r="V258" s="378"/>
      <c r="W258" s="378"/>
      <c r="X258" s="378"/>
      <c r="Y258" s="378"/>
      <c r="Z258" s="378"/>
      <c r="AA258" s="378"/>
      <c r="AB258" s="378"/>
      <c r="AC258" s="378"/>
      <c r="AD258" s="378"/>
      <c r="AE258" s="378"/>
      <c r="AF258" s="423">
        <v>2026</v>
      </c>
      <c r="AG258" s="432" t="s">
        <v>1043</v>
      </c>
      <c r="AH258" s="432" t="s">
        <v>1044</v>
      </c>
      <c r="AI258" s="423"/>
      <c r="AJ258" s="432"/>
      <c r="AK258" s="432"/>
      <c r="AL258" s="429"/>
      <c r="AM258" s="81"/>
      <c r="AN258" s="81"/>
      <c r="AO258" s="81"/>
      <c r="AP258" s="81"/>
      <c r="AQ258" s="81"/>
      <c r="AR258" s="81"/>
      <c r="AS258" s="81"/>
      <c r="AT258" s="81"/>
      <c r="AU258" s="81"/>
      <c r="AV258" s="81"/>
      <c r="AW258" s="81"/>
      <c r="AX258" s="81"/>
      <c r="AY258" s="81"/>
      <c r="AZ258" s="81"/>
      <c r="BA258" s="81"/>
      <c r="BB258" s="81"/>
      <c r="BC258" s="81"/>
      <c r="BD258" s="81"/>
      <c r="BE258" s="81"/>
      <c r="BF258" s="81"/>
    </row>
    <row r="259" ht="11.25" customHeight="1" spans="1:58">
      <c r="A259" s="297" t="s">
        <v>1008</v>
      </c>
      <c r="E259" s="53"/>
      <c r="F259" s="313"/>
      <c r="G259" s="314"/>
      <c r="H259" s="278" t="s">
        <v>109</v>
      </c>
      <c r="I259" s="374"/>
      <c r="J259" s="375"/>
      <c r="K259" s="213"/>
      <c r="L259" s="140"/>
      <c r="M259" s="232"/>
      <c r="N259" s="367"/>
      <c r="O259" s="379">
        <v>1</v>
      </c>
      <c r="P259" s="369" t="s">
        <v>19</v>
      </c>
      <c r="Q259" s="104" t="s">
        <v>22</v>
      </c>
      <c r="R259" s="104" t="s">
        <v>22</v>
      </c>
      <c r="S259" s="104" t="s">
        <v>22</v>
      </c>
      <c r="T259" s="104" t="s">
        <v>22</v>
      </c>
      <c r="U259" s="104" t="s">
        <v>22</v>
      </c>
      <c r="V259" s="104" t="s">
        <v>22</v>
      </c>
      <c r="W259" s="104" t="s">
        <v>22</v>
      </c>
      <c r="X259" s="104" t="s">
        <v>22</v>
      </c>
      <c r="Y259" s="104"/>
      <c r="Z259" s="380"/>
      <c r="AA259" s="381"/>
      <c r="AB259" s="381"/>
      <c r="AC259" s="413"/>
      <c r="AD259" s="413"/>
      <c r="AE259" s="424"/>
      <c r="AF259" s="423"/>
      <c r="AG259" s="432"/>
      <c r="AH259" s="432"/>
      <c r="AI259" s="423"/>
      <c r="AJ259" s="432"/>
      <c r="AK259" s="432"/>
      <c r="AL259" s="429"/>
      <c r="AM259" s="81"/>
      <c r="AN259" s="81"/>
      <c r="AO259" s="81"/>
      <c r="AP259" s="81"/>
      <c r="AQ259" s="81"/>
      <c r="AR259" s="81"/>
      <c r="AS259" s="81"/>
      <c r="AT259" s="81"/>
      <c r="AU259" s="81"/>
      <c r="AV259" s="81"/>
      <c r="AW259" s="81"/>
      <c r="AX259" s="81"/>
      <c r="AY259" s="81"/>
      <c r="AZ259" s="81"/>
      <c r="BA259" s="81"/>
      <c r="BB259" s="81"/>
      <c r="BC259" s="81"/>
      <c r="BD259" s="81"/>
      <c r="BE259" s="81"/>
      <c r="BF259" s="81"/>
    </row>
    <row r="260" ht="11.25" customHeight="1" spans="1:58">
      <c r="A260" s="297" t="s">
        <v>1008</v>
      </c>
      <c r="E260" s="53"/>
      <c r="F260" s="313"/>
      <c r="G260" s="314"/>
      <c r="H260" s="278" t="s">
        <v>109</v>
      </c>
      <c r="I260" s="374"/>
      <c r="J260" s="375"/>
      <c r="K260" s="213"/>
      <c r="L260" s="140"/>
      <c r="M260" s="232"/>
      <c r="N260" s="367"/>
      <c r="O260" s="379"/>
      <c r="P260" s="371"/>
      <c r="Q260" s="104"/>
      <c r="R260" s="104"/>
      <c r="S260" s="387"/>
      <c r="T260" s="104"/>
      <c r="U260" s="104"/>
      <c r="V260" s="104"/>
      <c r="W260" s="104"/>
      <c r="X260" s="104"/>
      <c r="Y260" s="104"/>
      <c r="Z260" s="415"/>
      <c r="AA260" s="368">
        <v>1</v>
      </c>
      <c r="AB260" s="416" t="s">
        <v>1082</v>
      </c>
      <c r="AC260" s="417">
        <v>906.68</v>
      </c>
      <c r="AD260" s="416" t="str">
        <f>AB260</f>
        <v>  Прибыль направляемая на инвестиции</v>
      </c>
      <c r="AE260" s="417"/>
      <c r="AF260" s="423"/>
      <c r="AG260" s="432"/>
      <c r="AH260" s="432"/>
      <c r="AI260" s="423"/>
      <c r="AJ260" s="432"/>
      <c r="AK260" s="432"/>
      <c r="AL260" s="429"/>
      <c r="AM260" s="81"/>
      <c r="AN260" s="81"/>
      <c r="AO260" s="81"/>
      <c r="AP260" s="81"/>
      <c r="AQ260" s="81"/>
      <c r="AR260" s="81"/>
      <c r="AS260" s="81"/>
      <c r="AT260" s="81"/>
      <c r="AU260" s="81"/>
      <c r="AV260" s="81"/>
      <c r="AW260" s="81"/>
      <c r="AX260" s="81"/>
      <c r="AY260" s="81"/>
      <c r="AZ260" s="81"/>
      <c r="BA260" s="81"/>
      <c r="BB260" s="81"/>
      <c r="BC260" s="81"/>
      <c r="BD260" s="81"/>
      <c r="BE260" s="81"/>
      <c r="BF260" s="81"/>
    </row>
    <row r="261" ht="11.25" customHeight="1" spans="1:58">
      <c r="A261" s="297" t="s">
        <v>1008</v>
      </c>
      <c r="E261" s="53"/>
      <c r="F261" s="313"/>
      <c r="G261" s="314"/>
      <c r="H261" s="278" t="s">
        <v>109</v>
      </c>
      <c r="I261" s="374"/>
      <c r="J261" s="375"/>
      <c r="K261" s="213"/>
      <c r="L261" s="140"/>
      <c r="M261" s="232"/>
      <c r="N261" s="367"/>
      <c r="O261" s="379"/>
      <c r="P261" s="373"/>
      <c r="Q261" s="104"/>
      <c r="R261" s="104"/>
      <c r="S261" s="387"/>
      <c r="T261" s="104"/>
      <c r="U261" s="104"/>
      <c r="V261" s="104"/>
      <c r="W261" s="104"/>
      <c r="X261" s="104"/>
      <c r="Y261" s="104"/>
      <c r="Z261" s="380"/>
      <c r="AA261" s="381"/>
      <c r="AB261" s="227" t="s">
        <v>1054</v>
      </c>
      <c r="AC261" s="413"/>
      <c r="AD261" s="413"/>
      <c r="AE261" s="425"/>
      <c r="AF261" s="423"/>
      <c r="AG261" s="432"/>
      <c r="AH261" s="432"/>
      <c r="AI261" s="423"/>
      <c r="AJ261" s="432"/>
      <c r="AK261" s="432"/>
      <c r="AL261" s="429"/>
      <c r="AM261" s="81"/>
      <c r="AN261" s="81"/>
      <c r="AO261" s="81"/>
      <c r="AP261" s="81"/>
      <c r="AQ261" s="81"/>
      <c r="AR261" s="81"/>
      <c r="AS261" s="81"/>
      <c r="AT261" s="81"/>
      <c r="AU261" s="81"/>
      <c r="AV261" s="81"/>
      <c r="AW261" s="81"/>
      <c r="AX261" s="81"/>
      <c r="AY261" s="81"/>
      <c r="AZ261" s="81"/>
      <c r="BA261" s="81"/>
      <c r="BB261" s="81"/>
      <c r="BC261" s="81"/>
      <c r="BD261" s="81"/>
      <c r="BE261" s="81"/>
      <c r="BF261" s="81"/>
    </row>
    <row r="262" ht="11.25" customHeight="1" spans="1:58">
      <c r="A262" s="297" t="s">
        <v>1008</v>
      </c>
      <c r="E262" s="53"/>
      <c r="F262" s="313"/>
      <c r="G262" s="314"/>
      <c r="H262" s="278" t="s">
        <v>109</v>
      </c>
      <c r="I262" s="374"/>
      <c r="J262" s="375"/>
      <c r="K262" s="213"/>
      <c r="L262" s="140"/>
      <c r="M262" s="232"/>
      <c r="N262" s="380"/>
      <c r="O262" s="381"/>
      <c r="P262" s="227" t="s">
        <v>1055</v>
      </c>
      <c r="Q262" s="381"/>
      <c r="R262" s="381"/>
      <c r="S262" s="381"/>
      <c r="T262" s="381"/>
      <c r="U262" s="381"/>
      <c r="V262" s="381"/>
      <c r="W262" s="381"/>
      <c r="X262" s="381"/>
      <c r="Y262" s="381"/>
      <c r="Z262" s="381"/>
      <c r="AA262" s="381"/>
      <c r="AB262" s="381"/>
      <c r="AC262" s="381"/>
      <c r="AD262" s="381"/>
      <c r="AE262" s="426"/>
      <c r="AF262" s="423"/>
      <c r="AG262" s="432"/>
      <c r="AH262" s="432"/>
      <c r="AI262" s="423"/>
      <c r="AJ262" s="432"/>
      <c r="AK262" s="432"/>
      <c r="AL262" s="429"/>
      <c r="AM262" s="81"/>
      <c r="AN262" s="81"/>
      <c r="AO262" s="81"/>
      <c r="AP262" s="81"/>
      <c r="AQ262" s="81"/>
      <c r="AR262" s="81"/>
      <c r="AS262" s="81"/>
      <c r="AT262" s="81"/>
      <c r="AU262" s="81"/>
      <c r="AV262" s="81"/>
      <c r="AW262" s="81"/>
      <c r="AX262" s="81"/>
      <c r="AY262" s="81"/>
      <c r="AZ262" s="81"/>
      <c r="BA262" s="81"/>
      <c r="BB262" s="81"/>
      <c r="BC262" s="81"/>
      <c r="BD262" s="81"/>
      <c r="BE262" s="81"/>
      <c r="BF262" s="81"/>
    </row>
    <row r="263" ht="11.25" customHeight="1" spans="1:58">
      <c r="A263" s="297" t="s">
        <v>1008</v>
      </c>
      <c r="B263" s="297" t="s">
        <v>1104</v>
      </c>
      <c r="E263" s="53"/>
      <c r="F263" s="313"/>
      <c r="G263" s="235" t="s">
        <v>683</v>
      </c>
      <c r="H263" s="278" t="s">
        <v>94</v>
      </c>
      <c r="I263" s="374" t="s">
        <v>1106</v>
      </c>
      <c r="J263" s="375" t="s">
        <v>1107</v>
      </c>
      <c r="K263" s="213" t="s">
        <v>1196</v>
      </c>
      <c r="L263" s="140" t="s">
        <v>19</v>
      </c>
      <c r="M263" s="232"/>
      <c r="N263" s="376"/>
      <c r="O263" s="377" t="s">
        <v>372</v>
      </c>
      <c r="P263" s="378"/>
      <c r="Q263" s="378"/>
      <c r="R263" s="378"/>
      <c r="S263" s="378"/>
      <c r="T263" s="378"/>
      <c r="U263" s="378"/>
      <c r="V263" s="378"/>
      <c r="W263" s="378"/>
      <c r="X263" s="378"/>
      <c r="Y263" s="378"/>
      <c r="Z263" s="378"/>
      <c r="AA263" s="378"/>
      <c r="AB263" s="378"/>
      <c r="AC263" s="378"/>
      <c r="AD263" s="378"/>
      <c r="AE263" s="378"/>
      <c r="AF263" s="423">
        <v>2026</v>
      </c>
      <c r="AG263" s="432" t="s">
        <v>1043</v>
      </c>
      <c r="AH263" s="432" t="s">
        <v>1044</v>
      </c>
      <c r="AI263" s="423"/>
      <c r="AJ263" s="432"/>
      <c r="AK263" s="432"/>
      <c r="AL263" s="429"/>
      <c r="AM263" s="81"/>
      <c r="AN263" s="81"/>
      <c r="AO263" s="81"/>
      <c r="AP263" s="81"/>
      <c r="AQ263" s="81"/>
      <c r="AR263" s="81"/>
      <c r="AS263" s="81"/>
      <c r="AT263" s="81"/>
      <c r="AU263" s="81"/>
      <c r="AV263" s="81"/>
      <c r="AW263" s="81"/>
      <c r="AX263" s="81"/>
      <c r="AY263" s="81"/>
      <c r="AZ263" s="81"/>
      <c r="BA263" s="81"/>
      <c r="BB263" s="81"/>
      <c r="BC263" s="81"/>
      <c r="BD263" s="81"/>
      <c r="BE263" s="81"/>
      <c r="BF263" s="81"/>
    </row>
    <row r="264" ht="11.25" customHeight="1" spans="1:58">
      <c r="A264" s="297" t="s">
        <v>1008</v>
      </c>
      <c r="E264" s="53"/>
      <c r="F264" s="313"/>
      <c r="G264" s="314"/>
      <c r="H264" s="278" t="s">
        <v>93</v>
      </c>
      <c r="I264" s="374"/>
      <c r="J264" s="375"/>
      <c r="K264" s="213"/>
      <c r="L264" s="140"/>
      <c r="M264" s="232"/>
      <c r="N264" s="367"/>
      <c r="O264" s="379">
        <v>1</v>
      </c>
      <c r="P264" s="369" t="s">
        <v>19</v>
      </c>
      <c r="Q264" s="104" t="s">
        <v>22</v>
      </c>
      <c r="R264" s="104" t="s">
        <v>22</v>
      </c>
      <c r="S264" s="104" t="s">
        <v>22</v>
      </c>
      <c r="T264" s="104" t="s">
        <v>22</v>
      </c>
      <c r="U264" s="104" t="s">
        <v>22</v>
      </c>
      <c r="V264" s="104" t="s">
        <v>22</v>
      </c>
      <c r="W264" s="104" t="s">
        <v>22</v>
      </c>
      <c r="X264" s="104" t="s">
        <v>22</v>
      </c>
      <c r="Y264" s="104"/>
      <c r="Z264" s="380"/>
      <c r="AA264" s="381"/>
      <c r="AB264" s="381"/>
      <c r="AC264" s="413"/>
      <c r="AD264" s="413"/>
      <c r="AE264" s="424"/>
      <c r="AF264" s="423"/>
      <c r="AG264" s="432"/>
      <c r="AH264" s="432"/>
      <c r="AI264" s="423"/>
      <c r="AJ264" s="432"/>
      <c r="AK264" s="432"/>
      <c r="AL264" s="429"/>
      <c r="AM264" s="81"/>
      <c r="AN264" s="81"/>
      <c r="AO264" s="81"/>
      <c r="AP264" s="81"/>
      <c r="AQ264" s="81"/>
      <c r="AR264" s="81"/>
      <c r="AS264" s="81"/>
      <c r="AT264" s="81"/>
      <c r="AU264" s="81"/>
      <c r="AV264" s="81"/>
      <c r="AW264" s="81"/>
      <c r="AX264" s="81"/>
      <c r="AY264" s="81"/>
      <c r="AZ264" s="81"/>
      <c r="BA264" s="81"/>
      <c r="BB264" s="81"/>
      <c r="BC264" s="81"/>
      <c r="BD264" s="81"/>
      <c r="BE264" s="81"/>
      <c r="BF264" s="81"/>
    </row>
    <row r="265" ht="11.25" customHeight="1" spans="1:58">
      <c r="A265" s="297" t="s">
        <v>1008</v>
      </c>
      <c r="E265" s="53"/>
      <c r="F265" s="313"/>
      <c r="G265" s="314"/>
      <c r="H265" s="278" t="s">
        <v>93</v>
      </c>
      <c r="I265" s="374"/>
      <c r="J265" s="375"/>
      <c r="K265" s="213"/>
      <c r="L265" s="140"/>
      <c r="M265" s="232"/>
      <c r="N265" s="367"/>
      <c r="O265" s="379"/>
      <c r="P265" s="371"/>
      <c r="Q265" s="104"/>
      <c r="R265" s="104"/>
      <c r="S265" s="387"/>
      <c r="T265" s="104"/>
      <c r="U265" s="104"/>
      <c r="V265" s="104"/>
      <c r="W265" s="104"/>
      <c r="X265" s="104"/>
      <c r="Y265" s="104"/>
      <c r="Z265" s="415"/>
      <c r="AA265" s="368">
        <v>1</v>
      </c>
      <c r="AB265" s="416" t="s">
        <v>1082</v>
      </c>
      <c r="AC265" s="417">
        <v>712.63</v>
      </c>
      <c r="AD265" s="416" t="str">
        <f>AB265</f>
        <v>  Прибыль направляемая на инвестиции</v>
      </c>
      <c r="AE265" s="417"/>
      <c r="AF265" s="423"/>
      <c r="AG265" s="432"/>
      <c r="AH265" s="432"/>
      <c r="AI265" s="423"/>
      <c r="AJ265" s="432"/>
      <c r="AK265" s="432"/>
      <c r="AL265" s="429"/>
      <c r="AM265" s="81"/>
      <c r="AN265" s="81"/>
      <c r="AO265" s="81"/>
      <c r="AP265" s="81"/>
      <c r="AQ265" s="81"/>
      <c r="AR265" s="81"/>
      <c r="AS265" s="81"/>
      <c r="AT265" s="81"/>
      <c r="AU265" s="81"/>
      <c r="AV265" s="81"/>
      <c r="AW265" s="81"/>
      <c r="AX265" s="81"/>
      <c r="AY265" s="81"/>
      <c r="AZ265" s="81"/>
      <c r="BA265" s="81"/>
      <c r="BB265" s="81"/>
      <c r="BC265" s="81"/>
      <c r="BD265" s="81"/>
      <c r="BE265" s="81"/>
      <c r="BF265" s="81"/>
    </row>
    <row r="266" ht="11.25" customHeight="1" spans="1:58">
      <c r="A266" s="297" t="s">
        <v>1008</v>
      </c>
      <c r="E266" s="53"/>
      <c r="F266" s="313"/>
      <c r="G266" s="314"/>
      <c r="H266" s="278" t="s">
        <v>93</v>
      </c>
      <c r="I266" s="374"/>
      <c r="J266" s="375"/>
      <c r="K266" s="213"/>
      <c r="L266" s="140"/>
      <c r="M266" s="232"/>
      <c r="N266" s="367"/>
      <c r="O266" s="379"/>
      <c r="P266" s="373"/>
      <c r="Q266" s="104"/>
      <c r="R266" s="104"/>
      <c r="S266" s="387"/>
      <c r="T266" s="104"/>
      <c r="U266" s="104"/>
      <c r="V266" s="104"/>
      <c r="W266" s="104"/>
      <c r="X266" s="104"/>
      <c r="Y266" s="104"/>
      <c r="Z266" s="380"/>
      <c r="AA266" s="381"/>
      <c r="AB266" s="227" t="s">
        <v>1054</v>
      </c>
      <c r="AC266" s="413"/>
      <c r="AD266" s="413"/>
      <c r="AE266" s="425"/>
      <c r="AF266" s="423"/>
      <c r="AG266" s="432"/>
      <c r="AH266" s="432"/>
      <c r="AI266" s="423"/>
      <c r="AJ266" s="432"/>
      <c r="AK266" s="432"/>
      <c r="AL266" s="429"/>
      <c r="AM266" s="81"/>
      <c r="AN266" s="81"/>
      <c r="AO266" s="81"/>
      <c r="AP266" s="81"/>
      <c r="AQ266" s="81"/>
      <c r="AR266" s="81"/>
      <c r="AS266" s="81"/>
      <c r="AT266" s="81"/>
      <c r="AU266" s="81"/>
      <c r="AV266" s="81"/>
      <c r="AW266" s="81"/>
      <c r="AX266" s="81"/>
      <c r="AY266" s="81"/>
      <c r="AZ266" s="81"/>
      <c r="BA266" s="81"/>
      <c r="BB266" s="81"/>
      <c r="BC266" s="81"/>
      <c r="BD266" s="81"/>
      <c r="BE266" s="81"/>
      <c r="BF266" s="81"/>
    </row>
    <row r="267" ht="11.25" customHeight="1" spans="1:58">
      <c r="A267" s="297" t="s">
        <v>1008</v>
      </c>
      <c r="E267" s="53"/>
      <c r="F267" s="313"/>
      <c r="G267" s="314"/>
      <c r="H267" s="278" t="s">
        <v>93</v>
      </c>
      <c r="I267" s="374"/>
      <c r="J267" s="375"/>
      <c r="K267" s="213"/>
      <c r="L267" s="140"/>
      <c r="M267" s="232"/>
      <c r="N267" s="380"/>
      <c r="O267" s="381"/>
      <c r="P267" s="227" t="s">
        <v>1055</v>
      </c>
      <c r="Q267" s="381"/>
      <c r="R267" s="381"/>
      <c r="S267" s="381"/>
      <c r="T267" s="381"/>
      <c r="U267" s="381"/>
      <c r="V267" s="381"/>
      <c r="W267" s="381"/>
      <c r="X267" s="381"/>
      <c r="Y267" s="381"/>
      <c r="Z267" s="381"/>
      <c r="AA267" s="381"/>
      <c r="AB267" s="381"/>
      <c r="AC267" s="381"/>
      <c r="AD267" s="381"/>
      <c r="AE267" s="426"/>
      <c r="AF267" s="423"/>
      <c r="AG267" s="432"/>
      <c r="AH267" s="432"/>
      <c r="AI267" s="423"/>
      <c r="AJ267" s="432"/>
      <c r="AK267" s="432"/>
      <c r="AL267" s="429"/>
      <c r="AM267" s="81"/>
      <c r="AN267" s="81"/>
      <c r="AO267" s="81"/>
      <c r="AP267" s="81"/>
      <c r="AQ267" s="81"/>
      <c r="AR267" s="81"/>
      <c r="AS267" s="81"/>
      <c r="AT267" s="81"/>
      <c r="AU267" s="81"/>
      <c r="AV267" s="81"/>
      <c r="AW267" s="81"/>
      <c r="AX267" s="81"/>
      <c r="AY267" s="81"/>
      <c r="AZ267" s="81"/>
      <c r="BA267" s="81"/>
      <c r="BB267" s="81"/>
      <c r="BC267" s="81"/>
      <c r="BD267" s="81"/>
      <c r="BE267" s="81"/>
      <c r="BF267" s="81"/>
    </row>
    <row r="268" ht="11.25" customHeight="1" spans="1:58">
      <c r="A268" s="297" t="s">
        <v>1008</v>
      </c>
      <c r="B268" s="297" t="s">
        <v>1104</v>
      </c>
      <c r="E268" s="53"/>
      <c r="F268" s="313"/>
      <c r="G268" s="235" t="s">
        <v>683</v>
      </c>
      <c r="H268" s="278" t="s">
        <v>110</v>
      </c>
      <c r="I268" s="374" t="s">
        <v>1106</v>
      </c>
      <c r="J268" s="375" t="s">
        <v>1107</v>
      </c>
      <c r="K268" s="213" t="s">
        <v>1197</v>
      </c>
      <c r="L268" s="140" t="s">
        <v>19</v>
      </c>
      <c r="M268" s="232"/>
      <c r="N268" s="376"/>
      <c r="O268" s="377" t="s">
        <v>372</v>
      </c>
      <c r="P268" s="378"/>
      <c r="Q268" s="378"/>
      <c r="R268" s="378"/>
      <c r="S268" s="378"/>
      <c r="T268" s="378"/>
      <c r="U268" s="378"/>
      <c r="V268" s="378"/>
      <c r="W268" s="378"/>
      <c r="X268" s="378"/>
      <c r="Y268" s="378"/>
      <c r="Z268" s="378"/>
      <c r="AA268" s="378"/>
      <c r="AB268" s="378"/>
      <c r="AC268" s="378"/>
      <c r="AD268" s="378"/>
      <c r="AE268" s="378"/>
      <c r="AF268" s="423">
        <v>2026</v>
      </c>
      <c r="AG268" s="432" t="s">
        <v>1043</v>
      </c>
      <c r="AH268" s="432" t="s">
        <v>1044</v>
      </c>
      <c r="AI268" s="423"/>
      <c r="AJ268" s="432"/>
      <c r="AK268" s="432"/>
      <c r="AL268" s="429"/>
      <c r="AM268" s="81"/>
      <c r="AN268" s="81"/>
      <c r="AO268" s="81"/>
      <c r="AP268" s="81"/>
      <c r="AQ268" s="81"/>
      <c r="AR268" s="81"/>
      <c r="AS268" s="81"/>
      <c r="AT268" s="81"/>
      <c r="AU268" s="81"/>
      <c r="AV268" s="81"/>
      <c r="AW268" s="81"/>
      <c r="AX268" s="81"/>
      <c r="AY268" s="81"/>
      <c r="AZ268" s="81"/>
      <c r="BA268" s="81"/>
      <c r="BB268" s="81"/>
      <c r="BC268" s="81"/>
      <c r="BD268" s="81"/>
      <c r="BE268" s="81"/>
      <c r="BF268" s="81"/>
    </row>
    <row r="269" ht="11.25" customHeight="1" spans="1:58">
      <c r="A269" s="297" t="s">
        <v>1008</v>
      </c>
      <c r="E269" s="53"/>
      <c r="F269" s="313"/>
      <c r="G269" s="314"/>
      <c r="H269" s="278" t="s">
        <v>94</v>
      </c>
      <c r="I269" s="374"/>
      <c r="J269" s="375"/>
      <c r="K269" s="213"/>
      <c r="L269" s="140"/>
      <c r="M269" s="232"/>
      <c r="N269" s="367"/>
      <c r="O269" s="379">
        <v>1</v>
      </c>
      <c r="P269" s="369" t="s">
        <v>19</v>
      </c>
      <c r="Q269" s="104" t="s">
        <v>22</v>
      </c>
      <c r="R269" s="104" t="s">
        <v>22</v>
      </c>
      <c r="S269" s="104" t="s">
        <v>22</v>
      </c>
      <c r="T269" s="104" t="s">
        <v>22</v>
      </c>
      <c r="U269" s="104" t="s">
        <v>22</v>
      </c>
      <c r="V269" s="104" t="s">
        <v>22</v>
      </c>
      <c r="W269" s="104" t="s">
        <v>22</v>
      </c>
      <c r="X269" s="104" t="s">
        <v>22</v>
      </c>
      <c r="Y269" s="104"/>
      <c r="Z269" s="380"/>
      <c r="AA269" s="381"/>
      <c r="AB269" s="381"/>
      <c r="AC269" s="413"/>
      <c r="AD269" s="413"/>
      <c r="AE269" s="424"/>
      <c r="AF269" s="423"/>
      <c r="AG269" s="432"/>
      <c r="AH269" s="432"/>
      <c r="AI269" s="423"/>
      <c r="AJ269" s="432"/>
      <c r="AK269" s="432"/>
      <c r="AL269" s="429"/>
      <c r="AM269" s="81"/>
      <c r="AN269" s="81"/>
      <c r="AO269" s="81"/>
      <c r="AP269" s="81"/>
      <c r="AQ269" s="81"/>
      <c r="AR269" s="81"/>
      <c r="AS269" s="81"/>
      <c r="AT269" s="81"/>
      <c r="AU269" s="81"/>
      <c r="AV269" s="81"/>
      <c r="AW269" s="81"/>
      <c r="AX269" s="81"/>
      <c r="AY269" s="81"/>
      <c r="AZ269" s="81"/>
      <c r="BA269" s="81"/>
      <c r="BB269" s="81"/>
      <c r="BC269" s="81"/>
      <c r="BD269" s="81"/>
      <c r="BE269" s="81"/>
      <c r="BF269" s="81"/>
    </row>
    <row r="270" ht="11.25" customHeight="1" spans="1:58">
      <c r="A270" s="297" t="s">
        <v>1008</v>
      </c>
      <c r="E270" s="53"/>
      <c r="F270" s="313"/>
      <c r="G270" s="314"/>
      <c r="H270" s="278" t="s">
        <v>94</v>
      </c>
      <c r="I270" s="374"/>
      <c r="J270" s="375"/>
      <c r="K270" s="213"/>
      <c r="L270" s="140"/>
      <c r="M270" s="232"/>
      <c r="N270" s="367"/>
      <c r="O270" s="379"/>
      <c r="P270" s="371"/>
      <c r="Q270" s="104"/>
      <c r="R270" s="104"/>
      <c r="S270" s="387"/>
      <c r="T270" s="104"/>
      <c r="U270" s="104"/>
      <c r="V270" s="104"/>
      <c r="W270" s="104"/>
      <c r="X270" s="104"/>
      <c r="Y270" s="104"/>
      <c r="Z270" s="415"/>
      <c r="AA270" s="368">
        <v>1</v>
      </c>
      <c r="AB270" s="416" t="s">
        <v>1082</v>
      </c>
      <c r="AC270" s="417">
        <v>1110.58</v>
      </c>
      <c r="AD270" s="416" t="str">
        <f>AB270</f>
        <v>  Прибыль направляемая на инвестиции</v>
      </c>
      <c r="AE270" s="417"/>
      <c r="AF270" s="423"/>
      <c r="AG270" s="432"/>
      <c r="AH270" s="432"/>
      <c r="AI270" s="423"/>
      <c r="AJ270" s="432"/>
      <c r="AK270" s="432"/>
      <c r="AL270" s="429"/>
      <c r="AM270" s="81"/>
      <c r="AN270" s="81"/>
      <c r="AO270" s="81"/>
      <c r="AP270" s="81"/>
      <c r="AQ270" s="81"/>
      <c r="AR270" s="81"/>
      <c r="AS270" s="81"/>
      <c r="AT270" s="81"/>
      <c r="AU270" s="81"/>
      <c r="AV270" s="81"/>
      <c r="AW270" s="81"/>
      <c r="AX270" s="81"/>
      <c r="AY270" s="81"/>
      <c r="AZ270" s="81"/>
      <c r="BA270" s="81"/>
      <c r="BB270" s="81"/>
      <c r="BC270" s="81"/>
      <c r="BD270" s="81"/>
      <c r="BE270" s="81"/>
      <c r="BF270" s="81"/>
    </row>
    <row r="271" ht="11.25" customHeight="1" spans="1:58">
      <c r="A271" s="297" t="s">
        <v>1008</v>
      </c>
      <c r="E271" s="53"/>
      <c r="F271" s="313"/>
      <c r="G271" s="314"/>
      <c r="H271" s="278" t="s">
        <v>94</v>
      </c>
      <c r="I271" s="374"/>
      <c r="J271" s="375"/>
      <c r="K271" s="213"/>
      <c r="L271" s="140"/>
      <c r="M271" s="232"/>
      <c r="N271" s="367"/>
      <c r="O271" s="379"/>
      <c r="P271" s="373"/>
      <c r="Q271" s="104"/>
      <c r="R271" s="104"/>
      <c r="S271" s="387"/>
      <c r="T271" s="104"/>
      <c r="U271" s="104"/>
      <c r="V271" s="104"/>
      <c r="W271" s="104"/>
      <c r="X271" s="104"/>
      <c r="Y271" s="104"/>
      <c r="Z271" s="380"/>
      <c r="AA271" s="381"/>
      <c r="AB271" s="227" t="s">
        <v>1054</v>
      </c>
      <c r="AC271" s="413"/>
      <c r="AD271" s="413"/>
      <c r="AE271" s="425"/>
      <c r="AF271" s="423"/>
      <c r="AG271" s="432"/>
      <c r="AH271" s="432"/>
      <c r="AI271" s="423"/>
      <c r="AJ271" s="432"/>
      <c r="AK271" s="432"/>
      <c r="AL271" s="429"/>
      <c r="AM271" s="81"/>
      <c r="AN271" s="81"/>
      <c r="AO271" s="81"/>
      <c r="AP271" s="81"/>
      <c r="AQ271" s="81"/>
      <c r="AR271" s="81"/>
      <c r="AS271" s="81"/>
      <c r="AT271" s="81"/>
      <c r="AU271" s="81"/>
      <c r="AV271" s="81"/>
      <c r="AW271" s="81"/>
      <c r="AX271" s="81"/>
      <c r="AY271" s="81"/>
      <c r="AZ271" s="81"/>
      <c r="BA271" s="81"/>
      <c r="BB271" s="81"/>
      <c r="BC271" s="81"/>
      <c r="BD271" s="81"/>
      <c r="BE271" s="81"/>
      <c r="BF271" s="81"/>
    </row>
    <row r="272" ht="11.25" customHeight="1" spans="1:58">
      <c r="A272" s="297" t="s">
        <v>1008</v>
      </c>
      <c r="E272" s="53"/>
      <c r="F272" s="313"/>
      <c r="G272" s="314"/>
      <c r="H272" s="278" t="s">
        <v>94</v>
      </c>
      <c r="I272" s="374"/>
      <c r="J272" s="375"/>
      <c r="K272" s="213"/>
      <c r="L272" s="140"/>
      <c r="M272" s="232"/>
      <c r="N272" s="380"/>
      <c r="O272" s="381"/>
      <c r="P272" s="227" t="s">
        <v>1055</v>
      </c>
      <c r="Q272" s="381"/>
      <c r="R272" s="381"/>
      <c r="S272" s="381"/>
      <c r="T272" s="381"/>
      <c r="U272" s="381"/>
      <c r="V272" s="381"/>
      <c r="W272" s="381"/>
      <c r="X272" s="381"/>
      <c r="Y272" s="381"/>
      <c r="Z272" s="381"/>
      <c r="AA272" s="381"/>
      <c r="AB272" s="381"/>
      <c r="AC272" s="381"/>
      <c r="AD272" s="381"/>
      <c r="AE272" s="426"/>
      <c r="AF272" s="423"/>
      <c r="AG272" s="432"/>
      <c r="AH272" s="432"/>
      <c r="AI272" s="423"/>
      <c r="AJ272" s="432"/>
      <c r="AK272" s="432"/>
      <c r="AL272" s="429"/>
      <c r="AM272" s="81"/>
      <c r="AN272" s="81"/>
      <c r="AO272" s="81"/>
      <c r="AP272" s="81"/>
      <c r="AQ272" s="81"/>
      <c r="AR272" s="81"/>
      <c r="AS272" s="81"/>
      <c r="AT272" s="81"/>
      <c r="AU272" s="81"/>
      <c r="AV272" s="81"/>
      <c r="AW272" s="81"/>
      <c r="AX272" s="81"/>
      <c r="AY272" s="81"/>
      <c r="AZ272" s="81"/>
      <c r="BA272" s="81"/>
      <c r="BB272" s="81"/>
      <c r="BC272" s="81"/>
      <c r="BD272" s="81"/>
      <c r="BE272" s="81"/>
      <c r="BF272" s="81"/>
    </row>
    <row r="273" ht="11.25" customHeight="1" spans="1:58">
      <c r="A273" s="297" t="s">
        <v>1008</v>
      </c>
      <c r="B273" s="297" t="s">
        <v>1104</v>
      </c>
      <c r="E273" s="53"/>
      <c r="F273" s="313"/>
      <c r="G273" s="235" t="s">
        <v>683</v>
      </c>
      <c r="H273" s="278" t="s">
        <v>146</v>
      </c>
      <c r="I273" s="374" t="s">
        <v>1106</v>
      </c>
      <c r="J273" s="375" t="s">
        <v>1107</v>
      </c>
      <c r="K273" s="213" t="s">
        <v>1198</v>
      </c>
      <c r="L273" s="140" t="s">
        <v>19</v>
      </c>
      <c r="M273" s="232"/>
      <c r="N273" s="376"/>
      <c r="O273" s="377" t="s">
        <v>372</v>
      </c>
      <c r="P273" s="378"/>
      <c r="Q273" s="378"/>
      <c r="R273" s="378"/>
      <c r="S273" s="378"/>
      <c r="T273" s="378"/>
      <c r="U273" s="378"/>
      <c r="V273" s="378"/>
      <c r="W273" s="378"/>
      <c r="X273" s="378"/>
      <c r="Y273" s="378"/>
      <c r="Z273" s="378"/>
      <c r="AA273" s="378"/>
      <c r="AB273" s="378"/>
      <c r="AC273" s="378"/>
      <c r="AD273" s="378"/>
      <c r="AE273" s="378"/>
      <c r="AF273" s="423">
        <v>2026</v>
      </c>
      <c r="AG273" s="432" t="s">
        <v>1043</v>
      </c>
      <c r="AH273" s="432" t="s">
        <v>1044</v>
      </c>
      <c r="AI273" s="423"/>
      <c r="AJ273" s="432"/>
      <c r="AK273" s="432"/>
      <c r="AL273" s="429"/>
      <c r="AM273" s="81"/>
      <c r="AN273" s="81"/>
      <c r="AO273" s="81"/>
      <c r="AP273" s="81"/>
      <c r="AQ273" s="81"/>
      <c r="AR273" s="81"/>
      <c r="AS273" s="81"/>
      <c r="AT273" s="81"/>
      <c r="AU273" s="81"/>
      <c r="AV273" s="81"/>
      <c r="AW273" s="81"/>
      <c r="AX273" s="81"/>
      <c r="AY273" s="81"/>
      <c r="AZ273" s="81"/>
      <c r="BA273" s="81"/>
      <c r="BB273" s="81"/>
      <c r="BC273" s="81"/>
      <c r="BD273" s="81"/>
      <c r="BE273" s="81"/>
      <c r="BF273" s="81"/>
    </row>
    <row r="274" ht="11.25" customHeight="1" spans="1:58">
      <c r="A274" s="297" t="s">
        <v>1008</v>
      </c>
      <c r="E274" s="53"/>
      <c r="F274" s="313"/>
      <c r="G274" s="314"/>
      <c r="H274" s="278" t="s">
        <v>110</v>
      </c>
      <c r="I274" s="374"/>
      <c r="J274" s="375"/>
      <c r="K274" s="213"/>
      <c r="L274" s="140"/>
      <c r="M274" s="232"/>
      <c r="N274" s="367"/>
      <c r="O274" s="379">
        <v>1</v>
      </c>
      <c r="P274" s="369" t="s">
        <v>19</v>
      </c>
      <c r="Q274" s="104" t="s">
        <v>22</v>
      </c>
      <c r="R274" s="104" t="s">
        <v>22</v>
      </c>
      <c r="S274" s="104" t="s">
        <v>22</v>
      </c>
      <c r="T274" s="104" t="s">
        <v>22</v>
      </c>
      <c r="U274" s="104" t="s">
        <v>22</v>
      </c>
      <c r="V274" s="104" t="s">
        <v>22</v>
      </c>
      <c r="W274" s="104" t="s">
        <v>22</v>
      </c>
      <c r="X274" s="104" t="s">
        <v>22</v>
      </c>
      <c r="Y274" s="104"/>
      <c r="Z274" s="380"/>
      <c r="AA274" s="381"/>
      <c r="AB274" s="381"/>
      <c r="AC274" s="413"/>
      <c r="AD274" s="413"/>
      <c r="AE274" s="424"/>
      <c r="AF274" s="423"/>
      <c r="AG274" s="432"/>
      <c r="AH274" s="432"/>
      <c r="AI274" s="423"/>
      <c r="AJ274" s="432"/>
      <c r="AK274" s="432"/>
      <c r="AL274" s="429"/>
      <c r="AM274" s="81"/>
      <c r="AN274" s="81"/>
      <c r="AO274" s="81"/>
      <c r="AP274" s="81"/>
      <c r="AQ274" s="81"/>
      <c r="AR274" s="81"/>
      <c r="AS274" s="81"/>
      <c r="AT274" s="81"/>
      <c r="AU274" s="81"/>
      <c r="AV274" s="81"/>
      <c r="AW274" s="81"/>
      <c r="AX274" s="81"/>
      <c r="AY274" s="81"/>
      <c r="AZ274" s="81"/>
      <c r="BA274" s="81"/>
      <c r="BB274" s="81"/>
      <c r="BC274" s="81"/>
      <c r="BD274" s="81"/>
      <c r="BE274" s="81"/>
      <c r="BF274" s="81"/>
    </row>
    <row r="275" ht="11.25" customHeight="1" spans="1:58">
      <c r="A275" s="297" t="s">
        <v>1008</v>
      </c>
      <c r="E275" s="53"/>
      <c r="F275" s="313"/>
      <c r="G275" s="314"/>
      <c r="H275" s="278" t="s">
        <v>110</v>
      </c>
      <c r="I275" s="374"/>
      <c r="J275" s="375"/>
      <c r="K275" s="213"/>
      <c r="L275" s="140"/>
      <c r="M275" s="232"/>
      <c r="N275" s="367"/>
      <c r="O275" s="379"/>
      <c r="P275" s="371"/>
      <c r="Q275" s="104"/>
      <c r="R275" s="104"/>
      <c r="S275" s="387"/>
      <c r="T275" s="104"/>
      <c r="U275" s="104"/>
      <c r="V275" s="104"/>
      <c r="W275" s="104"/>
      <c r="X275" s="104"/>
      <c r="Y275" s="104"/>
      <c r="Z275" s="415"/>
      <c r="AA275" s="368">
        <v>1</v>
      </c>
      <c r="AB275" s="416" t="s">
        <v>1082</v>
      </c>
      <c r="AC275" s="417">
        <v>1280.45</v>
      </c>
      <c r="AD275" s="416" t="str">
        <f>AB275</f>
        <v>  Прибыль направляемая на инвестиции</v>
      </c>
      <c r="AE275" s="417"/>
      <c r="AF275" s="423"/>
      <c r="AG275" s="432"/>
      <c r="AH275" s="432"/>
      <c r="AI275" s="423"/>
      <c r="AJ275" s="432"/>
      <c r="AK275" s="432"/>
      <c r="AL275" s="429"/>
      <c r="AM275" s="81"/>
      <c r="AN275" s="81"/>
      <c r="AO275" s="81"/>
      <c r="AP275" s="81"/>
      <c r="AQ275" s="81"/>
      <c r="AR275" s="81"/>
      <c r="AS275" s="81"/>
      <c r="AT275" s="81"/>
      <c r="AU275" s="81"/>
      <c r="AV275" s="81"/>
      <c r="AW275" s="81"/>
      <c r="AX275" s="81"/>
      <c r="AY275" s="81"/>
      <c r="AZ275" s="81"/>
      <c r="BA275" s="81"/>
      <c r="BB275" s="81"/>
      <c r="BC275" s="81"/>
      <c r="BD275" s="81"/>
      <c r="BE275" s="81"/>
      <c r="BF275" s="81"/>
    </row>
    <row r="276" ht="11.25" customHeight="1" spans="1:58">
      <c r="A276" s="297" t="s">
        <v>1008</v>
      </c>
      <c r="E276" s="53"/>
      <c r="F276" s="313"/>
      <c r="G276" s="314"/>
      <c r="H276" s="278" t="s">
        <v>110</v>
      </c>
      <c r="I276" s="374"/>
      <c r="J276" s="375"/>
      <c r="K276" s="213"/>
      <c r="L276" s="140"/>
      <c r="M276" s="232"/>
      <c r="N276" s="367"/>
      <c r="O276" s="379"/>
      <c r="P276" s="373"/>
      <c r="Q276" s="104"/>
      <c r="R276" s="104"/>
      <c r="S276" s="387"/>
      <c r="T276" s="104"/>
      <c r="U276" s="104"/>
      <c r="V276" s="104"/>
      <c r="W276" s="104"/>
      <c r="X276" s="104"/>
      <c r="Y276" s="104"/>
      <c r="Z276" s="380"/>
      <c r="AA276" s="381"/>
      <c r="AB276" s="227" t="s">
        <v>1054</v>
      </c>
      <c r="AC276" s="413"/>
      <c r="AD276" s="413"/>
      <c r="AE276" s="425"/>
      <c r="AF276" s="423"/>
      <c r="AG276" s="432"/>
      <c r="AH276" s="432"/>
      <c r="AI276" s="423"/>
      <c r="AJ276" s="432"/>
      <c r="AK276" s="432"/>
      <c r="AL276" s="429"/>
      <c r="AM276" s="81"/>
      <c r="AN276" s="81"/>
      <c r="AO276" s="81"/>
      <c r="AP276" s="81"/>
      <c r="AQ276" s="81"/>
      <c r="AR276" s="81"/>
      <c r="AS276" s="81"/>
      <c r="AT276" s="81"/>
      <c r="AU276" s="81"/>
      <c r="AV276" s="81"/>
      <c r="AW276" s="81"/>
      <c r="AX276" s="81"/>
      <c r="AY276" s="81"/>
      <c r="AZ276" s="81"/>
      <c r="BA276" s="81"/>
      <c r="BB276" s="81"/>
      <c r="BC276" s="81"/>
      <c r="BD276" s="81"/>
      <c r="BE276" s="81"/>
      <c r="BF276" s="81"/>
    </row>
    <row r="277" ht="11.25" customHeight="1" spans="1:58">
      <c r="A277" s="297" t="s">
        <v>1008</v>
      </c>
      <c r="E277" s="53"/>
      <c r="F277" s="313"/>
      <c r="G277" s="314"/>
      <c r="H277" s="278" t="s">
        <v>110</v>
      </c>
      <c r="I277" s="374"/>
      <c r="J277" s="375"/>
      <c r="K277" s="213"/>
      <c r="L277" s="140"/>
      <c r="M277" s="232"/>
      <c r="N277" s="380"/>
      <c r="O277" s="381"/>
      <c r="P277" s="227" t="s">
        <v>1055</v>
      </c>
      <c r="Q277" s="381"/>
      <c r="R277" s="381"/>
      <c r="S277" s="381"/>
      <c r="T277" s="381"/>
      <c r="U277" s="381"/>
      <c r="V277" s="381"/>
      <c r="W277" s="381"/>
      <c r="X277" s="381"/>
      <c r="Y277" s="381"/>
      <c r="Z277" s="381"/>
      <c r="AA277" s="381"/>
      <c r="AB277" s="381"/>
      <c r="AC277" s="381"/>
      <c r="AD277" s="381"/>
      <c r="AE277" s="426"/>
      <c r="AF277" s="423"/>
      <c r="AG277" s="432"/>
      <c r="AH277" s="432"/>
      <c r="AI277" s="423"/>
      <c r="AJ277" s="432"/>
      <c r="AK277" s="432"/>
      <c r="AL277" s="429"/>
      <c r="AM277" s="81"/>
      <c r="AN277" s="81"/>
      <c r="AO277" s="81"/>
      <c r="AP277" s="81"/>
      <c r="AQ277" s="81"/>
      <c r="AR277" s="81"/>
      <c r="AS277" s="81"/>
      <c r="AT277" s="81"/>
      <c r="AU277" s="81"/>
      <c r="AV277" s="81"/>
      <c r="AW277" s="81"/>
      <c r="AX277" s="81"/>
      <c r="AY277" s="81"/>
      <c r="AZ277" s="81"/>
      <c r="BA277" s="81"/>
      <c r="BB277" s="81"/>
      <c r="BC277" s="81"/>
      <c r="BD277" s="81"/>
      <c r="BE277" s="81"/>
      <c r="BF277" s="81"/>
    </row>
    <row r="278" ht="11.25" customHeight="1" spans="1:58">
      <c r="A278" s="297" t="s">
        <v>1008</v>
      </c>
      <c r="B278" s="297" t="s">
        <v>1104</v>
      </c>
      <c r="E278" s="53"/>
      <c r="F278" s="313"/>
      <c r="G278" s="235" t="s">
        <v>683</v>
      </c>
      <c r="H278" s="278" t="s">
        <v>147</v>
      </c>
      <c r="I278" s="374" t="s">
        <v>1106</v>
      </c>
      <c r="J278" s="375" t="s">
        <v>1107</v>
      </c>
      <c r="K278" s="213" t="s">
        <v>1199</v>
      </c>
      <c r="L278" s="140" t="s">
        <v>19</v>
      </c>
      <c r="M278" s="232"/>
      <c r="N278" s="376"/>
      <c r="O278" s="377" t="s">
        <v>372</v>
      </c>
      <c r="P278" s="378"/>
      <c r="Q278" s="378"/>
      <c r="R278" s="378"/>
      <c r="S278" s="378"/>
      <c r="T278" s="378"/>
      <c r="U278" s="378"/>
      <c r="V278" s="378"/>
      <c r="W278" s="378"/>
      <c r="X278" s="378"/>
      <c r="Y278" s="378"/>
      <c r="Z278" s="378"/>
      <c r="AA278" s="378"/>
      <c r="AB278" s="378"/>
      <c r="AC278" s="378"/>
      <c r="AD278" s="378"/>
      <c r="AE278" s="378"/>
      <c r="AF278" s="423">
        <v>2026</v>
      </c>
      <c r="AG278" s="432" t="s">
        <v>1043</v>
      </c>
      <c r="AH278" s="432" t="s">
        <v>1044</v>
      </c>
      <c r="AI278" s="423"/>
      <c r="AJ278" s="432"/>
      <c r="AK278" s="432"/>
      <c r="AL278" s="429"/>
      <c r="AM278" s="81"/>
      <c r="AN278" s="81"/>
      <c r="AO278" s="81"/>
      <c r="AP278" s="81"/>
      <c r="AQ278" s="81"/>
      <c r="AR278" s="81"/>
      <c r="AS278" s="81"/>
      <c r="AT278" s="81"/>
      <c r="AU278" s="81"/>
      <c r="AV278" s="81"/>
      <c r="AW278" s="81"/>
      <c r="AX278" s="81"/>
      <c r="AY278" s="81"/>
      <c r="AZ278" s="81"/>
      <c r="BA278" s="81"/>
      <c r="BB278" s="81"/>
      <c r="BC278" s="81"/>
      <c r="BD278" s="81"/>
      <c r="BE278" s="81"/>
      <c r="BF278" s="81"/>
    </row>
    <row r="279" ht="11.25" customHeight="1" spans="1:58">
      <c r="A279" s="297" t="s">
        <v>1008</v>
      </c>
      <c r="E279" s="53"/>
      <c r="F279" s="313"/>
      <c r="G279" s="314"/>
      <c r="H279" s="278" t="s">
        <v>146</v>
      </c>
      <c r="I279" s="374"/>
      <c r="J279" s="375"/>
      <c r="K279" s="213"/>
      <c r="L279" s="140"/>
      <c r="M279" s="232"/>
      <c r="N279" s="367"/>
      <c r="O279" s="379">
        <v>1</v>
      </c>
      <c r="P279" s="369" t="s">
        <v>19</v>
      </c>
      <c r="Q279" s="104" t="s">
        <v>22</v>
      </c>
      <c r="R279" s="104" t="s">
        <v>22</v>
      </c>
      <c r="S279" s="104" t="s">
        <v>22</v>
      </c>
      <c r="T279" s="104" t="s">
        <v>22</v>
      </c>
      <c r="U279" s="104" t="s">
        <v>22</v>
      </c>
      <c r="V279" s="104" t="s">
        <v>22</v>
      </c>
      <c r="W279" s="104" t="s">
        <v>22</v>
      </c>
      <c r="X279" s="104" t="s">
        <v>22</v>
      </c>
      <c r="Y279" s="104"/>
      <c r="Z279" s="380"/>
      <c r="AA279" s="381"/>
      <c r="AB279" s="381"/>
      <c r="AC279" s="413"/>
      <c r="AD279" s="413"/>
      <c r="AE279" s="424"/>
      <c r="AF279" s="423"/>
      <c r="AG279" s="432"/>
      <c r="AH279" s="432"/>
      <c r="AI279" s="423"/>
      <c r="AJ279" s="432"/>
      <c r="AK279" s="432"/>
      <c r="AL279" s="429"/>
      <c r="AM279" s="81"/>
      <c r="AN279" s="81"/>
      <c r="AO279" s="81"/>
      <c r="AP279" s="81"/>
      <c r="AQ279" s="81"/>
      <c r="AR279" s="81"/>
      <c r="AS279" s="81"/>
      <c r="AT279" s="81"/>
      <c r="AU279" s="81"/>
      <c r="AV279" s="81"/>
      <c r="AW279" s="81"/>
      <c r="AX279" s="81"/>
      <c r="AY279" s="81"/>
      <c r="AZ279" s="81"/>
      <c r="BA279" s="81"/>
      <c r="BB279" s="81"/>
      <c r="BC279" s="81"/>
      <c r="BD279" s="81"/>
      <c r="BE279" s="81"/>
      <c r="BF279" s="81"/>
    </row>
    <row r="280" ht="11.25" customHeight="1" spans="1:58">
      <c r="A280" s="297" t="s">
        <v>1008</v>
      </c>
      <c r="E280" s="53"/>
      <c r="F280" s="313"/>
      <c r="G280" s="314"/>
      <c r="H280" s="278" t="s">
        <v>146</v>
      </c>
      <c r="I280" s="374"/>
      <c r="J280" s="375"/>
      <c r="K280" s="213"/>
      <c r="L280" s="140"/>
      <c r="M280" s="232"/>
      <c r="N280" s="367"/>
      <c r="O280" s="379"/>
      <c r="P280" s="371"/>
      <c r="Q280" s="104"/>
      <c r="R280" s="104"/>
      <c r="S280" s="387"/>
      <c r="T280" s="104"/>
      <c r="U280" s="104"/>
      <c r="V280" s="104"/>
      <c r="W280" s="104"/>
      <c r="X280" s="104"/>
      <c r="Y280" s="104"/>
      <c r="Z280" s="415"/>
      <c r="AA280" s="368">
        <v>1</v>
      </c>
      <c r="AB280" s="416" t="s">
        <v>1082</v>
      </c>
      <c r="AC280" s="417">
        <v>2202.57</v>
      </c>
      <c r="AD280" s="416" t="str">
        <f>AB280</f>
        <v>  Прибыль направляемая на инвестиции</v>
      </c>
      <c r="AE280" s="417"/>
      <c r="AF280" s="423"/>
      <c r="AG280" s="432"/>
      <c r="AH280" s="432"/>
      <c r="AI280" s="423"/>
      <c r="AJ280" s="432"/>
      <c r="AK280" s="432"/>
      <c r="AL280" s="429"/>
      <c r="AM280" s="81"/>
      <c r="AN280" s="81"/>
      <c r="AO280" s="81"/>
      <c r="AP280" s="81"/>
      <c r="AQ280" s="81"/>
      <c r="AR280" s="81"/>
      <c r="AS280" s="81"/>
      <c r="AT280" s="81"/>
      <c r="AU280" s="81"/>
      <c r="AV280" s="81"/>
      <c r="AW280" s="81"/>
      <c r="AX280" s="81"/>
      <c r="AY280" s="81"/>
      <c r="AZ280" s="81"/>
      <c r="BA280" s="81"/>
      <c r="BB280" s="81"/>
      <c r="BC280" s="81"/>
      <c r="BD280" s="81"/>
      <c r="BE280" s="81"/>
      <c r="BF280" s="81"/>
    </row>
    <row r="281" ht="11.25" customHeight="1" spans="1:58">
      <c r="A281" s="297" t="s">
        <v>1008</v>
      </c>
      <c r="E281" s="53"/>
      <c r="F281" s="313"/>
      <c r="G281" s="314"/>
      <c r="H281" s="278" t="s">
        <v>146</v>
      </c>
      <c r="I281" s="374"/>
      <c r="J281" s="375"/>
      <c r="K281" s="213"/>
      <c r="L281" s="140"/>
      <c r="M281" s="232"/>
      <c r="N281" s="367"/>
      <c r="O281" s="379"/>
      <c r="P281" s="373"/>
      <c r="Q281" s="104"/>
      <c r="R281" s="104"/>
      <c r="S281" s="387"/>
      <c r="T281" s="104"/>
      <c r="U281" s="104"/>
      <c r="V281" s="104"/>
      <c r="W281" s="104"/>
      <c r="X281" s="104"/>
      <c r="Y281" s="104"/>
      <c r="Z281" s="380"/>
      <c r="AA281" s="381"/>
      <c r="AB281" s="227" t="s">
        <v>1054</v>
      </c>
      <c r="AC281" s="413"/>
      <c r="AD281" s="413"/>
      <c r="AE281" s="425"/>
      <c r="AF281" s="423"/>
      <c r="AG281" s="432"/>
      <c r="AH281" s="432"/>
      <c r="AI281" s="423"/>
      <c r="AJ281" s="432"/>
      <c r="AK281" s="432"/>
      <c r="AL281" s="429"/>
      <c r="AM281" s="81"/>
      <c r="AN281" s="81"/>
      <c r="AO281" s="81"/>
      <c r="AP281" s="81"/>
      <c r="AQ281" s="81"/>
      <c r="AR281" s="81"/>
      <c r="AS281" s="81"/>
      <c r="AT281" s="81"/>
      <c r="AU281" s="81"/>
      <c r="AV281" s="81"/>
      <c r="AW281" s="81"/>
      <c r="AX281" s="81"/>
      <c r="AY281" s="81"/>
      <c r="AZ281" s="81"/>
      <c r="BA281" s="81"/>
      <c r="BB281" s="81"/>
      <c r="BC281" s="81"/>
      <c r="BD281" s="81"/>
      <c r="BE281" s="81"/>
      <c r="BF281" s="81"/>
    </row>
    <row r="282" ht="11.25" customHeight="1" spans="1:58">
      <c r="A282" s="297" t="s">
        <v>1008</v>
      </c>
      <c r="E282" s="53"/>
      <c r="F282" s="313"/>
      <c r="G282" s="314"/>
      <c r="H282" s="278" t="s">
        <v>146</v>
      </c>
      <c r="I282" s="374"/>
      <c r="J282" s="375"/>
      <c r="K282" s="213"/>
      <c r="L282" s="140"/>
      <c r="M282" s="232"/>
      <c r="N282" s="380"/>
      <c r="O282" s="381"/>
      <c r="P282" s="227" t="s">
        <v>1055</v>
      </c>
      <c r="Q282" s="381"/>
      <c r="R282" s="381"/>
      <c r="S282" s="381"/>
      <c r="T282" s="381"/>
      <c r="U282" s="381"/>
      <c r="V282" s="381"/>
      <c r="W282" s="381"/>
      <c r="X282" s="381"/>
      <c r="Y282" s="381"/>
      <c r="Z282" s="381"/>
      <c r="AA282" s="381"/>
      <c r="AB282" s="381"/>
      <c r="AC282" s="381"/>
      <c r="AD282" s="381"/>
      <c r="AE282" s="426"/>
      <c r="AF282" s="423"/>
      <c r="AG282" s="432"/>
      <c r="AH282" s="432"/>
      <c r="AI282" s="423"/>
      <c r="AJ282" s="432"/>
      <c r="AK282" s="432"/>
      <c r="AL282" s="429"/>
      <c r="AM282" s="81"/>
      <c r="AN282" s="81"/>
      <c r="AO282" s="81"/>
      <c r="AP282" s="81"/>
      <c r="AQ282" s="81"/>
      <c r="AR282" s="81"/>
      <c r="AS282" s="81"/>
      <c r="AT282" s="81"/>
      <c r="AU282" s="81"/>
      <c r="AV282" s="81"/>
      <c r="AW282" s="81"/>
      <c r="AX282" s="81"/>
      <c r="AY282" s="81"/>
      <c r="AZ282" s="81"/>
      <c r="BA282" s="81"/>
      <c r="BB282" s="81"/>
      <c r="BC282" s="81"/>
      <c r="BD282" s="81"/>
      <c r="BE282" s="81"/>
      <c r="BF282" s="81"/>
    </row>
    <row r="283" ht="11.25" customHeight="1" spans="1:58">
      <c r="A283" s="297" t="s">
        <v>1008</v>
      </c>
      <c r="B283" s="297" t="s">
        <v>1104</v>
      </c>
      <c r="E283" s="53"/>
      <c r="F283" s="313"/>
      <c r="G283" s="235" t="s">
        <v>683</v>
      </c>
      <c r="H283" s="278" t="s">
        <v>148</v>
      </c>
      <c r="I283" s="374" t="s">
        <v>1106</v>
      </c>
      <c r="J283" s="375" t="s">
        <v>1107</v>
      </c>
      <c r="K283" s="213" t="s">
        <v>1200</v>
      </c>
      <c r="L283" s="140" t="s">
        <v>19</v>
      </c>
      <c r="M283" s="232"/>
      <c r="N283" s="376"/>
      <c r="O283" s="377" t="s">
        <v>372</v>
      </c>
      <c r="P283" s="378"/>
      <c r="Q283" s="378"/>
      <c r="R283" s="378"/>
      <c r="S283" s="378"/>
      <c r="T283" s="378"/>
      <c r="U283" s="378"/>
      <c r="V283" s="378"/>
      <c r="W283" s="378"/>
      <c r="X283" s="378"/>
      <c r="Y283" s="378"/>
      <c r="Z283" s="378"/>
      <c r="AA283" s="378"/>
      <c r="AB283" s="378"/>
      <c r="AC283" s="378"/>
      <c r="AD283" s="378"/>
      <c r="AE283" s="378"/>
      <c r="AF283" s="423">
        <v>2026</v>
      </c>
      <c r="AG283" s="432" t="s">
        <v>1043</v>
      </c>
      <c r="AH283" s="432" t="s">
        <v>1044</v>
      </c>
      <c r="AI283" s="423"/>
      <c r="AJ283" s="432"/>
      <c r="AK283" s="432"/>
      <c r="AL283" s="429"/>
      <c r="AM283" s="81"/>
      <c r="AN283" s="81"/>
      <c r="AO283" s="81"/>
      <c r="AP283" s="81"/>
      <c r="AQ283" s="81"/>
      <c r="AR283" s="81"/>
      <c r="AS283" s="81"/>
      <c r="AT283" s="81"/>
      <c r="AU283" s="81"/>
      <c r="AV283" s="81"/>
      <c r="AW283" s="81"/>
      <c r="AX283" s="81"/>
      <c r="AY283" s="81"/>
      <c r="AZ283" s="81"/>
      <c r="BA283" s="81"/>
      <c r="BB283" s="81"/>
      <c r="BC283" s="81"/>
      <c r="BD283" s="81"/>
      <c r="BE283" s="81"/>
      <c r="BF283" s="81"/>
    </row>
    <row r="284" ht="11.25" customHeight="1" spans="1:58">
      <c r="A284" s="297" t="s">
        <v>1008</v>
      </c>
      <c r="E284" s="53"/>
      <c r="F284" s="313"/>
      <c r="G284" s="314"/>
      <c r="H284" s="278" t="s">
        <v>147</v>
      </c>
      <c r="I284" s="374"/>
      <c r="J284" s="375"/>
      <c r="K284" s="213"/>
      <c r="L284" s="140"/>
      <c r="M284" s="232"/>
      <c r="N284" s="367"/>
      <c r="O284" s="379">
        <v>1</v>
      </c>
      <c r="P284" s="369" t="s">
        <v>19</v>
      </c>
      <c r="Q284" s="104" t="s">
        <v>22</v>
      </c>
      <c r="R284" s="104" t="s">
        <v>22</v>
      </c>
      <c r="S284" s="104" t="s">
        <v>22</v>
      </c>
      <c r="T284" s="104" t="s">
        <v>22</v>
      </c>
      <c r="U284" s="104" t="s">
        <v>22</v>
      </c>
      <c r="V284" s="104" t="s">
        <v>22</v>
      </c>
      <c r="W284" s="104" t="s">
        <v>22</v>
      </c>
      <c r="X284" s="104" t="s">
        <v>22</v>
      </c>
      <c r="Y284" s="104"/>
      <c r="Z284" s="380"/>
      <c r="AA284" s="381"/>
      <c r="AB284" s="381"/>
      <c r="AC284" s="413"/>
      <c r="AD284" s="413"/>
      <c r="AE284" s="424"/>
      <c r="AF284" s="423"/>
      <c r="AG284" s="432"/>
      <c r="AH284" s="432"/>
      <c r="AI284" s="423"/>
      <c r="AJ284" s="432"/>
      <c r="AK284" s="432"/>
      <c r="AL284" s="429"/>
      <c r="AM284" s="81"/>
      <c r="AN284" s="81"/>
      <c r="AO284" s="81"/>
      <c r="AP284" s="81"/>
      <c r="AQ284" s="81"/>
      <c r="AR284" s="81"/>
      <c r="AS284" s="81"/>
      <c r="AT284" s="81"/>
      <c r="AU284" s="81"/>
      <c r="AV284" s="81"/>
      <c r="AW284" s="81"/>
      <c r="AX284" s="81"/>
      <c r="AY284" s="81"/>
      <c r="AZ284" s="81"/>
      <c r="BA284" s="81"/>
      <c r="BB284" s="81"/>
      <c r="BC284" s="81"/>
      <c r="BD284" s="81"/>
      <c r="BE284" s="81"/>
      <c r="BF284" s="81"/>
    </row>
    <row r="285" ht="11.25" customHeight="1" spans="1:58">
      <c r="A285" s="297" t="s">
        <v>1008</v>
      </c>
      <c r="E285" s="53"/>
      <c r="F285" s="313"/>
      <c r="G285" s="314"/>
      <c r="H285" s="278" t="s">
        <v>147</v>
      </c>
      <c r="I285" s="374"/>
      <c r="J285" s="375"/>
      <c r="K285" s="213"/>
      <c r="L285" s="140"/>
      <c r="M285" s="232"/>
      <c r="N285" s="367"/>
      <c r="O285" s="379"/>
      <c r="P285" s="371"/>
      <c r="Q285" s="104"/>
      <c r="R285" s="104"/>
      <c r="S285" s="387"/>
      <c r="T285" s="104"/>
      <c r="U285" s="104"/>
      <c r="V285" s="104"/>
      <c r="W285" s="104"/>
      <c r="X285" s="104"/>
      <c r="Y285" s="104"/>
      <c r="Z285" s="415"/>
      <c r="AA285" s="368">
        <v>1</v>
      </c>
      <c r="AB285" s="416" t="s">
        <v>1082</v>
      </c>
      <c r="AC285" s="417">
        <v>1663.93</v>
      </c>
      <c r="AD285" s="416" t="str">
        <f>AB285</f>
        <v>  Прибыль направляемая на инвестиции</v>
      </c>
      <c r="AE285" s="417"/>
      <c r="AF285" s="423"/>
      <c r="AG285" s="432"/>
      <c r="AH285" s="432"/>
      <c r="AI285" s="423"/>
      <c r="AJ285" s="432"/>
      <c r="AK285" s="432"/>
      <c r="AL285" s="429"/>
      <c r="AM285" s="81"/>
      <c r="AN285" s="81"/>
      <c r="AO285" s="81"/>
      <c r="AP285" s="81"/>
      <c r="AQ285" s="81"/>
      <c r="AR285" s="81"/>
      <c r="AS285" s="81"/>
      <c r="AT285" s="81"/>
      <c r="AU285" s="81"/>
      <c r="AV285" s="81"/>
      <c r="AW285" s="81"/>
      <c r="AX285" s="81"/>
      <c r="AY285" s="81"/>
      <c r="AZ285" s="81"/>
      <c r="BA285" s="81"/>
      <c r="BB285" s="81"/>
      <c r="BC285" s="81"/>
      <c r="BD285" s="81"/>
      <c r="BE285" s="81"/>
      <c r="BF285" s="81"/>
    </row>
    <row r="286" ht="11.25" customHeight="1" spans="1:58">
      <c r="A286" s="297" t="s">
        <v>1008</v>
      </c>
      <c r="E286" s="53"/>
      <c r="F286" s="313"/>
      <c r="G286" s="314"/>
      <c r="H286" s="278" t="s">
        <v>147</v>
      </c>
      <c r="I286" s="374"/>
      <c r="J286" s="375"/>
      <c r="K286" s="213"/>
      <c r="L286" s="140"/>
      <c r="M286" s="232"/>
      <c r="N286" s="367"/>
      <c r="O286" s="379"/>
      <c r="P286" s="373"/>
      <c r="Q286" s="104"/>
      <c r="R286" s="104"/>
      <c r="S286" s="387"/>
      <c r="T286" s="104"/>
      <c r="U286" s="104"/>
      <c r="V286" s="104"/>
      <c r="W286" s="104"/>
      <c r="X286" s="104"/>
      <c r="Y286" s="104"/>
      <c r="Z286" s="380"/>
      <c r="AA286" s="381"/>
      <c r="AB286" s="227" t="s">
        <v>1054</v>
      </c>
      <c r="AC286" s="413"/>
      <c r="AD286" s="413"/>
      <c r="AE286" s="425"/>
      <c r="AF286" s="423"/>
      <c r="AG286" s="432"/>
      <c r="AH286" s="432"/>
      <c r="AI286" s="423"/>
      <c r="AJ286" s="432"/>
      <c r="AK286" s="432"/>
      <c r="AL286" s="429"/>
      <c r="AM286" s="81"/>
      <c r="AN286" s="81"/>
      <c r="AO286" s="81"/>
      <c r="AP286" s="81"/>
      <c r="AQ286" s="81"/>
      <c r="AR286" s="81"/>
      <c r="AS286" s="81"/>
      <c r="AT286" s="81"/>
      <c r="AU286" s="81"/>
      <c r="AV286" s="81"/>
      <c r="AW286" s="81"/>
      <c r="AX286" s="81"/>
      <c r="AY286" s="81"/>
      <c r="AZ286" s="81"/>
      <c r="BA286" s="81"/>
      <c r="BB286" s="81"/>
      <c r="BC286" s="81"/>
      <c r="BD286" s="81"/>
      <c r="BE286" s="81"/>
      <c r="BF286" s="81"/>
    </row>
    <row r="287" ht="11.25" customHeight="1" spans="1:58">
      <c r="A287" s="297" t="s">
        <v>1008</v>
      </c>
      <c r="E287" s="53"/>
      <c r="F287" s="313"/>
      <c r="G287" s="314"/>
      <c r="H287" s="278" t="s">
        <v>147</v>
      </c>
      <c r="I287" s="374"/>
      <c r="J287" s="375"/>
      <c r="K287" s="213"/>
      <c r="L287" s="140"/>
      <c r="M287" s="232"/>
      <c r="N287" s="380"/>
      <c r="O287" s="381"/>
      <c r="P287" s="227" t="s">
        <v>1055</v>
      </c>
      <c r="Q287" s="381"/>
      <c r="R287" s="381"/>
      <c r="S287" s="381"/>
      <c r="T287" s="381"/>
      <c r="U287" s="381"/>
      <c r="V287" s="381"/>
      <c r="W287" s="381"/>
      <c r="X287" s="381"/>
      <c r="Y287" s="381"/>
      <c r="Z287" s="381"/>
      <c r="AA287" s="381"/>
      <c r="AB287" s="381"/>
      <c r="AC287" s="381"/>
      <c r="AD287" s="381"/>
      <c r="AE287" s="426"/>
      <c r="AF287" s="423"/>
      <c r="AG287" s="432"/>
      <c r="AH287" s="432"/>
      <c r="AI287" s="423"/>
      <c r="AJ287" s="432"/>
      <c r="AK287" s="432"/>
      <c r="AL287" s="429"/>
      <c r="AM287" s="81"/>
      <c r="AN287" s="81"/>
      <c r="AO287" s="81"/>
      <c r="AP287" s="81"/>
      <c r="AQ287" s="81"/>
      <c r="AR287" s="81"/>
      <c r="AS287" s="81"/>
      <c r="AT287" s="81"/>
      <c r="AU287" s="81"/>
      <c r="AV287" s="81"/>
      <c r="AW287" s="81"/>
      <c r="AX287" s="81"/>
      <c r="AY287" s="81"/>
      <c r="AZ287" s="81"/>
      <c r="BA287" s="81"/>
      <c r="BB287" s="81"/>
      <c r="BC287" s="81"/>
      <c r="BD287" s="81"/>
      <c r="BE287" s="81"/>
      <c r="BF287" s="81"/>
    </row>
    <row r="288" ht="11.25" customHeight="1" spans="1:58">
      <c r="A288" s="297" t="s">
        <v>1008</v>
      </c>
      <c r="B288" s="297" t="s">
        <v>1104</v>
      </c>
      <c r="E288" s="53"/>
      <c r="F288" s="313"/>
      <c r="G288" s="235" t="s">
        <v>683</v>
      </c>
      <c r="H288" s="278" t="s">
        <v>149</v>
      </c>
      <c r="I288" s="374" t="s">
        <v>1106</v>
      </c>
      <c r="J288" s="375" t="s">
        <v>1107</v>
      </c>
      <c r="K288" s="213" t="s">
        <v>1201</v>
      </c>
      <c r="L288" s="140" t="s">
        <v>19</v>
      </c>
      <c r="M288" s="232"/>
      <c r="N288" s="376"/>
      <c r="O288" s="377" t="s">
        <v>372</v>
      </c>
      <c r="P288" s="378"/>
      <c r="Q288" s="378"/>
      <c r="R288" s="378"/>
      <c r="S288" s="378"/>
      <c r="T288" s="378"/>
      <c r="U288" s="378"/>
      <c r="V288" s="378"/>
      <c r="W288" s="378"/>
      <c r="X288" s="378"/>
      <c r="Y288" s="378"/>
      <c r="Z288" s="378"/>
      <c r="AA288" s="378"/>
      <c r="AB288" s="378"/>
      <c r="AC288" s="378"/>
      <c r="AD288" s="378"/>
      <c r="AE288" s="378"/>
      <c r="AF288" s="423">
        <v>2026</v>
      </c>
      <c r="AG288" s="432" t="s">
        <v>1043</v>
      </c>
      <c r="AH288" s="432" t="s">
        <v>1044</v>
      </c>
      <c r="AI288" s="423"/>
      <c r="AJ288" s="432"/>
      <c r="AK288" s="432"/>
      <c r="AL288" s="429"/>
      <c r="AM288" s="81"/>
      <c r="AN288" s="81"/>
      <c r="AO288" s="81"/>
      <c r="AP288" s="81"/>
      <c r="AQ288" s="81"/>
      <c r="AR288" s="81"/>
      <c r="AS288" s="81"/>
      <c r="AT288" s="81"/>
      <c r="AU288" s="81"/>
      <c r="AV288" s="81"/>
      <c r="AW288" s="81"/>
      <c r="AX288" s="81"/>
      <c r="AY288" s="81"/>
      <c r="AZ288" s="81"/>
      <c r="BA288" s="81"/>
      <c r="BB288" s="81"/>
      <c r="BC288" s="81"/>
      <c r="BD288" s="81"/>
      <c r="BE288" s="81"/>
      <c r="BF288" s="81"/>
    </row>
    <row r="289" ht="11.25" customHeight="1" spans="1:58">
      <c r="A289" s="297" t="s">
        <v>1008</v>
      </c>
      <c r="E289" s="53"/>
      <c r="F289" s="313"/>
      <c r="G289" s="314"/>
      <c r="H289" s="278" t="s">
        <v>148</v>
      </c>
      <c r="I289" s="374"/>
      <c r="J289" s="375"/>
      <c r="K289" s="213"/>
      <c r="L289" s="140"/>
      <c r="M289" s="232"/>
      <c r="N289" s="367"/>
      <c r="O289" s="379">
        <v>1</v>
      </c>
      <c r="P289" s="369" t="s">
        <v>19</v>
      </c>
      <c r="Q289" s="104" t="s">
        <v>22</v>
      </c>
      <c r="R289" s="104" t="s">
        <v>22</v>
      </c>
      <c r="S289" s="104" t="s">
        <v>22</v>
      </c>
      <c r="T289" s="104" t="s">
        <v>22</v>
      </c>
      <c r="U289" s="104" t="s">
        <v>22</v>
      </c>
      <c r="V289" s="104" t="s">
        <v>22</v>
      </c>
      <c r="W289" s="104" t="s">
        <v>22</v>
      </c>
      <c r="X289" s="104" t="s">
        <v>22</v>
      </c>
      <c r="Y289" s="104"/>
      <c r="Z289" s="380"/>
      <c r="AA289" s="381"/>
      <c r="AB289" s="381"/>
      <c r="AC289" s="413"/>
      <c r="AD289" s="413"/>
      <c r="AE289" s="424"/>
      <c r="AF289" s="423"/>
      <c r="AG289" s="432"/>
      <c r="AH289" s="432"/>
      <c r="AI289" s="423"/>
      <c r="AJ289" s="432"/>
      <c r="AK289" s="432"/>
      <c r="AL289" s="429"/>
      <c r="AM289" s="81"/>
      <c r="AN289" s="81"/>
      <c r="AO289" s="81"/>
      <c r="AP289" s="81"/>
      <c r="AQ289" s="81"/>
      <c r="AR289" s="81"/>
      <c r="AS289" s="81"/>
      <c r="AT289" s="81"/>
      <c r="AU289" s="81"/>
      <c r="AV289" s="81"/>
      <c r="AW289" s="81"/>
      <c r="AX289" s="81"/>
      <c r="AY289" s="81"/>
      <c r="AZ289" s="81"/>
      <c r="BA289" s="81"/>
      <c r="BB289" s="81"/>
      <c r="BC289" s="81"/>
      <c r="BD289" s="81"/>
      <c r="BE289" s="81"/>
      <c r="BF289" s="81"/>
    </row>
    <row r="290" ht="11.25" customHeight="1" spans="1:58">
      <c r="A290" s="297" t="s">
        <v>1008</v>
      </c>
      <c r="E290" s="53"/>
      <c r="F290" s="313"/>
      <c r="G290" s="314"/>
      <c r="H290" s="278" t="s">
        <v>148</v>
      </c>
      <c r="I290" s="374"/>
      <c r="J290" s="375"/>
      <c r="K290" s="213"/>
      <c r="L290" s="140"/>
      <c r="M290" s="232"/>
      <c r="N290" s="367"/>
      <c r="O290" s="379"/>
      <c r="P290" s="371"/>
      <c r="Q290" s="104"/>
      <c r="R290" s="104"/>
      <c r="S290" s="387"/>
      <c r="T290" s="104"/>
      <c r="U290" s="104"/>
      <c r="V290" s="104"/>
      <c r="W290" s="104"/>
      <c r="X290" s="104"/>
      <c r="Y290" s="104"/>
      <c r="Z290" s="415"/>
      <c r="AA290" s="368">
        <v>1</v>
      </c>
      <c r="AB290" s="416" t="s">
        <v>1082</v>
      </c>
      <c r="AC290" s="417">
        <v>1721.91</v>
      </c>
      <c r="AD290" s="416" t="str">
        <f>AB290</f>
        <v>  Прибыль направляемая на инвестиции</v>
      </c>
      <c r="AE290" s="417"/>
      <c r="AF290" s="423"/>
      <c r="AG290" s="432"/>
      <c r="AH290" s="432"/>
      <c r="AI290" s="423"/>
      <c r="AJ290" s="432"/>
      <c r="AK290" s="432"/>
      <c r="AL290" s="429"/>
      <c r="AM290" s="81"/>
      <c r="AN290" s="81"/>
      <c r="AO290" s="81"/>
      <c r="AP290" s="81"/>
      <c r="AQ290" s="81"/>
      <c r="AR290" s="81"/>
      <c r="AS290" s="81"/>
      <c r="AT290" s="81"/>
      <c r="AU290" s="81"/>
      <c r="AV290" s="81"/>
      <c r="AW290" s="81"/>
      <c r="AX290" s="81"/>
      <c r="AY290" s="81"/>
      <c r="AZ290" s="81"/>
      <c r="BA290" s="81"/>
      <c r="BB290" s="81"/>
      <c r="BC290" s="81"/>
      <c r="BD290" s="81"/>
      <c r="BE290" s="81"/>
      <c r="BF290" s="81"/>
    </row>
    <row r="291" ht="11.25" customHeight="1" spans="1:58">
      <c r="A291" s="297" t="s">
        <v>1008</v>
      </c>
      <c r="E291" s="53"/>
      <c r="F291" s="313"/>
      <c r="G291" s="314"/>
      <c r="H291" s="278" t="s">
        <v>148</v>
      </c>
      <c r="I291" s="374"/>
      <c r="J291" s="375"/>
      <c r="K291" s="213"/>
      <c r="L291" s="140"/>
      <c r="M291" s="232"/>
      <c r="N291" s="367"/>
      <c r="O291" s="379"/>
      <c r="P291" s="373"/>
      <c r="Q291" s="104"/>
      <c r="R291" s="104"/>
      <c r="S291" s="387"/>
      <c r="T291" s="104"/>
      <c r="U291" s="104"/>
      <c r="V291" s="104"/>
      <c r="W291" s="104"/>
      <c r="X291" s="104"/>
      <c r="Y291" s="104"/>
      <c r="Z291" s="380"/>
      <c r="AA291" s="381"/>
      <c r="AB291" s="227" t="s">
        <v>1054</v>
      </c>
      <c r="AC291" s="413"/>
      <c r="AD291" s="413"/>
      <c r="AE291" s="425"/>
      <c r="AF291" s="423"/>
      <c r="AG291" s="432"/>
      <c r="AH291" s="432"/>
      <c r="AI291" s="423"/>
      <c r="AJ291" s="432"/>
      <c r="AK291" s="432"/>
      <c r="AL291" s="429"/>
      <c r="AM291" s="81"/>
      <c r="AN291" s="81"/>
      <c r="AO291" s="81"/>
      <c r="AP291" s="81"/>
      <c r="AQ291" s="81"/>
      <c r="AR291" s="81"/>
      <c r="AS291" s="81"/>
      <c r="AT291" s="81"/>
      <c r="AU291" s="81"/>
      <c r="AV291" s="81"/>
      <c r="AW291" s="81"/>
      <c r="AX291" s="81"/>
      <c r="AY291" s="81"/>
      <c r="AZ291" s="81"/>
      <c r="BA291" s="81"/>
      <c r="BB291" s="81"/>
      <c r="BC291" s="81"/>
      <c r="BD291" s="81"/>
      <c r="BE291" s="81"/>
      <c r="BF291" s="81"/>
    </row>
    <row r="292" ht="11.25" customHeight="1" spans="1:58">
      <c r="A292" s="297" t="s">
        <v>1008</v>
      </c>
      <c r="E292" s="53"/>
      <c r="F292" s="313"/>
      <c r="G292" s="314"/>
      <c r="H292" s="278" t="s">
        <v>148</v>
      </c>
      <c r="I292" s="374"/>
      <c r="J292" s="375"/>
      <c r="K292" s="213"/>
      <c r="L292" s="140"/>
      <c r="M292" s="232"/>
      <c r="N292" s="380"/>
      <c r="O292" s="381"/>
      <c r="P292" s="227" t="s">
        <v>1055</v>
      </c>
      <c r="Q292" s="381"/>
      <c r="R292" s="381"/>
      <c r="S292" s="381"/>
      <c r="T292" s="381"/>
      <c r="U292" s="381"/>
      <c r="V292" s="381"/>
      <c r="W292" s="381"/>
      <c r="X292" s="381"/>
      <c r="Y292" s="381"/>
      <c r="Z292" s="381"/>
      <c r="AA292" s="381"/>
      <c r="AB292" s="381"/>
      <c r="AC292" s="381"/>
      <c r="AD292" s="381"/>
      <c r="AE292" s="426"/>
      <c r="AF292" s="423"/>
      <c r="AG292" s="432"/>
      <c r="AH292" s="432"/>
      <c r="AI292" s="423"/>
      <c r="AJ292" s="432"/>
      <c r="AK292" s="432"/>
      <c r="AL292" s="429"/>
      <c r="AM292" s="81"/>
      <c r="AN292" s="81"/>
      <c r="AO292" s="81"/>
      <c r="AP292" s="81"/>
      <c r="AQ292" s="81"/>
      <c r="AR292" s="81"/>
      <c r="AS292" s="81"/>
      <c r="AT292" s="81"/>
      <c r="AU292" s="81"/>
      <c r="AV292" s="81"/>
      <c r="AW292" s="81"/>
      <c r="AX292" s="81"/>
      <c r="AY292" s="81"/>
      <c r="AZ292" s="81"/>
      <c r="BA292" s="81"/>
      <c r="BB292" s="81"/>
      <c r="BC292" s="81"/>
      <c r="BD292" s="81"/>
      <c r="BE292" s="81"/>
      <c r="BF292" s="81"/>
    </row>
    <row r="293" ht="11.25" customHeight="1" spans="1:58">
      <c r="A293" s="297" t="s">
        <v>1008</v>
      </c>
      <c r="B293" s="297" t="s">
        <v>1104</v>
      </c>
      <c r="E293" s="53"/>
      <c r="F293" s="313"/>
      <c r="G293" s="235" t="s">
        <v>683</v>
      </c>
      <c r="H293" s="278" t="s">
        <v>150</v>
      </c>
      <c r="I293" s="374" t="s">
        <v>1106</v>
      </c>
      <c r="J293" s="375" t="s">
        <v>1107</v>
      </c>
      <c r="K293" s="213" t="s">
        <v>1202</v>
      </c>
      <c r="L293" s="140" t="s">
        <v>19</v>
      </c>
      <c r="M293" s="232"/>
      <c r="N293" s="376"/>
      <c r="O293" s="377" t="s">
        <v>372</v>
      </c>
      <c r="P293" s="378"/>
      <c r="Q293" s="378"/>
      <c r="R293" s="378"/>
      <c r="S293" s="378"/>
      <c r="T293" s="378"/>
      <c r="U293" s="378"/>
      <c r="V293" s="378"/>
      <c r="W293" s="378"/>
      <c r="X293" s="378"/>
      <c r="Y293" s="378"/>
      <c r="Z293" s="378"/>
      <c r="AA293" s="378"/>
      <c r="AB293" s="378"/>
      <c r="AC293" s="378"/>
      <c r="AD293" s="378"/>
      <c r="AE293" s="378"/>
      <c r="AF293" s="423">
        <v>2026</v>
      </c>
      <c r="AG293" s="432" t="s">
        <v>1043</v>
      </c>
      <c r="AH293" s="432" t="s">
        <v>1044</v>
      </c>
      <c r="AI293" s="423"/>
      <c r="AJ293" s="432"/>
      <c r="AK293" s="432"/>
      <c r="AL293" s="429"/>
      <c r="AM293" s="81"/>
      <c r="AN293" s="81"/>
      <c r="AO293" s="81"/>
      <c r="AP293" s="81"/>
      <c r="AQ293" s="81"/>
      <c r="AR293" s="81"/>
      <c r="AS293" s="81"/>
      <c r="AT293" s="81"/>
      <c r="AU293" s="81"/>
      <c r="AV293" s="81"/>
      <c r="AW293" s="81"/>
      <c r="AX293" s="81"/>
      <c r="AY293" s="81"/>
      <c r="AZ293" s="81"/>
      <c r="BA293" s="81"/>
      <c r="BB293" s="81"/>
      <c r="BC293" s="81"/>
      <c r="BD293" s="81"/>
      <c r="BE293" s="81"/>
      <c r="BF293" s="81"/>
    </row>
    <row r="294" ht="11.25" customHeight="1" spans="1:58">
      <c r="A294" s="297" t="s">
        <v>1008</v>
      </c>
      <c r="E294" s="53"/>
      <c r="F294" s="313"/>
      <c r="G294" s="314"/>
      <c r="H294" s="278" t="s">
        <v>149</v>
      </c>
      <c r="I294" s="374"/>
      <c r="J294" s="375"/>
      <c r="K294" s="213"/>
      <c r="L294" s="140"/>
      <c r="M294" s="232"/>
      <c r="N294" s="367"/>
      <c r="O294" s="379">
        <v>1</v>
      </c>
      <c r="P294" s="369" t="s">
        <v>19</v>
      </c>
      <c r="Q294" s="104" t="s">
        <v>22</v>
      </c>
      <c r="R294" s="104" t="s">
        <v>22</v>
      </c>
      <c r="S294" s="104" t="s">
        <v>22</v>
      </c>
      <c r="T294" s="104" t="s">
        <v>22</v>
      </c>
      <c r="U294" s="104" t="s">
        <v>22</v>
      </c>
      <c r="V294" s="104" t="s">
        <v>22</v>
      </c>
      <c r="W294" s="104" t="s">
        <v>22</v>
      </c>
      <c r="X294" s="104" t="s">
        <v>22</v>
      </c>
      <c r="Y294" s="104"/>
      <c r="Z294" s="380"/>
      <c r="AA294" s="381"/>
      <c r="AB294" s="381"/>
      <c r="AC294" s="413"/>
      <c r="AD294" s="413"/>
      <c r="AE294" s="424"/>
      <c r="AF294" s="423"/>
      <c r="AG294" s="432"/>
      <c r="AH294" s="432"/>
      <c r="AI294" s="423"/>
      <c r="AJ294" s="432"/>
      <c r="AK294" s="432"/>
      <c r="AL294" s="429"/>
      <c r="AM294" s="81"/>
      <c r="AN294" s="81"/>
      <c r="AO294" s="81"/>
      <c r="AP294" s="81"/>
      <c r="AQ294" s="81"/>
      <c r="AR294" s="81"/>
      <c r="AS294" s="81"/>
      <c r="AT294" s="81"/>
      <c r="AU294" s="81"/>
      <c r="AV294" s="81"/>
      <c r="AW294" s="81"/>
      <c r="AX294" s="81"/>
      <c r="AY294" s="81"/>
      <c r="AZ294" s="81"/>
      <c r="BA294" s="81"/>
      <c r="BB294" s="81"/>
      <c r="BC294" s="81"/>
      <c r="BD294" s="81"/>
      <c r="BE294" s="81"/>
      <c r="BF294" s="81"/>
    </row>
    <row r="295" ht="11.25" customHeight="1" spans="1:58">
      <c r="A295" s="297" t="s">
        <v>1008</v>
      </c>
      <c r="E295" s="53"/>
      <c r="F295" s="313"/>
      <c r="G295" s="314"/>
      <c r="H295" s="278" t="s">
        <v>149</v>
      </c>
      <c r="I295" s="374"/>
      <c r="J295" s="375"/>
      <c r="K295" s="213"/>
      <c r="L295" s="140"/>
      <c r="M295" s="232"/>
      <c r="N295" s="367"/>
      <c r="O295" s="379"/>
      <c r="P295" s="371"/>
      <c r="Q295" s="104"/>
      <c r="R295" s="104"/>
      <c r="S295" s="387"/>
      <c r="T295" s="104"/>
      <c r="U295" s="104"/>
      <c r="V295" s="104"/>
      <c r="W295" s="104"/>
      <c r="X295" s="104"/>
      <c r="Y295" s="104"/>
      <c r="Z295" s="415"/>
      <c r="AA295" s="368">
        <v>1</v>
      </c>
      <c r="AB295" s="416" t="s">
        <v>1082</v>
      </c>
      <c r="AC295" s="417">
        <v>948.97</v>
      </c>
      <c r="AD295" s="416" t="str">
        <f>AB295</f>
        <v>  Прибыль направляемая на инвестиции</v>
      </c>
      <c r="AE295" s="417"/>
      <c r="AF295" s="423"/>
      <c r="AG295" s="432"/>
      <c r="AH295" s="432"/>
      <c r="AI295" s="423"/>
      <c r="AJ295" s="432"/>
      <c r="AK295" s="432"/>
      <c r="AL295" s="429"/>
      <c r="AM295" s="81"/>
      <c r="AN295" s="81"/>
      <c r="AO295" s="81"/>
      <c r="AP295" s="81"/>
      <c r="AQ295" s="81"/>
      <c r="AR295" s="81"/>
      <c r="AS295" s="81"/>
      <c r="AT295" s="81"/>
      <c r="AU295" s="81"/>
      <c r="AV295" s="81"/>
      <c r="AW295" s="81"/>
      <c r="AX295" s="81"/>
      <c r="AY295" s="81"/>
      <c r="AZ295" s="81"/>
      <c r="BA295" s="81"/>
      <c r="BB295" s="81"/>
      <c r="BC295" s="81"/>
      <c r="BD295" s="81"/>
      <c r="BE295" s="81"/>
      <c r="BF295" s="81"/>
    </row>
    <row r="296" ht="11.25" customHeight="1" spans="1:58">
      <c r="A296" s="297" t="s">
        <v>1008</v>
      </c>
      <c r="E296" s="53"/>
      <c r="F296" s="313"/>
      <c r="G296" s="314"/>
      <c r="H296" s="278" t="s">
        <v>149</v>
      </c>
      <c r="I296" s="374"/>
      <c r="J296" s="375"/>
      <c r="K296" s="213"/>
      <c r="L296" s="140"/>
      <c r="M296" s="232"/>
      <c r="N296" s="367"/>
      <c r="O296" s="379"/>
      <c r="P296" s="373"/>
      <c r="Q296" s="104"/>
      <c r="R296" s="104"/>
      <c r="S296" s="387"/>
      <c r="T296" s="104"/>
      <c r="U296" s="104"/>
      <c r="V296" s="104"/>
      <c r="W296" s="104"/>
      <c r="X296" s="104"/>
      <c r="Y296" s="104"/>
      <c r="Z296" s="380"/>
      <c r="AA296" s="381"/>
      <c r="AB296" s="227" t="s">
        <v>1054</v>
      </c>
      <c r="AC296" s="413"/>
      <c r="AD296" s="413"/>
      <c r="AE296" s="425"/>
      <c r="AF296" s="423"/>
      <c r="AG296" s="432"/>
      <c r="AH296" s="432"/>
      <c r="AI296" s="423"/>
      <c r="AJ296" s="432"/>
      <c r="AK296" s="432"/>
      <c r="AL296" s="429"/>
      <c r="AM296" s="81"/>
      <c r="AN296" s="81"/>
      <c r="AO296" s="81"/>
      <c r="AP296" s="81"/>
      <c r="AQ296" s="81"/>
      <c r="AR296" s="81"/>
      <c r="AS296" s="81"/>
      <c r="AT296" s="81"/>
      <c r="AU296" s="81"/>
      <c r="AV296" s="81"/>
      <c r="AW296" s="81"/>
      <c r="AX296" s="81"/>
      <c r="AY296" s="81"/>
      <c r="AZ296" s="81"/>
      <c r="BA296" s="81"/>
      <c r="BB296" s="81"/>
      <c r="BC296" s="81"/>
      <c r="BD296" s="81"/>
      <c r="BE296" s="81"/>
      <c r="BF296" s="81"/>
    </row>
    <row r="297" ht="11.25" customHeight="1" spans="1:58">
      <c r="A297" s="297" t="s">
        <v>1008</v>
      </c>
      <c r="E297" s="53"/>
      <c r="F297" s="313"/>
      <c r="G297" s="314"/>
      <c r="H297" s="278" t="s">
        <v>149</v>
      </c>
      <c r="I297" s="374"/>
      <c r="J297" s="375"/>
      <c r="K297" s="213"/>
      <c r="L297" s="140"/>
      <c r="M297" s="232"/>
      <c r="N297" s="380"/>
      <c r="O297" s="381"/>
      <c r="P297" s="227" t="s">
        <v>1055</v>
      </c>
      <c r="Q297" s="381"/>
      <c r="R297" s="381"/>
      <c r="S297" s="381"/>
      <c r="T297" s="381"/>
      <c r="U297" s="381"/>
      <c r="V297" s="381"/>
      <c r="W297" s="381"/>
      <c r="X297" s="381"/>
      <c r="Y297" s="381"/>
      <c r="Z297" s="381"/>
      <c r="AA297" s="381"/>
      <c r="AB297" s="381"/>
      <c r="AC297" s="381"/>
      <c r="AD297" s="381"/>
      <c r="AE297" s="426"/>
      <c r="AF297" s="423"/>
      <c r="AG297" s="432"/>
      <c r="AH297" s="432"/>
      <c r="AI297" s="423"/>
      <c r="AJ297" s="432"/>
      <c r="AK297" s="432"/>
      <c r="AL297" s="429"/>
      <c r="AM297" s="81"/>
      <c r="AN297" s="81"/>
      <c r="AO297" s="81"/>
      <c r="AP297" s="81"/>
      <c r="AQ297" s="81"/>
      <c r="AR297" s="81"/>
      <c r="AS297" s="81"/>
      <c r="AT297" s="81"/>
      <c r="AU297" s="81"/>
      <c r="AV297" s="81"/>
      <c r="AW297" s="81"/>
      <c r="AX297" s="81"/>
      <c r="AY297" s="81"/>
      <c r="AZ297" s="81"/>
      <c r="BA297" s="81"/>
      <c r="BB297" s="81"/>
      <c r="BC297" s="81"/>
      <c r="BD297" s="81"/>
      <c r="BE297" s="81"/>
      <c r="BF297" s="81"/>
    </row>
    <row r="298" ht="11.25" customHeight="1" spans="1:58">
      <c r="A298" s="297" t="s">
        <v>1008</v>
      </c>
      <c r="B298" s="297" t="s">
        <v>1104</v>
      </c>
      <c r="E298" s="53"/>
      <c r="F298" s="313"/>
      <c r="G298" s="235" t="s">
        <v>683</v>
      </c>
      <c r="H298" s="278" t="s">
        <v>151</v>
      </c>
      <c r="I298" s="374" t="s">
        <v>1106</v>
      </c>
      <c r="J298" s="375" t="s">
        <v>1107</v>
      </c>
      <c r="K298" s="213" t="s">
        <v>1203</v>
      </c>
      <c r="L298" s="140" t="s">
        <v>19</v>
      </c>
      <c r="M298" s="232"/>
      <c r="N298" s="376"/>
      <c r="O298" s="377" t="s">
        <v>372</v>
      </c>
      <c r="P298" s="378"/>
      <c r="Q298" s="378"/>
      <c r="R298" s="378"/>
      <c r="S298" s="378"/>
      <c r="T298" s="378"/>
      <c r="U298" s="378"/>
      <c r="V298" s="378"/>
      <c r="W298" s="378"/>
      <c r="X298" s="378"/>
      <c r="Y298" s="378"/>
      <c r="Z298" s="378"/>
      <c r="AA298" s="378"/>
      <c r="AB298" s="378"/>
      <c r="AC298" s="378"/>
      <c r="AD298" s="378"/>
      <c r="AE298" s="378"/>
      <c r="AF298" s="423">
        <v>2026</v>
      </c>
      <c r="AG298" s="432" t="s">
        <v>1043</v>
      </c>
      <c r="AH298" s="432" t="s">
        <v>1044</v>
      </c>
      <c r="AI298" s="423"/>
      <c r="AJ298" s="432"/>
      <c r="AK298" s="432"/>
      <c r="AL298" s="429"/>
      <c r="AM298" s="81"/>
      <c r="AN298" s="81"/>
      <c r="AO298" s="81"/>
      <c r="AP298" s="81"/>
      <c r="AQ298" s="81"/>
      <c r="AR298" s="81"/>
      <c r="AS298" s="81"/>
      <c r="AT298" s="81"/>
      <c r="AU298" s="81"/>
      <c r="AV298" s="81"/>
      <c r="AW298" s="81"/>
      <c r="AX298" s="81"/>
      <c r="AY298" s="81"/>
      <c r="AZ298" s="81"/>
      <c r="BA298" s="81"/>
      <c r="BB298" s="81"/>
      <c r="BC298" s="81"/>
      <c r="BD298" s="81"/>
      <c r="BE298" s="81"/>
      <c r="BF298" s="81"/>
    </row>
    <row r="299" ht="11.25" customHeight="1" spans="1:58">
      <c r="A299" s="297" t="s">
        <v>1008</v>
      </c>
      <c r="E299" s="53"/>
      <c r="F299" s="313"/>
      <c r="G299" s="314"/>
      <c r="H299" s="278" t="s">
        <v>150</v>
      </c>
      <c r="I299" s="374"/>
      <c r="J299" s="375"/>
      <c r="K299" s="213"/>
      <c r="L299" s="140"/>
      <c r="M299" s="232"/>
      <c r="N299" s="367"/>
      <c r="O299" s="379">
        <v>1</v>
      </c>
      <c r="P299" s="369" t="s">
        <v>19</v>
      </c>
      <c r="Q299" s="104" t="s">
        <v>22</v>
      </c>
      <c r="R299" s="104" t="s">
        <v>22</v>
      </c>
      <c r="S299" s="104" t="s">
        <v>22</v>
      </c>
      <c r="T299" s="104" t="s">
        <v>22</v>
      </c>
      <c r="U299" s="104" t="s">
        <v>22</v>
      </c>
      <c r="V299" s="104" t="s">
        <v>22</v>
      </c>
      <c r="W299" s="104" t="s">
        <v>22</v>
      </c>
      <c r="X299" s="104" t="s">
        <v>22</v>
      </c>
      <c r="Y299" s="104"/>
      <c r="Z299" s="380"/>
      <c r="AA299" s="381"/>
      <c r="AB299" s="381"/>
      <c r="AC299" s="413"/>
      <c r="AD299" s="413"/>
      <c r="AE299" s="424"/>
      <c r="AF299" s="423"/>
      <c r="AG299" s="432"/>
      <c r="AH299" s="432"/>
      <c r="AI299" s="423"/>
      <c r="AJ299" s="432"/>
      <c r="AK299" s="432"/>
      <c r="AL299" s="429"/>
      <c r="AM299" s="81"/>
      <c r="AN299" s="81"/>
      <c r="AO299" s="81"/>
      <c r="AP299" s="81"/>
      <c r="AQ299" s="81"/>
      <c r="AR299" s="81"/>
      <c r="AS299" s="81"/>
      <c r="AT299" s="81"/>
      <c r="AU299" s="81"/>
      <c r="AV299" s="81"/>
      <c r="AW299" s="81"/>
      <c r="AX299" s="81"/>
      <c r="AY299" s="81"/>
      <c r="AZ299" s="81"/>
      <c r="BA299" s="81"/>
      <c r="BB299" s="81"/>
      <c r="BC299" s="81"/>
      <c r="BD299" s="81"/>
      <c r="BE299" s="81"/>
      <c r="BF299" s="81"/>
    </row>
    <row r="300" ht="11.25" customHeight="1" spans="1:58">
      <c r="A300" s="297" t="s">
        <v>1008</v>
      </c>
      <c r="E300" s="53"/>
      <c r="F300" s="313"/>
      <c r="G300" s="314"/>
      <c r="H300" s="278" t="s">
        <v>150</v>
      </c>
      <c r="I300" s="374"/>
      <c r="J300" s="375"/>
      <c r="K300" s="213"/>
      <c r="L300" s="140"/>
      <c r="M300" s="232"/>
      <c r="N300" s="367"/>
      <c r="O300" s="379"/>
      <c r="P300" s="371"/>
      <c r="Q300" s="104"/>
      <c r="R300" s="104"/>
      <c r="S300" s="387"/>
      <c r="T300" s="104"/>
      <c r="U300" s="104"/>
      <c r="V300" s="104"/>
      <c r="W300" s="104"/>
      <c r="X300" s="104"/>
      <c r="Y300" s="104"/>
      <c r="Z300" s="415"/>
      <c r="AA300" s="368">
        <v>1</v>
      </c>
      <c r="AB300" s="416" t="s">
        <v>1082</v>
      </c>
      <c r="AC300" s="417">
        <v>549.62</v>
      </c>
      <c r="AD300" s="416" t="str">
        <f>AB300</f>
        <v>  Прибыль направляемая на инвестиции</v>
      </c>
      <c r="AE300" s="417"/>
      <c r="AF300" s="423"/>
      <c r="AG300" s="432"/>
      <c r="AH300" s="432"/>
      <c r="AI300" s="423"/>
      <c r="AJ300" s="432"/>
      <c r="AK300" s="432"/>
      <c r="AL300" s="429"/>
      <c r="AM300" s="81"/>
      <c r="AN300" s="81"/>
      <c r="AO300" s="81"/>
      <c r="AP300" s="81"/>
      <c r="AQ300" s="81"/>
      <c r="AR300" s="81"/>
      <c r="AS300" s="81"/>
      <c r="AT300" s="81"/>
      <c r="AU300" s="81"/>
      <c r="AV300" s="81"/>
      <c r="AW300" s="81"/>
      <c r="AX300" s="81"/>
      <c r="AY300" s="81"/>
      <c r="AZ300" s="81"/>
      <c r="BA300" s="81"/>
      <c r="BB300" s="81"/>
      <c r="BC300" s="81"/>
      <c r="BD300" s="81"/>
      <c r="BE300" s="81"/>
      <c r="BF300" s="81"/>
    </row>
    <row r="301" ht="11.25" customHeight="1" spans="1:58">
      <c r="A301" s="297" t="s">
        <v>1008</v>
      </c>
      <c r="E301" s="53"/>
      <c r="F301" s="313"/>
      <c r="G301" s="314"/>
      <c r="H301" s="278" t="s">
        <v>150</v>
      </c>
      <c r="I301" s="374"/>
      <c r="J301" s="375"/>
      <c r="K301" s="213"/>
      <c r="L301" s="140"/>
      <c r="M301" s="232"/>
      <c r="N301" s="367"/>
      <c r="O301" s="379"/>
      <c r="P301" s="373"/>
      <c r="Q301" s="104"/>
      <c r="R301" s="104"/>
      <c r="S301" s="387"/>
      <c r="T301" s="104"/>
      <c r="U301" s="104"/>
      <c r="V301" s="104"/>
      <c r="W301" s="104"/>
      <c r="X301" s="104"/>
      <c r="Y301" s="104"/>
      <c r="Z301" s="380"/>
      <c r="AA301" s="381"/>
      <c r="AB301" s="227" t="s">
        <v>1054</v>
      </c>
      <c r="AC301" s="413"/>
      <c r="AD301" s="413"/>
      <c r="AE301" s="425"/>
      <c r="AF301" s="423"/>
      <c r="AG301" s="432"/>
      <c r="AH301" s="432"/>
      <c r="AI301" s="423"/>
      <c r="AJ301" s="432"/>
      <c r="AK301" s="432"/>
      <c r="AL301" s="429"/>
      <c r="AM301" s="81"/>
      <c r="AN301" s="81"/>
      <c r="AO301" s="81"/>
      <c r="AP301" s="81"/>
      <c r="AQ301" s="81"/>
      <c r="AR301" s="81"/>
      <c r="AS301" s="81"/>
      <c r="AT301" s="81"/>
      <c r="AU301" s="81"/>
      <c r="AV301" s="81"/>
      <c r="AW301" s="81"/>
      <c r="AX301" s="81"/>
      <c r="AY301" s="81"/>
      <c r="AZ301" s="81"/>
      <c r="BA301" s="81"/>
      <c r="BB301" s="81"/>
      <c r="BC301" s="81"/>
      <c r="BD301" s="81"/>
      <c r="BE301" s="81"/>
      <c r="BF301" s="81"/>
    </row>
    <row r="302" ht="11.25" customHeight="1" spans="1:58">
      <c r="A302" s="297" t="s">
        <v>1008</v>
      </c>
      <c r="E302" s="53"/>
      <c r="F302" s="313"/>
      <c r="G302" s="314"/>
      <c r="H302" s="278" t="s">
        <v>150</v>
      </c>
      <c r="I302" s="374"/>
      <c r="J302" s="375"/>
      <c r="K302" s="213"/>
      <c r="L302" s="140"/>
      <c r="M302" s="232"/>
      <c r="N302" s="380"/>
      <c r="O302" s="381"/>
      <c r="P302" s="227" t="s">
        <v>1055</v>
      </c>
      <c r="Q302" s="381"/>
      <c r="R302" s="381"/>
      <c r="S302" s="381"/>
      <c r="T302" s="381"/>
      <c r="U302" s="381"/>
      <c r="V302" s="381"/>
      <c r="W302" s="381"/>
      <c r="X302" s="381"/>
      <c r="Y302" s="381"/>
      <c r="Z302" s="381"/>
      <c r="AA302" s="381"/>
      <c r="AB302" s="381"/>
      <c r="AC302" s="381"/>
      <c r="AD302" s="381"/>
      <c r="AE302" s="426"/>
      <c r="AF302" s="423"/>
      <c r="AG302" s="432"/>
      <c r="AH302" s="432"/>
      <c r="AI302" s="423"/>
      <c r="AJ302" s="432"/>
      <c r="AK302" s="432"/>
      <c r="AL302" s="429"/>
      <c r="AM302" s="81"/>
      <c r="AN302" s="81"/>
      <c r="AO302" s="81"/>
      <c r="AP302" s="81"/>
      <c r="AQ302" s="81"/>
      <c r="AR302" s="81"/>
      <c r="AS302" s="81"/>
      <c r="AT302" s="81"/>
      <c r="AU302" s="81"/>
      <c r="AV302" s="81"/>
      <c r="AW302" s="81"/>
      <c r="AX302" s="81"/>
      <c r="AY302" s="81"/>
      <c r="AZ302" s="81"/>
      <c r="BA302" s="81"/>
      <c r="BB302" s="81"/>
      <c r="BC302" s="81"/>
      <c r="BD302" s="81"/>
      <c r="BE302" s="81"/>
      <c r="BF302" s="81"/>
    </row>
    <row r="303" ht="11.25" customHeight="1" spans="1:58">
      <c r="A303" s="297" t="s">
        <v>1008</v>
      </c>
      <c r="B303" s="297" t="s">
        <v>1104</v>
      </c>
      <c r="E303" s="53"/>
      <c r="F303" s="313"/>
      <c r="G303" s="235" t="s">
        <v>683</v>
      </c>
      <c r="H303" s="278" t="s">
        <v>1100</v>
      </c>
      <c r="I303" s="374" t="s">
        <v>1106</v>
      </c>
      <c r="J303" s="375" t="s">
        <v>1107</v>
      </c>
      <c r="K303" s="213" t="s">
        <v>1204</v>
      </c>
      <c r="L303" s="140" t="s">
        <v>19</v>
      </c>
      <c r="M303" s="232"/>
      <c r="N303" s="376"/>
      <c r="O303" s="377" t="s">
        <v>372</v>
      </c>
      <c r="P303" s="378"/>
      <c r="Q303" s="378"/>
      <c r="R303" s="378"/>
      <c r="S303" s="378"/>
      <c r="T303" s="378"/>
      <c r="U303" s="378"/>
      <c r="V303" s="378"/>
      <c r="W303" s="378"/>
      <c r="X303" s="378"/>
      <c r="Y303" s="378"/>
      <c r="Z303" s="378"/>
      <c r="AA303" s="378"/>
      <c r="AB303" s="378"/>
      <c r="AC303" s="378"/>
      <c r="AD303" s="378"/>
      <c r="AE303" s="378"/>
      <c r="AF303" s="423">
        <v>2026</v>
      </c>
      <c r="AG303" s="432" t="s">
        <v>1043</v>
      </c>
      <c r="AH303" s="432" t="s">
        <v>1044</v>
      </c>
      <c r="AI303" s="423"/>
      <c r="AJ303" s="432"/>
      <c r="AK303" s="432"/>
      <c r="AL303" s="429"/>
      <c r="AM303" s="81"/>
      <c r="AN303" s="81"/>
      <c r="AO303" s="81"/>
      <c r="AP303" s="81"/>
      <c r="AQ303" s="81"/>
      <c r="AR303" s="81"/>
      <c r="AS303" s="81"/>
      <c r="AT303" s="81"/>
      <c r="AU303" s="81"/>
      <c r="AV303" s="81"/>
      <c r="AW303" s="81"/>
      <c r="AX303" s="81"/>
      <c r="AY303" s="81"/>
      <c r="AZ303" s="81"/>
      <c r="BA303" s="81"/>
      <c r="BB303" s="81"/>
      <c r="BC303" s="81"/>
      <c r="BD303" s="81"/>
      <c r="BE303" s="81"/>
      <c r="BF303" s="81"/>
    </row>
    <row r="304" ht="11.25" customHeight="1" spans="1:58">
      <c r="A304" s="297" t="s">
        <v>1008</v>
      </c>
      <c r="E304" s="53"/>
      <c r="F304" s="313"/>
      <c r="G304" s="314"/>
      <c r="H304" s="278" t="s">
        <v>151</v>
      </c>
      <c r="I304" s="374"/>
      <c r="J304" s="375"/>
      <c r="K304" s="213"/>
      <c r="L304" s="140"/>
      <c r="M304" s="232"/>
      <c r="N304" s="367"/>
      <c r="O304" s="379">
        <v>1</v>
      </c>
      <c r="P304" s="369" t="s">
        <v>19</v>
      </c>
      <c r="Q304" s="104" t="s">
        <v>22</v>
      </c>
      <c r="R304" s="104" t="s">
        <v>22</v>
      </c>
      <c r="S304" s="104" t="s">
        <v>22</v>
      </c>
      <c r="T304" s="104" t="s">
        <v>22</v>
      </c>
      <c r="U304" s="104" t="s">
        <v>22</v>
      </c>
      <c r="V304" s="104" t="s">
        <v>22</v>
      </c>
      <c r="W304" s="104" t="s">
        <v>22</v>
      </c>
      <c r="X304" s="104" t="s">
        <v>22</v>
      </c>
      <c r="Y304" s="104"/>
      <c r="Z304" s="380"/>
      <c r="AA304" s="381"/>
      <c r="AB304" s="381"/>
      <c r="AC304" s="413"/>
      <c r="AD304" s="413"/>
      <c r="AE304" s="424"/>
      <c r="AF304" s="423"/>
      <c r="AG304" s="432"/>
      <c r="AH304" s="432"/>
      <c r="AI304" s="423"/>
      <c r="AJ304" s="432"/>
      <c r="AK304" s="432"/>
      <c r="AL304" s="429"/>
      <c r="AM304" s="81"/>
      <c r="AN304" s="81"/>
      <c r="AO304" s="81"/>
      <c r="AP304" s="81"/>
      <c r="AQ304" s="81"/>
      <c r="AR304" s="81"/>
      <c r="AS304" s="81"/>
      <c r="AT304" s="81"/>
      <c r="AU304" s="81"/>
      <c r="AV304" s="81"/>
      <c r="AW304" s="81"/>
      <c r="AX304" s="81"/>
      <c r="AY304" s="81"/>
      <c r="AZ304" s="81"/>
      <c r="BA304" s="81"/>
      <c r="BB304" s="81"/>
      <c r="BC304" s="81"/>
      <c r="BD304" s="81"/>
      <c r="BE304" s="81"/>
      <c r="BF304" s="81"/>
    </row>
    <row r="305" ht="11.25" customHeight="1" spans="1:58">
      <c r="A305" s="297" t="s">
        <v>1008</v>
      </c>
      <c r="E305" s="53"/>
      <c r="F305" s="313"/>
      <c r="G305" s="314"/>
      <c r="H305" s="278" t="s">
        <v>151</v>
      </c>
      <c r="I305" s="374"/>
      <c r="J305" s="375"/>
      <c r="K305" s="213"/>
      <c r="L305" s="140"/>
      <c r="M305" s="232"/>
      <c r="N305" s="367"/>
      <c r="O305" s="379"/>
      <c r="P305" s="371"/>
      <c r="Q305" s="104"/>
      <c r="R305" s="104"/>
      <c r="S305" s="387"/>
      <c r="T305" s="104"/>
      <c r="U305" s="104"/>
      <c r="V305" s="104"/>
      <c r="W305" s="104"/>
      <c r="X305" s="104"/>
      <c r="Y305" s="104"/>
      <c r="Z305" s="415"/>
      <c r="AA305" s="368">
        <v>1</v>
      </c>
      <c r="AB305" s="416" t="s">
        <v>1082</v>
      </c>
      <c r="AC305" s="417">
        <v>976.73</v>
      </c>
      <c r="AD305" s="416" t="str">
        <f>AB305</f>
        <v>  Прибыль направляемая на инвестиции</v>
      </c>
      <c r="AE305" s="417"/>
      <c r="AF305" s="423"/>
      <c r="AG305" s="432"/>
      <c r="AH305" s="432"/>
      <c r="AI305" s="423"/>
      <c r="AJ305" s="432"/>
      <c r="AK305" s="432"/>
      <c r="AL305" s="429"/>
      <c r="AM305" s="81"/>
      <c r="AN305" s="81"/>
      <c r="AO305" s="81"/>
      <c r="AP305" s="81"/>
      <c r="AQ305" s="81"/>
      <c r="AR305" s="81"/>
      <c r="AS305" s="81"/>
      <c r="AT305" s="81"/>
      <c r="AU305" s="81"/>
      <c r="AV305" s="81"/>
      <c r="AW305" s="81"/>
      <c r="AX305" s="81"/>
      <c r="AY305" s="81"/>
      <c r="AZ305" s="81"/>
      <c r="BA305" s="81"/>
      <c r="BB305" s="81"/>
      <c r="BC305" s="81"/>
      <c r="BD305" s="81"/>
      <c r="BE305" s="81"/>
      <c r="BF305" s="81"/>
    </row>
    <row r="306" ht="11.25" customHeight="1" spans="1:58">
      <c r="A306" s="297" t="s">
        <v>1008</v>
      </c>
      <c r="E306" s="53"/>
      <c r="F306" s="313"/>
      <c r="G306" s="314"/>
      <c r="H306" s="278" t="s">
        <v>151</v>
      </c>
      <c r="I306" s="374"/>
      <c r="J306" s="375"/>
      <c r="K306" s="213"/>
      <c r="L306" s="140"/>
      <c r="M306" s="232"/>
      <c r="N306" s="367"/>
      <c r="O306" s="379"/>
      <c r="P306" s="373"/>
      <c r="Q306" s="104"/>
      <c r="R306" s="104"/>
      <c r="S306" s="387"/>
      <c r="T306" s="104"/>
      <c r="U306" s="104"/>
      <c r="V306" s="104"/>
      <c r="W306" s="104"/>
      <c r="X306" s="104"/>
      <c r="Y306" s="104"/>
      <c r="Z306" s="380"/>
      <c r="AA306" s="381"/>
      <c r="AB306" s="227" t="s">
        <v>1054</v>
      </c>
      <c r="AC306" s="413"/>
      <c r="AD306" s="413"/>
      <c r="AE306" s="425"/>
      <c r="AF306" s="423"/>
      <c r="AG306" s="432"/>
      <c r="AH306" s="432"/>
      <c r="AI306" s="423"/>
      <c r="AJ306" s="432"/>
      <c r="AK306" s="432"/>
      <c r="AL306" s="429"/>
      <c r="AM306" s="81"/>
      <c r="AN306" s="81"/>
      <c r="AO306" s="81"/>
      <c r="AP306" s="81"/>
      <c r="AQ306" s="81"/>
      <c r="AR306" s="81"/>
      <c r="AS306" s="81"/>
      <c r="AT306" s="81"/>
      <c r="AU306" s="81"/>
      <c r="AV306" s="81"/>
      <c r="AW306" s="81"/>
      <c r="AX306" s="81"/>
      <c r="AY306" s="81"/>
      <c r="AZ306" s="81"/>
      <c r="BA306" s="81"/>
      <c r="BB306" s="81"/>
      <c r="BC306" s="81"/>
      <c r="BD306" s="81"/>
      <c r="BE306" s="81"/>
      <c r="BF306" s="81"/>
    </row>
    <row r="307" ht="11.25" customHeight="1" spans="1:58">
      <c r="A307" s="297" t="s">
        <v>1008</v>
      </c>
      <c r="E307" s="53"/>
      <c r="F307" s="313"/>
      <c r="G307" s="314"/>
      <c r="H307" s="278" t="s">
        <v>151</v>
      </c>
      <c r="I307" s="374"/>
      <c r="J307" s="375"/>
      <c r="K307" s="213"/>
      <c r="L307" s="140"/>
      <c r="M307" s="232"/>
      <c r="N307" s="380"/>
      <c r="O307" s="381"/>
      <c r="P307" s="227" t="s">
        <v>1055</v>
      </c>
      <c r="Q307" s="381"/>
      <c r="R307" s="381"/>
      <c r="S307" s="381"/>
      <c r="T307" s="381"/>
      <c r="U307" s="381"/>
      <c r="V307" s="381"/>
      <c r="W307" s="381"/>
      <c r="X307" s="381"/>
      <c r="Y307" s="381"/>
      <c r="Z307" s="381"/>
      <c r="AA307" s="381"/>
      <c r="AB307" s="381"/>
      <c r="AC307" s="381"/>
      <c r="AD307" s="381"/>
      <c r="AE307" s="426"/>
      <c r="AF307" s="423"/>
      <c r="AG307" s="432"/>
      <c r="AH307" s="432"/>
      <c r="AI307" s="423"/>
      <c r="AJ307" s="432"/>
      <c r="AK307" s="432"/>
      <c r="AL307" s="429"/>
      <c r="AM307" s="81"/>
      <c r="AN307" s="81"/>
      <c r="AO307" s="81"/>
      <c r="AP307" s="81"/>
      <c r="AQ307" s="81"/>
      <c r="AR307" s="81"/>
      <c r="AS307" s="81"/>
      <c r="AT307" s="81"/>
      <c r="AU307" s="81"/>
      <c r="AV307" s="81"/>
      <c r="AW307" s="81"/>
      <c r="AX307" s="81"/>
      <c r="AY307" s="81"/>
      <c r="AZ307" s="81"/>
      <c r="BA307" s="81"/>
      <c r="BB307" s="81"/>
      <c r="BC307" s="81"/>
      <c r="BD307" s="81"/>
      <c r="BE307" s="81"/>
      <c r="BF307" s="81"/>
    </row>
    <row r="308" ht="11.25" customHeight="1" spans="1:58">
      <c r="A308" s="297" t="s">
        <v>1008</v>
      </c>
      <c r="B308" s="297" t="s">
        <v>1104</v>
      </c>
      <c r="E308" s="53"/>
      <c r="F308" s="313"/>
      <c r="G308" s="235" t="s">
        <v>683</v>
      </c>
      <c r="H308" s="278" t="s">
        <v>1102</v>
      </c>
      <c r="I308" s="374" t="s">
        <v>1106</v>
      </c>
      <c r="J308" s="375" t="s">
        <v>1107</v>
      </c>
      <c r="K308" s="213" t="s">
        <v>1205</v>
      </c>
      <c r="L308" s="140" t="s">
        <v>19</v>
      </c>
      <c r="M308" s="232"/>
      <c r="N308" s="376"/>
      <c r="O308" s="377" t="s">
        <v>372</v>
      </c>
      <c r="P308" s="378"/>
      <c r="Q308" s="378"/>
      <c r="R308" s="378"/>
      <c r="S308" s="378"/>
      <c r="T308" s="378"/>
      <c r="U308" s="378"/>
      <c r="V308" s="378"/>
      <c r="W308" s="378"/>
      <c r="X308" s="378"/>
      <c r="Y308" s="378"/>
      <c r="Z308" s="378"/>
      <c r="AA308" s="378"/>
      <c r="AB308" s="378"/>
      <c r="AC308" s="378"/>
      <c r="AD308" s="378"/>
      <c r="AE308" s="378"/>
      <c r="AF308" s="423">
        <v>2026</v>
      </c>
      <c r="AG308" s="432" t="s">
        <v>1043</v>
      </c>
      <c r="AH308" s="432" t="s">
        <v>1044</v>
      </c>
      <c r="AI308" s="423"/>
      <c r="AJ308" s="432"/>
      <c r="AK308" s="432"/>
      <c r="AL308" s="429"/>
      <c r="AM308" s="81"/>
      <c r="AN308" s="81"/>
      <c r="AO308" s="81"/>
      <c r="AP308" s="81"/>
      <c r="AQ308" s="81"/>
      <c r="AR308" s="81"/>
      <c r="AS308" s="81"/>
      <c r="AT308" s="81"/>
      <c r="AU308" s="81"/>
      <c r="AV308" s="81"/>
      <c r="AW308" s="81"/>
      <c r="AX308" s="81"/>
      <c r="AY308" s="81"/>
      <c r="AZ308" s="81"/>
      <c r="BA308" s="81"/>
      <c r="BB308" s="81"/>
      <c r="BC308" s="81"/>
      <c r="BD308" s="81"/>
      <c r="BE308" s="81"/>
      <c r="BF308" s="81"/>
    </row>
    <row r="309" ht="11.25" customHeight="1" spans="1:58">
      <c r="A309" s="297" t="s">
        <v>1008</v>
      </c>
      <c r="E309" s="53"/>
      <c r="F309" s="313"/>
      <c r="G309" s="314"/>
      <c r="H309" s="278" t="s">
        <v>1100</v>
      </c>
      <c r="I309" s="374"/>
      <c r="J309" s="375"/>
      <c r="K309" s="213"/>
      <c r="L309" s="140"/>
      <c r="M309" s="232"/>
      <c r="N309" s="367"/>
      <c r="O309" s="379">
        <v>1</v>
      </c>
      <c r="P309" s="369" t="s">
        <v>19</v>
      </c>
      <c r="Q309" s="104" t="s">
        <v>22</v>
      </c>
      <c r="R309" s="104" t="s">
        <v>22</v>
      </c>
      <c r="S309" s="104" t="s">
        <v>22</v>
      </c>
      <c r="T309" s="104" t="s">
        <v>22</v>
      </c>
      <c r="U309" s="104" t="s">
        <v>22</v>
      </c>
      <c r="V309" s="104" t="s">
        <v>22</v>
      </c>
      <c r="W309" s="104" t="s">
        <v>22</v>
      </c>
      <c r="X309" s="104" t="s">
        <v>22</v>
      </c>
      <c r="Y309" s="104"/>
      <c r="Z309" s="380"/>
      <c r="AA309" s="381"/>
      <c r="AB309" s="381"/>
      <c r="AC309" s="413"/>
      <c r="AD309" s="413"/>
      <c r="AE309" s="424"/>
      <c r="AF309" s="423"/>
      <c r="AG309" s="432"/>
      <c r="AH309" s="432"/>
      <c r="AI309" s="423"/>
      <c r="AJ309" s="432"/>
      <c r="AK309" s="432"/>
      <c r="AL309" s="429"/>
      <c r="AM309" s="81"/>
      <c r="AN309" s="81"/>
      <c r="AO309" s="81"/>
      <c r="AP309" s="81"/>
      <c r="AQ309" s="81"/>
      <c r="AR309" s="81"/>
      <c r="AS309" s="81"/>
      <c r="AT309" s="81"/>
      <c r="AU309" s="81"/>
      <c r="AV309" s="81"/>
      <c r="AW309" s="81"/>
      <c r="AX309" s="81"/>
      <c r="AY309" s="81"/>
      <c r="AZ309" s="81"/>
      <c r="BA309" s="81"/>
      <c r="BB309" s="81"/>
      <c r="BC309" s="81"/>
      <c r="BD309" s="81"/>
      <c r="BE309" s="81"/>
      <c r="BF309" s="81"/>
    </row>
    <row r="310" ht="11.25" customHeight="1" spans="1:58">
      <c r="A310" s="297" t="s">
        <v>1008</v>
      </c>
      <c r="E310" s="53"/>
      <c r="F310" s="313"/>
      <c r="G310" s="314"/>
      <c r="H310" s="278" t="s">
        <v>1100</v>
      </c>
      <c r="I310" s="374"/>
      <c r="J310" s="375"/>
      <c r="K310" s="213"/>
      <c r="L310" s="140"/>
      <c r="M310" s="232"/>
      <c r="N310" s="367"/>
      <c r="O310" s="379"/>
      <c r="P310" s="371"/>
      <c r="Q310" s="104"/>
      <c r="R310" s="104"/>
      <c r="S310" s="387"/>
      <c r="T310" s="104"/>
      <c r="U310" s="104"/>
      <c r="V310" s="104"/>
      <c r="W310" s="104"/>
      <c r="X310" s="104"/>
      <c r="Y310" s="104"/>
      <c r="Z310" s="415"/>
      <c r="AA310" s="368">
        <v>1</v>
      </c>
      <c r="AB310" s="416" t="s">
        <v>1082</v>
      </c>
      <c r="AC310" s="417">
        <v>1553.97</v>
      </c>
      <c r="AD310" s="416" t="str">
        <f>AB310</f>
        <v>  Прибыль направляемая на инвестиции</v>
      </c>
      <c r="AE310" s="417"/>
      <c r="AF310" s="423"/>
      <c r="AG310" s="432"/>
      <c r="AH310" s="432"/>
      <c r="AI310" s="423"/>
      <c r="AJ310" s="432"/>
      <c r="AK310" s="432"/>
      <c r="AL310" s="429"/>
      <c r="AM310" s="81"/>
      <c r="AN310" s="81"/>
      <c r="AO310" s="81"/>
      <c r="AP310" s="81"/>
      <c r="AQ310" s="81"/>
      <c r="AR310" s="81"/>
      <c r="AS310" s="81"/>
      <c r="AT310" s="81"/>
      <c r="AU310" s="81"/>
      <c r="AV310" s="81"/>
      <c r="AW310" s="81"/>
      <c r="AX310" s="81"/>
      <c r="AY310" s="81"/>
      <c r="AZ310" s="81"/>
      <c r="BA310" s="81"/>
      <c r="BB310" s="81"/>
      <c r="BC310" s="81"/>
      <c r="BD310" s="81"/>
      <c r="BE310" s="81"/>
      <c r="BF310" s="81"/>
    </row>
    <row r="311" ht="11.25" customHeight="1" spans="1:58">
      <c r="A311" s="297" t="s">
        <v>1008</v>
      </c>
      <c r="E311" s="53"/>
      <c r="F311" s="313"/>
      <c r="G311" s="314"/>
      <c r="H311" s="278" t="s">
        <v>1100</v>
      </c>
      <c r="I311" s="374"/>
      <c r="J311" s="375"/>
      <c r="K311" s="213"/>
      <c r="L311" s="140"/>
      <c r="M311" s="232"/>
      <c r="N311" s="367"/>
      <c r="O311" s="379"/>
      <c r="P311" s="373"/>
      <c r="Q311" s="104"/>
      <c r="R311" s="104"/>
      <c r="S311" s="387"/>
      <c r="T311" s="104"/>
      <c r="U311" s="104"/>
      <c r="V311" s="104"/>
      <c r="W311" s="104"/>
      <c r="X311" s="104"/>
      <c r="Y311" s="104"/>
      <c r="Z311" s="380"/>
      <c r="AA311" s="381"/>
      <c r="AB311" s="227" t="s">
        <v>1054</v>
      </c>
      <c r="AC311" s="413"/>
      <c r="AD311" s="413"/>
      <c r="AE311" s="425"/>
      <c r="AF311" s="423"/>
      <c r="AG311" s="432"/>
      <c r="AH311" s="432"/>
      <c r="AI311" s="423"/>
      <c r="AJ311" s="432"/>
      <c r="AK311" s="432"/>
      <c r="AL311" s="429"/>
      <c r="AM311" s="81"/>
      <c r="AN311" s="81"/>
      <c r="AO311" s="81"/>
      <c r="AP311" s="81"/>
      <c r="AQ311" s="81"/>
      <c r="AR311" s="81"/>
      <c r="AS311" s="81"/>
      <c r="AT311" s="81"/>
      <c r="AU311" s="81"/>
      <c r="AV311" s="81"/>
      <c r="AW311" s="81"/>
      <c r="AX311" s="81"/>
      <c r="AY311" s="81"/>
      <c r="AZ311" s="81"/>
      <c r="BA311" s="81"/>
      <c r="BB311" s="81"/>
      <c r="BC311" s="81"/>
      <c r="BD311" s="81"/>
      <c r="BE311" s="81"/>
      <c r="BF311" s="81"/>
    </row>
    <row r="312" ht="11.25" customHeight="1" spans="1:58">
      <c r="A312" s="297" t="s">
        <v>1008</v>
      </c>
      <c r="E312" s="53"/>
      <c r="F312" s="313"/>
      <c r="G312" s="314"/>
      <c r="H312" s="278" t="s">
        <v>1100</v>
      </c>
      <c r="I312" s="374"/>
      <c r="J312" s="375"/>
      <c r="K312" s="213"/>
      <c r="L312" s="140"/>
      <c r="M312" s="232"/>
      <c r="N312" s="380"/>
      <c r="O312" s="381"/>
      <c r="P312" s="227" t="s">
        <v>1055</v>
      </c>
      <c r="Q312" s="381"/>
      <c r="R312" s="381"/>
      <c r="S312" s="381"/>
      <c r="T312" s="381"/>
      <c r="U312" s="381"/>
      <c r="V312" s="381"/>
      <c r="W312" s="381"/>
      <c r="X312" s="381"/>
      <c r="Y312" s="381"/>
      <c r="Z312" s="381"/>
      <c r="AA312" s="381"/>
      <c r="AB312" s="381"/>
      <c r="AC312" s="381"/>
      <c r="AD312" s="381"/>
      <c r="AE312" s="426"/>
      <c r="AF312" s="423"/>
      <c r="AG312" s="432"/>
      <c r="AH312" s="432"/>
      <c r="AI312" s="423"/>
      <c r="AJ312" s="432"/>
      <c r="AK312" s="432"/>
      <c r="AL312" s="429"/>
      <c r="AM312" s="81"/>
      <c r="AN312" s="81"/>
      <c r="AO312" s="81"/>
      <c r="AP312" s="81"/>
      <c r="AQ312" s="81"/>
      <c r="AR312" s="81"/>
      <c r="AS312" s="81"/>
      <c r="AT312" s="81"/>
      <c r="AU312" s="81"/>
      <c r="AV312" s="81"/>
      <c r="AW312" s="81"/>
      <c r="AX312" s="81"/>
      <c r="AY312" s="81"/>
      <c r="AZ312" s="81"/>
      <c r="BA312" s="81"/>
      <c r="BB312" s="81"/>
      <c r="BC312" s="81"/>
      <c r="BD312" s="81"/>
      <c r="BE312" s="81"/>
      <c r="BF312" s="81"/>
    </row>
    <row r="313" ht="11.25" customHeight="1" spans="1:58">
      <c r="A313" s="297" t="s">
        <v>1008</v>
      </c>
      <c r="B313" s="297" t="s">
        <v>1104</v>
      </c>
      <c r="E313" s="53"/>
      <c r="F313" s="313"/>
      <c r="G313" s="235" t="s">
        <v>683</v>
      </c>
      <c r="H313" s="278" t="s">
        <v>1105</v>
      </c>
      <c r="I313" s="374" t="s">
        <v>1106</v>
      </c>
      <c r="J313" s="375" t="s">
        <v>1107</v>
      </c>
      <c r="K313" s="213" t="s">
        <v>1206</v>
      </c>
      <c r="L313" s="140" t="s">
        <v>19</v>
      </c>
      <c r="M313" s="232"/>
      <c r="N313" s="376"/>
      <c r="O313" s="377" t="s">
        <v>372</v>
      </c>
      <c r="P313" s="378"/>
      <c r="Q313" s="378"/>
      <c r="R313" s="378"/>
      <c r="S313" s="378"/>
      <c r="T313" s="378"/>
      <c r="U313" s="378"/>
      <c r="V313" s="378"/>
      <c r="W313" s="378"/>
      <c r="X313" s="378"/>
      <c r="Y313" s="378"/>
      <c r="Z313" s="378"/>
      <c r="AA313" s="378"/>
      <c r="AB313" s="378"/>
      <c r="AC313" s="378"/>
      <c r="AD313" s="378"/>
      <c r="AE313" s="378"/>
      <c r="AF313" s="423">
        <v>2026</v>
      </c>
      <c r="AG313" s="432" t="s">
        <v>1043</v>
      </c>
      <c r="AH313" s="432" t="s">
        <v>1044</v>
      </c>
      <c r="AI313" s="423"/>
      <c r="AJ313" s="432"/>
      <c r="AK313" s="432"/>
      <c r="AL313" s="429"/>
      <c r="AM313" s="81"/>
      <c r="AN313" s="81"/>
      <c r="AO313" s="81"/>
      <c r="AP313" s="81"/>
      <c r="AQ313" s="81"/>
      <c r="AR313" s="81"/>
      <c r="AS313" s="81"/>
      <c r="AT313" s="81"/>
      <c r="AU313" s="81"/>
      <c r="AV313" s="81"/>
      <c r="AW313" s="81"/>
      <c r="AX313" s="81"/>
      <c r="AY313" s="81"/>
      <c r="AZ313" s="81"/>
      <c r="BA313" s="81"/>
      <c r="BB313" s="81"/>
      <c r="BC313" s="81"/>
      <c r="BD313" s="81"/>
      <c r="BE313" s="81"/>
      <c r="BF313" s="81"/>
    </row>
    <row r="314" ht="11.25" customHeight="1" spans="1:58">
      <c r="A314" s="297" t="s">
        <v>1008</v>
      </c>
      <c r="E314" s="53"/>
      <c r="F314" s="313"/>
      <c r="G314" s="314"/>
      <c r="H314" s="278" t="s">
        <v>1102</v>
      </c>
      <c r="I314" s="374"/>
      <c r="J314" s="375"/>
      <c r="K314" s="213"/>
      <c r="L314" s="140"/>
      <c r="M314" s="232"/>
      <c r="N314" s="367"/>
      <c r="O314" s="379">
        <v>1</v>
      </c>
      <c r="P314" s="369" t="s">
        <v>19</v>
      </c>
      <c r="Q314" s="104" t="s">
        <v>22</v>
      </c>
      <c r="R314" s="104" t="s">
        <v>22</v>
      </c>
      <c r="S314" s="104" t="s">
        <v>22</v>
      </c>
      <c r="T314" s="104" t="s">
        <v>22</v>
      </c>
      <c r="U314" s="104" t="s">
        <v>22</v>
      </c>
      <c r="V314" s="104" t="s">
        <v>22</v>
      </c>
      <c r="W314" s="104" t="s">
        <v>22</v>
      </c>
      <c r="X314" s="104" t="s">
        <v>22</v>
      </c>
      <c r="Y314" s="104"/>
      <c r="Z314" s="380"/>
      <c r="AA314" s="381"/>
      <c r="AB314" s="381"/>
      <c r="AC314" s="413"/>
      <c r="AD314" s="413"/>
      <c r="AE314" s="424"/>
      <c r="AF314" s="423"/>
      <c r="AG314" s="432"/>
      <c r="AH314" s="432"/>
      <c r="AI314" s="423"/>
      <c r="AJ314" s="432"/>
      <c r="AK314" s="432"/>
      <c r="AL314" s="429"/>
      <c r="AM314" s="81"/>
      <c r="AN314" s="81"/>
      <c r="AO314" s="81"/>
      <c r="AP314" s="81"/>
      <c r="AQ314" s="81"/>
      <c r="AR314" s="81"/>
      <c r="AS314" s="81"/>
      <c r="AT314" s="81"/>
      <c r="AU314" s="81"/>
      <c r="AV314" s="81"/>
      <c r="AW314" s="81"/>
      <c r="AX314" s="81"/>
      <c r="AY314" s="81"/>
      <c r="AZ314" s="81"/>
      <c r="BA314" s="81"/>
      <c r="BB314" s="81"/>
      <c r="BC314" s="81"/>
      <c r="BD314" s="81"/>
      <c r="BE314" s="81"/>
      <c r="BF314" s="81"/>
    </row>
    <row r="315" ht="11.25" customHeight="1" spans="1:58">
      <c r="A315" s="297" t="s">
        <v>1008</v>
      </c>
      <c r="E315" s="53"/>
      <c r="F315" s="313"/>
      <c r="G315" s="314"/>
      <c r="H315" s="278" t="s">
        <v>1102</v>
      </c>
      <c r="I315" s="374"/>
      <c r="J315" s="375"/>
      <c r="K315" s="213"/>
      <c r="L315" s="140"/>
      <c r="M315" s="232"/>
      <c r="N315" s="367"/>
      <c r="O315" s="379"/>
      <c r="P315" s="371"/>
      <c r="Q315" s="104"/>
      <c r="R315" s="104"/>
      <c r="S315" s="387"/>
      <c r="T315" s="104"/>
      <c r="U315" s="104"/>
      <c r="V315" s="104"/>
      <c r="W315" s="104"/>
      <c r="X315" s="104"/>
      <c r="Y315" s="104"/>
      <c r="Z315" s="415"/>
      <c r="AA315" s="368">
        <v>1</v>
      </c>
      <c r="AB315" s="416" t="s">
        <v>1082</v>
      </c>
      <c r="AC315" s="417">
        <v>509.08</v>
      </c>
      <c r="AD315" s="416" t="str">
        <f>AB315</f>
        <v>  Прибыль направляемая на инвестиции</v>
      </c>
      <c r="AE315" s="417"/>
      <c r="AF315" s="423"/>
      <c r="AG315" s="432"/>
      <c r="AH315" s="432"/>
      <c r="AI315" s="423"/>
      <c r="AJ315" s="432"/>
      <c r="AK315" s="432"/>
      <c r="AL315" s="429"/>
      <c r="AM315" s="81"/>
      <c r="AN315" s="81"/>
      <c r="AO315" s="81"/>
      <c r="AP315" s="81"/>
      <c r="AQ315" s="81"/>
      <c r="AR315" s="81"/>
      <c r="AS315" s="81"/>
      <c r="AT315" s="81"/>
      <c r="AU315" s="81"/>
      <c r="AV315" s="81"/>
      <c r="AW315" s="81"/>
      <c r="AX315" s="81"/>
      <c r="AY315" s="81"/>
      <c r="AZ315" s="81"/>
      <c r="BA315" s="81"/>
      <c r="BB315" s="81"/>
      <c r="BC315" s="81"/>
      <c r="BD315" s="81"/>
      <c r="BE315" s="81"/>
      <c r="BF315" s="81"/>
    </row>
    <row r="316" ht="11.25" customHeight="1" spans="1:58">
      <c r="A316" s="297" t="s">
        <v>1008</v>
      </c>
      <c r="E316" s="53"/>
      <c r="F316" s="313"/>
      <c r="G316" s="314"/>
      <c r="H316" s="278" t="s">
        <v>1102</v>
      </c>
      <c r="I316" s="374"/>
      <c r="J316" s="375"/>
      <c r="K316" s="213"/>
      <c r="L316" s="140"/>
      <c r="M316" s="232"/>
      <c r="N316" s="367"/>
      <c r="O316" s="379"/>
      <c r="P316" s="373"/>
      <c r="Q316" s="104"/>
      <c r="R316" s="104"/>
      <c r="S316" s="387"/>
      <c r="T316" s="104"/>
      <c r="U316" s="104"/>
      <c r="V316" s="104"/>
      <c r="W316" s="104"/>
      <c r="X316" s="104"/>
      <c r="Y316" s="104"/>
      <c r="Z316" s="380"/>
      <c r="AA316" s="381"/>
      <c r="AB316" s="227" t="s">
        <v>1054</v>
      </c>
      <c r="AC316" s="413"/>
      <c r="AD316" s="413"/>
      <c r="AE316" s="425"/>
      <c r="AF316" s="423"/>
      <c r="AG316" s="432"/>
      <c r="AH316" s="432"/>
      <c r="AI316" s="423"/>
      <c r="AJ316" s="432"/>
      <c r="AK316" s="432"/>
      <c r="AL316" s="429"/>
      <c r="AM316" s="81"/>
      <c r="AN316" s="81"/>
      <c r="AO316" s="81"/>
      <c r="AP316" s="81"/>
      <c r="AQ316" s="81"/>
      <c r="AR316" s="81"/>
      <c r="AS316" s="81"/>
      <c r="AT316" s="81"/>
      <c r="AU316" s="81"/>
      <c r="AV316" s="81"/>
      <c r="AW316" s="81"/>
      <c r="AX316" s="81"/>
      <c r="AY316" s="81"/>
      <c r="AZ316" s="81"/>
      <c r="BA316" s="81"/>
      <c r="BB316" s="81"/>
      <c r="BC316" s="81"/>
      <c r="BD316" s="81"/>
      <c r="BE316" s="81"/>
      <c r="BF316" s="81"/>
    </row>
    <row r="317" ht="11.25" customHeight="1" spans="1:58">
      <c r="A317" s="297" t="s">
        <v>1008</v>
      </c>
      <c r="E317" s="53"/>
      <c r="F317" s="313"/>
      <c r="G317" s="314"/>
      <c r="H317" s="278" t="s">
        <v>1102</v>
      </c>
      <c r="I317" s="374"/>
      <c r="J317" s="375"/>
      <c r="K317" s="213"/>
      <c r="L317" s="140"/>
      <c r="M317" s="232"/>
      <c r="N317" s="380"/>
      <c r="O317" s="381"/>
      <c r="P317" s="227" t="s">
        <v>1055</v>
      </c>
      <c r="Q317" s="381"/>
      <c r="R317" s="381"/>
      <c r="S317" s="381"/>
      <c r="T317" s="381"/>
      <c r="U317" s="381"/>
      <c r="V317" s="381"/>
      <c r="W317" s="381"/>
      <c r="X317" s="381"/>
      <c r="Y317" s="381"/>
      <c r="Z317" s="381"/>
      <c r="AA317" s="381"/>
      <c r="AB317" s="381"/>
      <c r="AC317" s="381"/>
      <c r="AD317" s="381"/>
      <c r="AE317" s="426"/>
      <c r="AF317" s="423"/>
      <c r="AG317" s="432"/>
      <c r="AH317" s="432"/>
      <c r="AI317" s="423"/>
      <c r="AJ317" s="432"/>
      <c r="AK317" s="432"/>
      <c r="AL317" s="429"/>
      <c r="AM317" s="81"/>
      <c r="AN317" s="81"/>
      <c r="AO317" s="81"/>
      <c r="AP317" s="81"/>
      <c r="AQ317" s="81"/>
      <c r="AR317" s="81"/>
      <c r="AS317" s="81"/>
      <c r="AT317" s="81"/>
      <c r="AU317" s="81"/>
      <c r="AV317" s="81"/>
      <c r="AW317" s="81"/>
      <c r="AX317" s="81"/>
      <c r="AY317" s="81"/>
      <c r="AZ317" s="81"/>
      <c r="BA317" s="81"/>
      <c r="BB317" s="81"/>
      <c r="BC317" s="81"/>
      <c r="BD317" s="81"/>
      <c r="BE317" s="81"/>
      <c r="BF317" s="81"/>
    </row>
    <row r="318" ht="11.25" customHeight="1" spans="1:58">
      <c r="A318" s="297" t="s">
        <v>1008</v>
      </c>
      <c r="B318" s="297" t="s">
        <v>1104</v>
      </c>
      <c r="E318" s="53"/>
      <c r="F318" s="313"/>
      <c r="G318" s="235" t="s">
        <v>683</v>
      </c>
      <c r="H318" s="278" t="s">
        <v>1112</v>
      </c>
      <c r="I318" s="374" t="s">
        <v>1106</v>
      </c>
      <c r="J318" s="375" t="s">
        <v>1107</v>
      </c>
      <c r="K318" s="213" t="s">
        <v>1207</v>
      </c>
      <c r="L318" s="140" t="s">
        <v>19</v>
      </c>
      <c r="M318" s="232"/>
      <c r="N318" s="376"/>
      <c r="O318" s="377" t="s">
        <v>372</v>
      </c>
      <c r="P318" s="378"/>
      <c r="Q318" s="378"/>
      <c r="R318" s="378"/>
      <c r="S318" s="378"/>
      <c r="T318" s="378"/>
      <c r="U318" s="378"/>
      <c r="V318" s="378"/>
      <c r="W318" s="378"/>
      <c r="X318" s="378"/>
      <c r="Y318" s="378"/>
      <c r="Z318" s="378"/>
      <c r="AA318" s="378"/>
      <c r="AB318" s="378"/>
      <c r="AC318" s="378"/>
      <c r="AD318" s="378"/>
      <c r="AE318" s="378"/>
      <c r="AF318" s="423">
        <v>2026</v>
      </c>
      <c r="AG318" s="432" t="s">
        <v>1043</v>
      </c>
      <c r="AH318" s="432" t="s">
        <v>1044</v>
      </c>
      <c r="AI318" s="423"/>
      <c r="AJ318" s="432"/>
      <c r="AK318" s="432"/>
      <c r="AL318" s="429"/>
      <c r="AM318" s="81"/>
      <c r="AN318" s="81"/>
      <c r="AO318" s="81"/>
      <c r="AP318" s="81"/>
      <c r="AQ318" s="81"/>
      <c r="AR318" s="81"/>
      <c r="AS318" s="81"/>
      <c r="AT318" s="81"/>
      <c r="AU318" s="81"/>
      <c r="AV318" s="81"/>
      <c r="AW318" s="81"/>
      <c r="AX318" s="81"/>
      <c r="AY318" s="81"/>
      <c r="AZ318" s="81"/>
      <c r="BA318" s="81"/>
      <c r="BB318" s="81"/>
      <c r="BC318" s="81"/>
      <c r="BD318" s="81"/>
      <c r="BE318" s="81"/>
      <c r="BF318" s="81"/>
    </row>
    <row r="319" ht="11.25" customHeight="1" spans="1:58">
      <c r="A319" s="297" t="s">
        <v>1008</v>
      </c>
      <c r="E319" s="53"/>
      <c r="F319" s="313"/>
      <c r="G319" s="314"/>
      <c r="H319" s="278" t="s">
        <v>1105</v>
      </c>
      <c r="I319" s="374"/>
      <c r="J319" s="375"/>
      <c r="K319" s="213"/>
      <c r="L319" s="140"/>
      <c r="M319" s="232"/>
      <c r="N319" s="367"/>
      <c r="O319" s="379">
        <v>1</v>
      </c>
      <c r="P319" s="369" t="s">
        <v>19</v>
      </c>
      <c r="Q319" s="104" t="s">
        <v>22</v>
      </c>
      <c r="R319" s="104" t="s">
        <v>22</v>
      </c>
      <c r="S319" s="104" t="s">
        <v>22</v>
      </c>
      <c r="T319" s="104" t="s">
        <v>22</v>
      </c>
      <c r="U319" s="104" t="s">
        <v>22</v>
      </c>
      <c r="V319" s="104" t="s">
        <v>22</v>
      </c>
      <c r="W319" s="104" t="s">
        <v>22</v>
      </c>
      <c r="X319" s="104" t="s">
        <v>22</v>
      </c>
      <c r="Y319" s="104"/>
      <c r="Z319" s="380"/>
      <c r="AA319" s="381"/>
      <c r="AB319" s="381"/>
      <c r="AC319" s="413"/>
      <c r="AD319" s="413"/>
      <c r="AE319" s="424"/>
      <c r="AF319" s="423"/>
      <c r="AG319" s="432"/>
      <c r="AH319" s="432"/>
      <c r="AI319" s="423"/>
      <c r="AJ319" s="432"/>
      <c r="AK319" s="432"/>
      <c r="AL319" s="429"/>
      <c r="AM319" s="81"/>
      <c r="AN319" s="81"/>
      <c r="AO319" s="81"/>
      <c r="AP319" s="81"/>
      <c r="AQ319" s="81"/>
      <c r="AR319" s="81"/>
      <c r="AS319" s="81"/>
      <c r="AT319" s="81"/>
      <c r="AU319" s="81"/>
      <c r="AV319" s="81"/>
      <c r="AW319" s="81"/>
      <c r="AX319" s="81"/>
      <c r="AY319" s="81"/>
      <c r="AZ319" s="81"/>
      <c r="BA319" s="81"/>
      <c r="BB319" s="81"/>
      <c r="BC319" s="81"/>
      <c r="BD319" s="81"/>
      <c r="BE319" s="81"/>
      <c r="BF319" s="81"/>
    </row>
    <row r="320" ht="11.25" customHeight="1" spans="1:58">
      <c r="A320" s="297" t="s">
        <v>1008</v>
      </c>
      <c r="E320" s="53"/>
      <c r="F320" s="313"/>
      <c r="G320" s="314"/>
      <c r="H320" s="278" t="s">
        <v>1105</v>
      </c>
      <c r="I320" s="374"/>
      <c r="J320" s="375"/>
      <c r="K320" s="213"/>
      <c r="L320" s="140"/>
      <c r="M320" s="232"/>
      <c r="N320" s="367"/>
      <c r="O320" s="379"/>
      <c r="P320" s="371"/>
      <c r="Q320" s="104"/>
      <c r="R320" s="104"/>
      <c r="S320" s="387"/>
      <c r="T320" s="104"/>
      <c r="U320" s="104"/>
      <c r="V320" s="104"/>
      <c r="W320" s="104"/>
      <c r="X320" s="104"/>
      <c r="Y320" s="104"/>
      <c r="Z320" s="415"/>
      <c r="AA320" s="368">
        <v>1</v>
      </c>
      <c r="AB320" s="416" t="s">
        <v>1082</v>
      </c>
      <c r="AC320" s="417">
        <v>2942.63</v>
      </c>
      <c r="AD320" s="416" t="str">
        <f>AB320</f>
        <v>  Прибыль направляемая на инвестиции</v>
      </c>
      <c r="AE320" s="417"/>
      <c r="AF320" s="423"/>
      <c r="AG320" s="432"/>
      <c r="AH320" s="432"/>
      <c r="AI320" s="423"/>
      <c r="AJ320" s="432"/>
      <c r="AK320" s="432"/>
      <c r="AL320" s="429"/>
      <c r="AM320" s="81"/>
      <c r="AN320" s="81"/>
      <c r="AO320" s="81"/>
      <c r="AP320" s="81"/>
      <c r="AQ320" s="81"/>
      <c r="AR320" s="81"/>
      <c r="AS320" s="81"/>
      <c r="AT320" s="81"/>
      <c r="AU320" s="81"/>
      <c r="AV320" s="81"/>
      <c r="AW320" s="81"/>
      <c r="AX320" s="81"/>
      <c r="AY320" s="81"/>
      <c r="AZ320" s="81"/>
      <c r="BA320" s="81"/>
      <c r="BB320" s="81"/>
      <c r="BC320" s="81"/>
      <c r="BD320" s="81"/>
      <c r="BE320" s="81"/>
      <c r="BF320" s="81"/>
    </row>
    <row r="321" ht="11.25" customHeight="1" spans="1:58">
      <c r="A321" s="297" t="s">
        <v>1008</v>
      </c>
      <c r="E321" s="53"/>
      <c r="F321" s="313"/>
      <c r="G321" s="314"/>
      <c r="H321" s="278" t="s">
        <v>1105</v>
      </c>
      <c r="I321" s="374"/>
      <c r="J321" s="375"/>
      <c r="K321" s="213"/>
      <c r="L321" s="140"/>
      <c r="M321" s="232"/>
      <c r="N321" s="367"/>
      <c r="O321" s="379"/>
      <c r="P321" s="373"/>
      <c r="Q321" s="104"/>
      <c r="R321" s="104"/>
      <c r="S321" s="387"/>
      <c r="T321" s="104"/>
      <c r="U321" s="104"/>
      <c r="V321" s="104"/>
      <c r="W321" s="104"/>
      <c r="X321" s="104"/>
      <c r="Y321" s="104"/>
      <c r="Z321" s="380"/>
      <c r="AA321" s="381"/>
      <c r="AB321" s="227" t="s">
        <v>1054</v>
      </c>
      <c r="AC321" s="413"/>
      <c r="AD321" s="413"/>
      <c r="AE321" s="425"/>
      <c r="AF321" s="423"/>
      <c r="AG321" s="432"/>
      <c r="AH321" s="432"/>
      <c r="AI321" s="423"/>
      <c r="AJ321" s="432"/>
      <c r="AK321" s="432"/>
      <c r="AL321" s="429"/>
      <c r="AM321" s="81"/>
      <c r="AN321" s="81"/>
      <c r="AO321" s="81"/>
      <c r="AP321" s="81"/>
      <c r="AQ321" s="81"/>
      <c r="AR321" s="81"/>
      <c r="AS321" s="81"/>
      <c r="AT321" s="81"/>
      <c r="AU321" s="81"/>
      <c r="AV321" s="81"/>
      <c r="AW321" s="81"/>
      <c r="AX321" s="81"/>
      <c r="AY321" s="81"/>
      <c r="AZ321" s="81"/>
      <c r="BA321" s="81"/>
      <c r="BB321" s="81"/>
      <c r="BC321" s="81"/>
      <c r="BD321" s="81"/>
      <c r="BE321" s="81"/>
      <c r="BF321" s="81"/>
    </row>
    <row r="322" ht="11.25" customHeight="1" spans="1:58">
      <c r="A322" s="297" t="s">
        <v>1008</v>
      </c>
      <c r="E322" s="53"/>
      <c r="F322" s="313"/>
      <c r="G322" s="314"/>
      <c r="H322" s="278" t="s">
        <v>1105</v>
      </c>
      <c r="I322" s="374"/>
      <c r="J322" s="375"/>
      <c r="K322" s="213"/>
      <c r="L322" s="140"/>
      <c r="M322" s="232"/>
      <c r="N322" s="380"/>
      <c r="O322" s="381"/>
      <c r="P322" s="227" t="s">
        <v>1055</v>
      </c>
      <c r="Q322" s="381"/>
      <c r="R322" s="381"/>
      <c r="S322" s="381"/>
      <c r="T322" s="381"/>
      <c r="U322" s="381"/>
      <c r="V322" s="381"/>
      <c r="W322" s="381"/>
      <c r="X322" s="381"/>
      <c r="Y322" s="381"/>
      <c r="Z322" s="381"/>
      <c r="AA322" s="381"/>
      <c r="AB322" s="381"/>
      <c r="AC322" s="381"/>
      <c r="AD322" s="381"/>
      <c r="AE322" s="426"/>
      <c r="AF322" s="423"/>
      <c r="AG322" s="432"/>
      <c r="AH322" s="432"/>
      <c r="AI322" s="423"/>
      <c r="AJ322" s="432"/>
      <c r="AK322" s="432"/>
      <c r="AL322" s="429"/>
      <c r="AM322" s="81"/>
      <c r="AN322" s="81"/>
      <c r="AO322" s="81"/>
      <c r="AP322" s="81"/>
      <c r="AQ322" s="81"/>
      <c r="AR322" s="81"/>
      <c r="AS322" s="81"/>
      <c r="AT322" s="81"/>
      <c r="AU322" s="81"/>
      <c r="AV322" s="81"/>
      <c r="AW322" s="81"/>
      <c r="AX322" s="81"/>
      <c r="AY322" s="81"/>
      <c r="AZ322" s="81"/>
      <c r="BA322" s="81"/>
      <c r="BB322" s="81"/>
      <c r="BC322" s="81"/>
      <c r="BD322" s="81"/>
      <c r="BE322" s="81"/>
      <c r="BF322" s="81"/>
    </row>
    <row r="323" ht="11.25" customHeight="1" spans="1:58">
      <c r="A323" s="297" t="s">
        <v>1008</v>
      </c>
      <c r="B323" s="297" t="s">
        <v>1104</v>
      </c>
      <c r="E323" s="53"/>
      <c r="F323" s="313"/>
      <c r="G323" s="235" t="s">
        <v>683</v>
      </c>
      <c r="H323" s="278" t="s">
        <v>1117</v>
      </c>
      <c r="I323" s="374" t="s">
        <v>1106</v>
      </c>
      <c r="J323" s="375" t="s">
        <v>1107</v>
      </c>
      <c r="K323" s="213" t="s">
        <v>1208</v>
      </c>
      <c r="L323" s="140" t="s">
        <v>19</v>
      </c>
      <c r="M323" s="232"/>
      <c r="N323" s="376"/>
      <c r="O323" s="377" t="s">
        <v>372</v>
      </c>
      <c r="P323" s="378"/>
      <c r="Q323" s="378"/>
      <c r="R323" s="378"/>
      <c r="S323" s="378"/>
      <c r="T323" s="378"/>
      <c r="U323" s="378"/>
      <c r="V323" s="378"/>
      <c r="W323" s="378"/>
      <c r="X323" s="378"/>
      <c r="Y323" s="378"/>
      <c r="Z323" s="378"/>
      <c r="AA323" s="378"/>
      <c r="AB323" s="378"/>
      <c r="AC323" s="378"/>
      <c r="AD323" s="378"/>
      <c r="AE323" s="378"/>
      <c r="AF323" s="423">
        <v>2026</v>
      </c>
      <c r="AG323" s="432" t="s">
        <v>1043</v>
      </c>
      <c r="AH323" s="432" t="s">
        <v>1044</v>
      </c>
      <c r="AI323" s="423"/>
      <c r="AJ323" s="432"/>
      <c r="AK323" s="432"/>
      <c r="AL323" s="429"/>
      <c r="AM323" s="81"/>
      <c r="AN323" s="81"/>
      <c r="AO323" s="81"/>
      <c r="AP323" s="81"/>
      <c r="AQ323" s="81"/>
      <c r="AR323" s="81"/>
      <c r="AS323" s="81"/>
      <c r="AT323" s="81"/>
      <c r="AU323" s="81"/>
      <c r="AV323" s="81"/>
      <c r="AW323" s="81"/>
      <c r="AX323" s="81"/>
      <c r="AY323" s="81"/>
      <c r="AZ323" s="81"/>
      <c r="BA323" s="81"/>
      <c r="BB323" s="81"/>
      <c r="BC323" s="81"/>
      <c r="BD323" s="81"/>
      <c r="BE323" s="81"/>
      <c r="BF323" s="81"/>
    </row>
    <row r="324" ht="11.25" customHeight="1" spans="1:58">
      <c r="A324" s="297" t="s">
        <v>1008</v>
      </c>
      <c r="E324" s="53"/>
      <c r="F324" s="313"/>
      <c r="G324" s="314"/>
      <c r="H324" s="278" t="s">
        <v>1112</v>
      </c>
      <c r="I324" s="374"/>
      <c r="J324" s="375"/>
      <c r="K324" s="213"/>
      <c r="L324" s="140"/>
      <c r="M324" s="232"/>
      <c r="N324" s="367"/>
      <c r="O324" s="379">
        <v>1</v>
      </c>
      <c r="P324" s="369" t="s">
        <v>19</v>
      </c>
      <c r="Q324" s="104" t="s">
        <v>22</v>
      </c>
      <c r="R324" s="104" t="s">
        <v>22</v>
      </c>
      <c r="S324" s="104" t="s">
        <v>22</v>
      </c>
      <c r="T324" s="104" t="s">
        <v>22</v>
      </c>
      <c r="U324" s="104" t="s">
        <v>22</v>
      </c>
      <c r="V324" s="104" t="s">
        <v>22</v>
      </c>
      <c r="W324" s="104" t="s">
        <v>22</v>
      </c>
      <c r="X324" s="104" t="s">
        <v>22</v>
      </c>
      <c r="Y324" s="104"/>
      <c r="Z324" s="380"/>
      <c r="AA324" s="381"/>
      <c r="AB324" s="381"/>
      <c r="AC324" s="413"/>
      <c r="AD324" s="413"/>
      <c r="AE324" s="424"/>
      <c r="AF324" s="423"/>
      <c r="AG324" s="432"/>
      <c r="AH324" s="432"/>
      <c r="AI324" s="423"/>
      <c r="AJ324" s="432"/>
      <c r="AK324" s="432"/>
      <c r="AL324" s="429"/>
      <c r="AM324" s="81"/>
      <c r="AN324" s="81"/>
      <c r="AO324" s="81"/>
      <c r="AP324" s="81"/>
      <c r="AQ324" s="81"/>
      <c r="AR324" s="81"/>
      <c r="AS324" s="81"/>
      <c r="AT324" s="81"/>
      <c r="AU324" s="81"/>
      <c r="AV324" s="81"/>
      <c r="AW324" s="81"/>
      <c r="AX324" s="81"/>
      <c r="AY324" s="81"/>
      <c r="AZ324" s="81"/>
      <c r="BA324" s="81"/>
      <c r="BB324" s="81"/>
      <c r="BC324" s="81"/>
      <c r="BD324" s="81"/>
      <c r="BE324" s="81"/>
      <c r="BF324" s="81"/>
    </row>
    <row r="325" ht="11.25" customHeight="1" spans="1:58">
      <c r="A325" s="297" t="s">
        <v>1008</v>
      </c>
      <c r="E325" s="53"/>
      <c r="F325" s="313"/>
      <c r="G325" s="314"/>
      <c r="H325" s="278" t="s">
        <v>1112</v>
      </c>
      <c r="I325" s="374"/>
      <c r="J325" s="375"/>
      <c r="K325" s="213"/>
      <c r="L325" s="140"/>
      <c r="M325" s="232"/>
      <c r="N325" s="367"/>
      <c r="O325" s="379"/>
      <c r="P325" s="371"/>
      <c r="Q325" s="104"/>
      <c r="R325" s="104"/>
      <c r="S325" s="387"/>
      <c r="T325" s="104"/>
      <c r="U325" s="104"/>
      <c r="V325" s="104"/>
      <c r="W325" s="104"/>
      <c r="X325" s="104"/>
      <c r="Y325" s="104"/>
      <c r="Z325" s="415"/>
      <c r="AA325" s="368">
        <v>1</v>
      </c>
      <c r="AB325" s="416" t="s">
        <v>1082</v>
      </c>
      <c r="AC325" s="417">
        <v>6247.85</v>
      </c>
      <c r="AD325" s="416" t="str">
        <f>AB325</f>
        <v>  Прибыль направляемая на инвестиции</v>
      </c>
      <c r="AE325" s="417"/>
      <c r="AF325" s="423"/>
      <c r="AG325" s="432"/>
      <c r="AH325" s="432"/>
      <c r="AI325" s="423"/>
      <c r="AJ325" s="432"/>
      <c r="AK325" s="432"/>
      <c r="AL325" s="429"/>
      <c r="AM325" s="81"/>
      <c r="AN325" s="81"/>
      <c r="AO325" s="81"/>
      <c r="AP325" s="81"/>
      <c r="AQ325" s="81"/>
      <c r="AR325" s="81"/>
      <c r="AS325" s="81"/>
      <c r="AT325" s="81"/>
      <c r="AU325" s="81"/>
      <c r="AV325" s="81"/>
      <c r="AW325" s="81"/>
      <c r="AX325" s="81"/>
      <c r="AY325" s="81"/>
      <c r="AZ325" s="81"/>
      <c r="BA325" s="81"/>
      <c r="BB325" s="81"/>
      <c r="BC325" s="81"/>
      <c r="BD325" s="81"/>
      <c r="BE325" s="81"/>
      <c r="BF325" s="81"/>
    </row>
    <row r="326" ht="11.25" customHeight="1" spans="1:58">
      <c r="A326" s="297" t="s">
        <v>1008</v>
      </c>
      <c r="E326" s="53"/>
      <c r="F326" s="313"/>
      <c r="G326" s="314"/>
      <c r="H326" s="278" t="s">
        <v>1112</v>
      </c>
      <c r="I326" s="374"/>
      <c r="J326" s="375"/>
      <c r="K326" s="213"/>
      <c r="L326" s="140"/>
      <c r="M326" s="232"/>
      <c r="N326" s="367"/>
      <c r="O326" s="379"/>
      <c r="P326" s="373"/>
      <c r="Q326" s="104"/>
      <c r="R326" s="104"/>
      <c r="S326" s="387"/>
      <c r="T326" s="104"/>
      <c r="U326" s="104"/>
      <c r="V326" s="104"/>
      <c r="W326" s="104"/>
      <c r="X326" s="104"/>
      <c r="Y326" s="104"/>
      <c r="Z326" s="380"/>
      <c r="AA326" s="381"/>
      <c r="AB326" s="227" t="s">
        <v>1054</v>
      </c>
      <c r="AC326" s="413"/>
      <c r="AD326" s="413"/>
      <c r="AE326" s="425"/>
      <c r="AF326" s="423"/>
      <c r="AG326" s="432"/>
      <c r="AH326" s="432"/>
      <c r="AI326" s="423"/>
      <c r="AJ326" s="432"/>
      <c r="AK326" s="432"/>
      <c r="AL326" s="429"/>
      <c r="AM326" s="81"/>
      <c r="AN326" s="81"/>
      <c r="AO326" s="81"/>
      <c r="AP326" s="81"/>
      <c r="AQ326" s="81"/>
      <c r="AR326" s="81"/>
      <c r="AS326" s="81"/>
      <c r="AT326" s="81"/>
      <c r="AU326" s="81"/>
      <c r="AV326" s="81"/>
      <c r="AW326" s="81"/>
      <c r="AX326" s="81"/>
      <c r="AY326" s="81"/>
      <c r="AZ326" s="81"/>
      <c r="BA326" s="81"/>
      <c r="BB326" s="81"/>
      <c r="BC326" s="81"/>
      <c r="BD326" s="81"/>
      <c r="BE326" s="81"/>
      <c r="BF326" s="81"/>
    </row>
    <row r="327" ht="11.25" customHeight="1" spans="1:58">
      <c r="A327" s="297" t="s">
        <v>1008</v>
      </c>
      <c r="E327" s="53"/>
      <c r="F327" s="313"/>
      <c r="G327" s="314"/>
      <c r="H327" s="278" t="s">
        <v>1112</v>
      </c>
      <c r="I327" s="374"/>
      <c r="J327" s="375"/>
      <c r="K327" s="213"/>
      <c r="L327" s="140"/>
      <c r="M327" s="232"/>
      <c r="N327" s="380"/>
      <c r="O327" s="381"/>
      <c r="P327" s="227" t="s">
        <v>1055</v>
      </c>
      <c r="Q327" s="381"/>
      <c r="R327" s="381"/>
      <c r="S327" s="381"/>
      <c r="T327" s="381"/>
      <c r="U327" s="381"/>
      <c r="V327" s="381"/>
      <c r="W327" s="381"/>
      <c r="X327" s="381"/>
      <c r="Y327" s="381"/>
      <c r="Z327" s="381"/>
      <c r="AA327" s="381"/>
      <c r="AB327" s="381"/>
      <c r="AC327" s="381"/>
      <c r="AD327" s="381"/>
      <c r="AE327" s="426"/>
      <c r="AF327" s="423"/>
      <c r="AG327" s="432"/>
      <c r="AH327" s="432"/>
      <c r="AI327" s="423"/>
      <c r="AJ327" s="432"/>
      <c r="AK327" s="432"/>
      <c r="AL327" s="429"/>
      <c r="AM327" s="81"/>
      <c r="AN327" s="81"/>
      <c r="AO327" s="81"/>
      <c r="AP327" s="81"/>
      <c r="AQ327" s="81"/>
      <c r="AR327" s="81"/>
      <c r="AS327" s="81"/>
      <c r="AT327" s="81"/>
      <c r="AU327" s="81"/>
      <c r="AV327" s="81"/>
      <c r="AW327" s="81"/>
      <c r="AX327" s="81"/>
      <c r="AY327" s="81"/>
      <c r="AZ327" s="81"/>
      <c r="BA327" s="81"/>
      <c r="BB327" s="81"/>
      <c r="BC327" s="81"/>
      <c r="BD327" s="81"/>
      <c r="BE327" s="81"/>
      <c r="BF327" s="81"/>
    </row>
    <row r="328" ht="11.25" customHeight="1" spans="1:58">
      <c r="A328" s="297" t="s">
        <v>1008</v>
      </c>
      <c r="B328" s="297" t="s">
        <v>1104</v>
      </c>
      <c r="E328" s="53"/>
      <c r="F328" s="313"/>
      <c r="G328" s="235" t="s">
        <v>683</v>
      </c>
      <c r="H328" s="278" t="s">
        <v>1121</v>
      </c>
      <c r="I328" s="374" t="s">
        <v>1106</v>
      </c>
      <c r="J328" s="375" t="s">
        <v>1107</v>
      </c>
      <c r="K328" s="213" t="s">
        <v>1209</v>
      </c>
      <c r="L328" s="140" t="s">
        <v>19</v>
      </c>
      <c r="M328" s="232"/>
      <c r="N328" s="376"/>
      <c r="O328" s="377" t="s">
        <v>372</v>
      </c>
      <c r="P328" s="378"/>
      <c r="Q328" s="378"/>
      <c r="R328" s="378"/>
      <c r="S328" s="378"/>
      <c r="T328" s="378"/>
      <c r="U328" s="378"/>
      <c r="V328" s="378"/>
      <c r="W328" s="378"/>
      <c r="X328" s="378"/>
      <c r="Y328" s="378"/>
      <c r="Z328" s="378"/>
      <c r="AA328" s="378"/>
      <c r="AB328" s="378"/>
      <c r="AC328" s="378"/>
      <c r="AD328" s="378"/>
      <c r="AE328" s="378"/>
      <c r="AF328" s="423">
        <v>2026</v>
      </c>
      <c r="AG328" s="432" t="s">
        <v>1043</v>
      </c>
      <c r="AH328" s="432" t="s">
        <v>1044</v>
      </c>
      <c r="AI328" s="423"/>
      <c r="AJ328" s="432"/>
      <c r="AK328" s="432"/>
      <c r="AL328" s="429"/>
      <c r="AM328" s="81"/>
      <c r="AN328" s="81"/>
      <c r="AO328" s="81"/>
      <c r="AP328" s="81"/>
      <c r="AQ328" s="81"/>
      <c r="AR328" s="81"/>
      <c r="AS328" s="81"/>
      <c r="AT328" s="81"/>
      <c r="AU328" s="81"/>
      <c r="AV328" s="81"/>
      <c r="AW328" s="81"/>
      <c r="AX328" s="81"/>
      <c r="AY328" s="81"/>
      <c r="AZ328" s="81"/>
      <c r="BA328" s="81"/>
      <c r="BB328" s="81"/>
      <c r="BC328" s="81"/>
      <c r="BD328" s="81"/>
      <c r="BE328" s="81"/>
      <c r="BF328" s="81"/>
    </row>
    <row r="329" ht="11.25" customHeight="1" spans="1:58">
      <c r="A329" s="297" t="s">
        <v>1008</v>
      </c>
      <c r="E329" s="53"/>
      <c r="F329" s="313"/>
      <c r="G329" s="314"/>
      <c r="H329" s="278" t="s">
        <v>1117</v>
      </c>
      <c r="I329" s="374"/>
      <c r="J329" s="375"/>
      <c r="K329" s="213"/>
      <c r="L329" s="140"/>
      <c r="M329" s="232"/>
      <c r="N329" s="367"/>
      <c r="O329" s="379">
        <v>1</v>
      </c>
      <c r="P329" s="369" t="s">
        <v>19</v>
      </c>
      <c r="Q329" s="104" t="s">
        <v>22</v>
      </c>
      <c r="R329" s="104" t="s">
        <v>22</v>
      </c>
      <c r="S329" s="104" t="s">
        <v>22</v>
      </c>
      <c r="T329" s="104" t="s">
        <v>22</v>
      </c>
      <c r="U329" s="104" t="s">
        <v>22</v>
      </c>
      <c r="V329" s="104" t="s">
        <v>22</v>
      </c>
      <c r="W329" s="104" t="s">
        <v>22</v>
      </c>
      <c r="X329" s="104" t="s">
        <v>22</v>
      </c>
      <c r="Y329" s="104"/>
      <c r="Z329" s="380"/>
      <c r="AA329" s="381"/>
      <c r="AB329" s="381"/>
      <c r="AC329" s="413"/>
      <c r="AD329" s="413"/>
      <c r="AE329" s="424"/>
      <c r="AF329" s="423"/>
      <c r="AG329" s="432"/>
      <c r="AH329" s="432"/>
      <c r="AI329" s="423"/>
      <c r="AJ329" s="432"/>
      <c r="AK329" s="432"/>
      <c r="AL329" s="429"/>
      <c r="AM329" s="81"/>
      <c r="AN329" s="81"/>
      <c r="AO329" s="81"/>
      <c r="AP329" s="81"/>
      <c r="AQ329" s="81"/>
      <c r="AR329" s="81"/>
      <c r="AS329" s="81"/>
      <c r="AT329" s="81"/>
      <c r="AU329" s="81"/>
      <c r="AV329" s="81"/>
      <c r="AW329" s="81"/>
      <c r="AX329" s="81"/>
      <c r="AY329" s="81"/>
      <c r="AZ329" s="81"/>
      <c r="BA329" s="81"/>
      <c r="BB329" s="81"/>
      <c r="BC329" s="81"/>
      <c r="BD329" s="81"/>
      <c r="BE329" s="81"/>
      <c r="BF329" s="81"/>
    </row>
    <row r="330" ht="11.25" customHeight="1" spans="1:58">
      <c r="A330" s="297" t="s">
        <v>1008</v>
      </c>
      <c r="E330" s="53"/>
      <c r="F330" s="313"/>
      <c r="G330" s="314"/>
      <c r="H330" s="278" t="s">
        <v>1117</v>
      </c>
      <c r="I330" s="374"/>
      <c r="J330" s="375"/>
      <c r="K330" s="213"/>
      <c r="L330" s="140"/>
      <c r="M330" s="232"/>
      <c r="N330" s="367"/>
      <c r="O330" s="379"/>
      <c r="P330" s="371"/>
      <c r="Q330" s="104"/>
      <c r="R330" s="104"/>
      <c r="S330" s="387"/>
      <c r="T330" s="104"/>
      <c r="U330" s="104"/>
      <c r="V330" s="104"/>
      <c r="W330" s="104"/>
      <c r="X330" s="104"/>
      <c r="Y330" s="104"/>
      <c r="Z330" s="415"/>
      <c r="AA330" s="368">
        <v>1</v>
      </c>
      <c r="AB330" s="416" t="s">
        <v>1082</v>
      </c>
      <c r="AC330" s="417">
        <v>1966.79</v>
      </c>
      <c r="AD330" s="416" t="str">
        <f>AB330</f>
        <v>  Прибыль направляемая на инвестиции</v>
      </c>
      <c r="AE330" s="417"/>
      <c r="AF330" s="423"/>
      <c r="AG330" s="432"/>
      <c r="AH330" s="432"/>
      <c r="AI330" s="423"/>
      <c r="AJ330" s="432"/>
      <c r="AK330" s="432"/>
      <c r="AL330" s="429"/>
      <c r="AM330" s="81"/>
      <c r="AN330" s="81"/>
      <c r="AO330" s="81"/>
      <c r="AP330" s="81"/>
      <c r="AQ330" s="81"/>
      <c r="AR330" s="81"/>
      <c r="AS330" s="81"/>
      <c r="AT330" s="81"/>
      <c r="AU330" s="81"/>
      <c r="AV330" s="81"/>
      <c r="AW330" s="81"/>
      <c r="AX330" s="81"/>
      <c r="AY330" s="81"/>
      <c r="AZ330" s="81"/>
      <c r="BA330" s="81"/>
      <c r="BB330" s="81"/>
      <c r="BC330" s="81"/>
      <c r="BD330" s="81"/>
      <c r="BE330" s="81"/>
      <c r="BF330" s="81"/>
    </row>
    <row r="331" ht="11.25" customHeight="1" spans="1:58">
      <c r="A331" s="297" t="s">
        <v>1008</v>
      </c>
      <c r="E331" s="53"/>
      <c r="F331" s="313"/>
      <c r="G331" s="314"/>
      <c r="H331" s="278" t="s">
        <v>1117</v>
      </c>
      <c r="I331" s="374"/>
      <c r="J331" s="375"/>
      <c r="K331" s="213"/>
      <c r="L331" s="140"/>
      <c r="M331" s="232"/>
      <c r="N331" s="367"/>
      <c r="O331" s="379"/>
      <c r="P331" s="373"/>
      <c r="Q331" s="104"/>
      <c r="R331" s="104"/>
      <c r="S331" s="387"/>
      <c r="T331" s="104"/>
      <c r="U331" s="104"/>
      <c r="V331" s="104"/>
      <c r="W331" s="104"/>
      <c r="X331" s="104"/>
      <c r="Y331" s="104"/>
      <c r="Z331" s="380"/>
      <c r="AA331" s="381"/>
      <c r="AB331" s="227" t="s">
        <v>1054</v>
      </c>
      <c r="AC331" s="413"/>
      <c r="AD331" s="413"/>
      <c r="AE331" s="425"/>
      <c r="AF331" s="423"/>
      <c r="AG331" s="432"/>
      <c r="AH331" s="432"/>
      <c r="AI331" s="423"/>
      <c r="AJ331" s="432"/>
      <c r="AK331" s="432"/>
      <c r="AL331" s="429"/>
      <c r="AM331" s="81"/>
      <c r="AN331" s="81"/>
      <c r="AO331" s="81"/>
      <c r="AP331" s="81"/>
      <c r="AQ331" s="81"/>
      <c r="AR331" s="81"/>
      <c r="AS331" s="81"/>
      <c r="AT331" s="81"/>
      <c r="AU331" s="81"/>
      <c r="AV331" s="81"/>
      <c r="AW331" s="81"/>
      <c r="AX331" s="81"/>
      <c r="AY331" s="81"/>
      <c r="AZ331" s="81"/>
      <c r="BA331" s="81"/>
      <c r="BB331" s="81"/>
      <c r="BC331" s="81"/>
      <c r="BD331" s="81"/>
      <c r="BE331" s="81"/>
      <c r="BF331" s="81"/>
    </row>
    <row r="332" ht="11.25" customHeight="1" spans="1:58">
      <c r="A332" s="297" t="s">
        <v>1008</v>
      </c>
      <c r="E332" s="53"/>
      <c r="F332" s="313"/>
      <c r="G332" s="314"/>
      <c r="H332" s="278" t="s">
        <v>1117</v>
      </c>
      <c r="I332" s="374"/>
      <c r="J332" s="375"/>
      <c r="K332" s="213"/>
      <c r="L332" s="140"/>
      <c r="M332" s="232"/>
      <c r="N332" s="380"/>
      <c r="O332" s="381"/>
      <c r="P332" s="227" t="s">
        <v>1055</v>
      </c>
      <c r="Q332" s="381"/>
      <c r="R332" s="381"/>
      <c r="S332" s="381"/>
      <c r="T332" s="381"/>
      <c r="U332" s="381"/>
      <c r="V332" s="381"/>
      <c r="W332" s="381"/>
      <c r="X332" s="381"/>
      <c r="Y332" s="381"/>
      <c r="Z332" s="381"/>
      <c r="AA332" s="381"/>
      <c r="AB332" s="381"/>
      <c r="AC332" s="381"/>
      <c r="AD332" s="381"/>
      <c r="AE332" s="426"/>
      <c r="AF332" s="423"/>
      <c r="AG332" s="432"/>
      <c r="AH332" s="432"/>
      <c r="AI332" s="423"/>
      <c r="AJ332" s="432"/>
      <c r="AK332" s="432"/>
      <c r="AL332" s="429"/>
      <c r="AM332" s="81"/>
      <c r="AN332" s="81"/>
      <c r="AO332" s="81"/>
      <c r="AP332" s="81"/>
      <c r="AQ332" s="81"/>
      <c r="AR332" s="81"/>
      <c r="AS332" s="81"/>
      <c r="AT332" s="81"/>
      <c r="AU332" s="81"/>
      <c r="AV332" s="81"/>
      <c r="AW332" s="81"/>
      <c r="AX332" s="81"/>
      <c r="AY332" s="81"/>
      <c r="AZ332" s="81"/>
      <c r="BA332" s="81"/>
      <c r="BB332" s="81"/>
      <c r="BC332" s="81"/>
      <c r="BD332" s="81"/>
      <c r="BE332" s="81"/>
      <c r="BF332" s="81"/>
    </row>
    <row r="333" ht="11.25" customHeight="1" spans="1:58">
      <c r="A333" s="297" t="s">
        <v>1008</v>
      </c>
      <c r="B333" s="297" t="s">
        <v>1104</v>
      </c>
      <c r="E333" s="53"/>
      <c r="F333" s="313"/>
      <c r="G333" s="235" t="s">
        <v>683</v>
      </c>
      <c r="H333" s="278" t="s">
        <v>1123</v>
      </c>
      <c r="I333" s="374" t="s">
        <v>1106</v>
      </c>
      <c r="J333" s="375" t="s">
        <v>1107</v>
      </c>
      <c r="K333" s="213" t="s">
        <v>1210</v>
      </c>
      <c r="L333" s="140" t="s">
        <v>19</v>
      </c>
      <c r="M333" s="232"/>
      <c r="N333" s="376"/>
      <c r="O333" s="377" t="s">
        <v>372</v>
      </c>
      <c r="P333" s="378"/>
      <c r="Q333" s="378"/>
      <c r="R333" s="378"/>
      <c r="S333" s="378"/>
      <c r="T333" s="378"/>
      <c r="U333" s="378"/>
      <c r="V333" s="378"/>
      <c r="W333" s="378"/>
      <c r="X333" s="378"/>
      <c r="Y333" s="378"/>
      <c r="Z333" s="378"/>
      <c r="AA333" s="378"/>
      <c r="AB333" s="378"/>
      <c r="AC333" s="378"/>
      <c r="AD333" s="378"/>
      <c r="AE333" s="378"/>
      <c r="AF333" s="423">
        <v>2026</v>
      </c>
      <c r="AG333" s="432" t="s">
        <v>1043</v>
      </c>
      <c r="AH333" s="432" t="s">
        <v>1044</v>
      </c>
      <c r="AI333" s="423"/>
      <c r="AJ333" s="432"/>
      <c r="AK333" s="432"/>
      <c r="AL333" s="429"/>
      <c r="AM333" s="81"/>
      <c r="AN333" s="81"/>
      <c r="AO333" s="81"/>
      <c r="AP333" s="81"/>
      <c r="AQ333" s="81"/>
      <c r="AR333" s="81"/>
      <c r="AS333" s="81"/>
      <c r="AT333" s="81"/>
      <c r="AU333" s="81"/>
      <c r="AV333" s="81"/>
      <c r="AW333" s="81"/>
      <c r="AX333" s="81"/>
      <c r="AY333" s="81"/>
      <c r="AZ333" s="81"/>
      <c r="BA333" s="81"/>
      <c r="BB333" s="81"/>
      <c r="BC333" s="81"/>
      <c r="BD333" s="81"/>
      <c r="BE333" s="81"/>
      <c r="BF333" s="81"/>
    </row>
    <row r="334" ht="11.25" customHeight="1" spans="1:58">
      <c r="A334" s="297" t="s">
        <v>1008</v>
      </c>
      <c r="E334" s="53"/>
      <c r="F334" s="313"/>
      <c r="G334" s="314"/>
      <c r="H334" s="278" t="s">
        <v>1121</v>
      </c>
      <c r="I334" s="374"/>
      <c r="J334" s="375"/>
      <c r="K334" s="213"/>
      <c r="L334" s="140"/>
      <c r="M334" s="232"/>
      <c r="N334" s="367"/>
      <c r="O334" s="379">
        <v>1</v>
      </c>
      <c r="P334" s="369" t="s">
        <v>19</v>
      </c>
      <c r="Q334" s="104" t="s">
        <v>22</v>
      </c>
      <c r="R334" s="104" t="s">
        <v>22</v>
      </c>
      <c r="S334" s="104" t="s">
        <v>22</v>
      </c>
      <c r="T334" s="104" t="s">
        <v>22</v>
      </c>
      <c r="U334" s="104" t="s">
        <v>22</v>
      </c>
      <c r="V334" s="104" t="s">
        <v>22</v>
      </c>
      <c r="W334" s="104" t="s">
        <v>22</v>
      </c>
      <c r="X334" s="104" t="s">
        <v>22</v>
      </c>
      <c r="Y334" s="104"/>
      <c r="Z334" s="380"/>
      <c r="AA334" s="381"/>
      <c r="AB334" s="381"/>
      <c r="AC334" s="413"/>
      <c r="AD334" s="413"/>
      <c r="AE334" s="424"/>
      <c r="AF334" s="423"/>
      <c r="AG334" s="432"/>
      <c r="AH334" s="432"/>
      <c r="AI334" s="423"/>
      <c r="AJ334" s="432"/>
      <c r="AK334" s="432"/>
      <c r="AL334" s="429"/>
      <c r="AM334" s="81"/>
      <c r="AN334" s="81"/>
      <c r="AO334" s="81"/>
      <c r="AP334" s="81"/>
      <c r="AQ334" s="81"/>
      <c r="AR334" s="81"/>
      <c r="AS334" s="81"/>
      <c r="AT334" s="81"/>
      <c r="AU334" s="81"/>
      <c r="AV334" s="81"/>
      <c r="AW334" s="81"/>
      <c r="AX334" s="81"/>
      <c r="AY334" s="81"/>
      <c r="AZ334" s="81"/>
      <c r="BA334" s="81"/>
      <c r="BB334" s="81"/>
      <c r="BC334" s="81"/>
      <c r="BD334" s="81"/>
      <c r="BE334" s="81"/>
      <c r="BF334" s="81"/>
    </row>
    <row r="335" ht="11.25" customHeight="1" spans="1:58">
      <c r="A335" s="297" t="s">
        <v>1008</v>
      </c>
      <c r="E335" s="53"/>
      <c r="F335" s="313"/>
      <c r="G335" s="314"/>
      <c r="H335" s="278" t="s">
        <v>1121</v>
      </c>
      <c r="I335" s="374"/>
      <c r="J335" s="375"/>
      <c r="K335" s="213"/>
      <c r="L335" s="140"/>
      <c r="M335" s="232"/>
      <c r="N335" s="367"/>
      <c r="O335" s="379"/>
      <c r="P335" s="371"/>
      <c r="Q335" s="104"/>
      <c r="R335" s="104"/>
      <c r="S335" s="387"/>
      <c r="T335" s="104"/>
      <c r="U335" s="104"/>
      <c r="V335" s="104"/>
      <c r="W335" s="104"/>
      <c r="X335" s="104"/>
      <c r="Y335" s="104"/>
      <c r="Z335" s="415"/>
      <c r="AA335" s="368">
        <v>1</v>
      </c>
      <c r="AB335" s="416" t="s">
        <v>1082</v>
      </c>
      <c r="AC335" s="417">
        <v>3450.58</v>
      </c>
      <c r="AD335" s="416" t="str">
        <f>AB335</f>
        <v>  Прибыль направляемая на инвестиции</v>
      </c>
      <c r="AE335" s="417"/>
      <c r="AF335" s="423"/>
      <c r="AG335" s="432"/>
      <c r="AH335" s="432"/>
      <c r="AI335" s="423"/>
      <c r="AJ335" s="432"/>
      <c r="AK335" s="432"/>
      <c r="AL335" s="429"/>
      <c r="AM335" s="81"/>
      <c r="AN335" s="81"/>
      <c r="AO335" s="81"/>
      <c r="AP335" s="81"/>
      <c r="AQ335" s="81"/>
      <c r="AR335" s="81"/>
      <c r="AS335" s="81"/>
      <c r="AT335" s="81"/>
      <c r="AU335" s="81"/>
      <c r="AV335" s="81"/>
      <c r="AW335" s="81"/>
      <c r="AX335" s="81"/>
      <c r="AY335" s="81"/>
      <c r="AZ335" s="81"/>
      <c r="BA335" s="81"/>
      <c r="BB335" s="81"/>
      <c r="BC335" s="81"/>
      <c r="BD335" s="81"/>
      <c r="BE335" s="81"/>
      <c r="BF335" s="81"/>
    </row>
    <row r="336" ht="11.25" customHeight="1" spans="1:58">
      <c r="A336" s="297" t="s">
        <v>1008</v>
      </c>
      <c r="E336" s="53"/>
      <c r="F336" s="313"/>
      <c r="G336" s="314"/>
      <c r="H336" s="278" t="s">
        <v>1121</v>
      </c>
      <c r="I336" s="374"/>
      <c r="J336" s="375"/>
      <c r="K336" s="213"/>
      <c r="L336" s="140"/>
      <c r="M336" s="232"/>
      <c r="N336" s="367"/>
      <c r="O336" s="379"/>
      <c r="P336" s="373"/>
      <c r="Q336" s="104"/>
      <c r="R336" s="104"/>
      <c r="S336" s="387"/>
      <c r="T336" s="104"/>
      <c r="U336" s="104"/>
      <c r="V336" s="104"/>
      <c r="W336" s="104"/>
      <c r="X336" s="104"/>
      <c r="Y336" s="104"/>
      <c r="Z336" s="380"/>
      <c r="AA336" s="381"/>
      <c r="AB336" s="227" t="s">
        <v>1054</v>
      </c>
      <c r="AC336" s="413"/>
      <c r="AD336" s="413"/>
      <c r="AE336" s="425"/>
      <c r="AF336" s="423"/>
      <c r="AG336" s="432"/>
      <c r="AH336" s="432"/>
      <c r="AI336" s="423"/>
      <c r="AJ336" s="432"/>
      <c r="AK336" s="432"/>
      <c r="AL336" s="429"/>
      <c r="AM336" s="81"/>
      <c r="AN336" s="81"/>
      <c r="AO336" s="81"/>
      <c r="AP336" s="81"/>
      <c r="AQ336" s="81"/>
      <c r="AR336" s="81"/>
      <c r="AS336" s="81"/>
      <c r="AT336" s="81"/>
      <c r="AU336" s="81"/>
      <c r="AV336" s="81"/>
      <c r="AW336" s="81"/>
      <c r="AX336" s="81"/>
      <c r="AY336" s="81"/>
      <c r="AZ336" s="81"/>
      <c r="BA336" s="81"/>
      <c r="BB336" s="81"/>
      <c r="BC336" s="81"/>
      <c r="BD336" s="81"/>
      <c r="BE336" s="81"/>
      <c r="BF336" s="81"/>
    </row>
    <row r="337" ht="11.25" customHeight="1" spans="1:58">
      <c r="A337" s="297" t="s">
        <v>1008</v>
      </c>
      <c r="E337" s="53"/>
      <c r="F337" s="313"/>
      <c r="G337" s="314"/>
      <c r="H337" s="278" t="s">
        <v>1121</v>
      </c>
      <c r="I337" s="374"/>
      <c r="J337" s="375"/>
      <c r="K337" s="213"/>
      <c r="L337" s="140"/>
      <c r="M337" s="232"/>
      <c r="N337" s="380"/>
      <c r="O337" s="381"/>
      <c r="P337" s="227" t="s">
        <v>1055</v>
      </c>
      <c r="Q337" s="381"/>
      <c r="R337" s="381"/>
      <c r="S337" s="381"/>
      <c r="T337" s="381"/>
      <c r="U337" s="381"/>
      <c r="V337" s="381"/>
      <c r="W337" s="381"/>
      <c r="X337" s="381"/>
      <c r="Y337" s="381"/>
      <c r="Z337" s="381"/>
      <c r="AA337" s="381"/>
      <c r="AB337" s="381"/>
      <c r="AC337" s="381"/>
      <c r="AD337" s="381"/>
      <c r="AE337" s="426"/>
      <c r="AF337" s="423"/>
      <c r="AG337" s="432"/>
      <c r="AH337" s="432"/>
      <c r="AI337" s="423"/>
      <c r="AJ337" s="432"/>
      <c r="AK337" s="432"/>
      <c r="AL337" s="429"/>
      <c r="AM337" s="81"/>
      <c r="AN337" s="81"/>
      <c r="AO337" s="81"/>
      <c r="AP337" s="81"/>
      <c r="AQ337" s="81"/>
      <c r="AR337" s="81"/>
      <c r="AS337" s="81"/>
      <c r="AT337" s="81"/>
      <c r="AU337" s="81"/>
      <c r="AV337" s="81"/>
      <c r="AW337" s="81"/>
      <c r="AX337" s="81"/>
      <c r="AY337" s="81"/>
      <c r="AZ337" s="81"/>
      <c r="BA337" s="81"/>
      <c r="BB337" s="81"/>
      <c r="BC337" s="81"/>
      <c r="BD337" s="81"/>
      <c r="BE337" s="81"/>
      <c r="BF337" s="81"/>
    </row>
    <row r="338" ht="11.25" customHeight="1" spans="1:58">
      <c r="A338" s="297" t="s">
        <v>1008</v>
      </c>
      <c r="B338" s="297" t="s">
        <v>1104</v>
      </c>
      <c r="E338" s="53"/>
      <c r="F338" s="313"/>
      <c r="G338" s="235" t="s">
        <v>683</v>
      </c>
      <c r="H338" s="278" t="s">
        <v>1125</v>
      </c>
      <c r="I338" s="374" t="s">
        <v>1106</v>
      </c>
      <c r="J338" s="375" t="s">
        <v>1107</v>
      </c>
      <c r="K338" s="213" t="s">
        <v>1211</v>
      </c>
      <c r="L338" s="140" t="s">
        <v>19</v>
      </c>
      <c r="M338" s="232"/>
      <c r="N338" s="376"/>
      <c r="O338" s="377" t="s">
        <v>372</v>
      </c>
      <c r="P338" s="378"/>
      <c r="Q338" s="378"/>
      <c r="R338" s="378"/>
      <c r="S338" s="378"/>
      <c r="T338" s="378"/>
      <c r="U338" s="378"/>
      <c r="V338" s="378"/>
      <c r="W338" s="378"/>
      <c r="X338" s="378"/>
      <c r="Y338" s="378"/>
      <c r="Z338" s="378"/>
      <c r="AA338" s="378"/>
      <c r="AB338" s="378"/>
      <c r="AC338" s="378"/>
      <c r="AD338" s="378"/>
      <c r="AE338" s="378"/>
      <c r="AF338" s="423">
        <v>2026</v>
      </c>
      <c r="AG338" s="432" t="s">
        <v>1043</v>
      </c>
      <c r="AH338" s="432" t="s">
        <v>1044</v>
      </c>
      <c r="AI338" s="423"/>
      <c r="AJ338" s="432"/>
      <c r="AK338" s="432"/>
      <c r="AL338" s="429"/>
      <c r="AM338" s="81"/>
      <c r="AN338" s="81"/>
      <c r="AO338" s="81"/>
      <c r="AP338" s="81"/>
      <c r="AQ338" s="81"/>
      <c r="AR338" s="81"/>
      <c r="AS338" s="81"/>
      <c r="AT338" s="81"/>
      <c r="AU338" s="81"/>
      <c r="AV338" s="81"/>
      <c r="AW338" s="81"/>
      <c r="AX338" s="81"/>
      <c r="AY338" s="81"/>
      <c r="AZ338" s="81"/>
      <c r="BA338" s="81"/>
      <c r="BB338" s="81"/>
      <c r="BC338" s="81"/>
      <c r="BD338" s="81"/>
      <c r="BE338" s="81"/>
      <c r="BF338" s="81"/>
    </row>
    <row r="339" ht="21" customHeight="1" spans="1:58">
      <c r="A339" s="297" t="s">
        <v>1008</v>
      </c>
      <c r="E339" s="53"/>
      <c r="F339" s="313"/>
      <c r="G339" s="314"/>
      <c r="H339" s="278" t="s">
        <v>1123</v>
      </c>
      <c r="I339" s="374"/>
      <c r="J339" s="375"/>
      <c r="K339" s="213"/>
      <c r="L339" s="140"/>
      <c r="M339" s="232"/>
      <c r="N339" s="367"/>
      <c r="O339" s="379">
        <v>1</v>
      </c>
      <c r="P339" s="369" t="s">
        <v>19</v>
      </c>
      <c r="Q339" s="104" t="s">
        <v>22</v>
      </c>
      <c r="R339" s="104" t="s">
        <v>22</v>
      </c>
      <c r="S339" s="104" t="s">
        <v>22</v>
      </c>
      <c r="T339" s="104" t="s">
        <v>22</v>
      </c>
      <c r="U339" s="104" t="s">
        <v>22</v>
      </c>
      <c r="V339" s="104" t="s">
        <v>22</v>
      </c>
      <c r="W339" s="104" t="s">
        <v>22</v>
      </c>
      <c r="X339" s="104" t="s">
        <v>22</v>
      </c>
      <c r="Y339" s="104"/>
      <c r="Z339" s="380"/>
      <c r="AA339" s="381"/>
      <c r="AB339" s="381"/>
      <c r="AC339" s="413"/>
      <c r="AD339" s="413"/>
      <c r="AE339" s="424"/>
      <c r="AF339" s="423"/>
      <c r="AG339" s="432"/>
      <c r="AH339" s="432"/>
      <c r="AI339" s="423"/>
      <c r="AJ339" s="432"/>
      <c r="AK339" s="432"/>
      <c r="AL339" s="429"/>
      <c r="AM339" s="81"/>
      <c r="AN339" s="81"/>
      <c r="AO339" s="81"/>
      <c r="AP339" s="81"/>
      <c r="AQ339" s="81"/>
      <c r="AR339" s="81"/>
      <c r="AS339" s="81"/>
      <c r="AT339" s="81"/>
      <c r="AU339" s="81"/>
      <c r="AV339" s="81"/>
      <c r="AW339" s="81"/>
      <c r="AX339" s="81"/>
      <c r="AY339" s="81"/>
      <c r="AZ339" s="81"/>
      <c r="BA339" s="81"/>
      <c r="BB339" s="81"/>
      <c r="BC339" s="81"/>
      <c r="BD339" s="81"/>
      <c r="BE339" s="81"/>
      <c r="BF339" s="81"/>
    </row>
    <row r="340" ht="11.25" customHeight="1" spans="1:58">
      <c r="A340" s="297" t="s">
        <v>1008</v>
      </c>
      <c r="E340" s="53"/>
      <c r="F340" s="313"/>
      <c r="G340" s="314"/>
      <c r="H340" s="278" t="s">
        <v>1123</v>
      </c>
      <c r="I340" s="374"/>
      <c r="J340" s="375"/>
      <c r="K340" s="213"/>
      <c r="L340" s="140"/>
      <c r="M340" s="232"/>
      <c r="N340" s="367"/>
      <c r="O340" s="379"/>
      <c r="P340" s="371"/>
      <c r="Q340" s="104"/>
      <c r="R340" s="104"/>
      <c r="S340" s="387"/>
      <c r="T340" s="104"/>
      <c r="U340" s="104"/>
      <c r="V340" s="104"/>
      <c r="W340" s="104"/>
      <c r="X340" s="104"/>
      <c r="Y340" s="104"/>
      <c r="Z340" s="415"/>
      <c r="AA340" s="368">
        <v>1</v>
      </c>
      <c r="AB340" s="416" t="s">
        <v>1082</v>
      </c>
      <c r="AC340" s="417">
        <v>4715.57</v>
      </c>
      <c r="AD340" s="416" t="str">
        <f>AB340</f>
        <v>  Прибыль направляемая на инвестиции</v>
      </c>
      <c r="AE340" s="417"/>
      <c r="AF340" s="423"/>
      <c r="AG340" s="432"/>
      <c r="AH340" s="432"/>
      <c r="AI340" s="423"/>
      <c r="AJ340" s="432"/>
      <c r="AK340" s="432"/>
      <c r="AL340" s="429"/>
      <c r="AM340" s="81"/>
      <c r="AN340" s="81"/>
      <c r="AO340" s="81"/>
      <c r="AP340" s="81"/>
      <c r="AQ340" s="81"/>
      <c r="AR340" s="81"/>
      <c r="AS340" s="81"/>
      <c r="AT340" s="81"/>
      <c r="AU340" s="81"/>
      <c r="AV340" s="81"/>
      <c r="AW340" s="81"/>
      <c r="AX340" s="81"/>
      <c r="AY340" s="81"/>
      <c r="AZ340" s="81"/>
      <c r="BA340" s="81"/>
      <c r="BB340" s="81"/>
      <c r="BC340" s="81"/>
      <c r="BD340" s="81"/>
      <c r="BE340" s="81"/>
      <c r="BF340" s="81"/>
    </row>
    <row r="341" ht="11.25" customHeight="1" spans="1:58">
      <c r="A341" s="297" t="s">
        <v>1008</v>
      </c>
      <c r="E341" s="53"/>
      <c r="F341" s="313"/>
      <c r="G341" s="314"/>
      <c r="H341" s="278" t="s">
        <v>1123</v>
      </c>
      <c r="I341" s="374"/>
      <c r="J341" s="375"/>
      <c r="K341" s="213"/>
      <c r="L341" s="140"/>
      <c r="M341" s="232"/>
      <c r="N341" s="367"/>
      <c r="O341" s="379"/>
      <c r="P341" s="373"/>
      <c r="Q341" s="104"/>
      <c r="R341" s="104"/>
      <c r="S341" s="387"/>
      <c r="T341" s="104"/>
      <c r="U341" s="104"/>
      <c r="V341" s="104"/>
      <c r="W341" s="104"/>
      <c r="X341" s="104"/>
      <c r="Y341" s="104"/>
      <c r="Z341" s="380"/>
      <c r="AA341" s="381"/>
      <c r="AB341" s="227" t="s">
        <v>1054</v>
      </c>
      <c r="AC341" s="413"/>
      <c r="AD341" s="413"/>
      <c r="AE341" s="425"/>
      <c r="AF341" s="423"/>
      <c r="AG341" s="432"/>
      <c r="AH341" s="432"/>
      <c r="AI341" s="423"/>
      <c r="AJ341" s="432"/>
      <c r="AK341" s="432"/>
      <c r="AL341" s="429"/>
      <c r="AM341" s="81"/>
      <c r="AN341" s="81"/>
      <c r="AO341" s="81"/>
      <c r="AP341" s="81"/>
      <c r="AQ341" s="81"/>
      <c r="AR341" s="81"/>
      <c r="AS341" s="81"/>
      <c r="AT341" s="81"/>
      <c r="AU341" s="81"/>
      <c r="AV341" s="81"/>
      <c r="AW341" s="81"/>
      <c r="AX341" s="81"/>
      <c r="AY341" s="81"/>
      <c r="AZ341" s="81"/>
      <c r="BA341" s="81"/>
      <c r="BB341" s="81"/>
      <c r="BC341" s="81"/>
      <c r="BD341" s="81"/>
      <c r="BE341" s="81"/>
      <c r="BF341" s="81"/>
    </row>
    <row r="342" ht="11.25" customHeight="1" spans="1:58">
      <c r="A342" s="297" t="s">
        <v>1008</v>
      </c>
      <c r="E342" s="53"/>
      <c r="F342" s="313"/>
      <c r="G342" s="314"/>
      <c r="H342" s="278" t="s">
        <v>1123</v>
      </c>
      <c r="I342" s="374"/>
      <c r="J342" s="375"/>
      <c r="K342" s="213"/>
      <c r="L342" s="140"/>
      <c r="M342" s="232"/>
      <c r="N342" s="380"/>
      <c r="O342" s="381"/>
      <c r="P342" s="227" t="s">
        <v>1055</v>
      </c>
      <c r="Q342" s="381"/>
      <c r="R342" s="381"/>
      <c r="S342" s="381"/>
      <c r="T342" s="381"/>
      <c r="U342" s="381"/>
      <c r="V342" s="381"/>
      <c r="W342" s="381"/>
      <c r="X342" s="381"/>
      <c r="Y342" s="381"/>
      <c r="Z342" s="381"/>
      <c r="AA342" s="381"/>
      <c r="AB342" s="381"/>
      <c r="AC342" s="381"/>
      <c r="AD342" s="381"/>
      <c r="AE342" s="426"/>
      <c r="AF342" s="423"/>
      <c r="AG342" s="432"/>
      <c r="AH342" s="432"/>
      <c r="AI342" s="423"/>
      <c r="AJ342" s="432"/>
      <c r="AK342" s="432"/>
      <c r="AL342" s="429"/>
      <c r="AM342" s="81"/>
      <c r="AN342" s="81"/>
      <c r="AO342" s="81"/>
      <c r="AP342" s="81"/>
      <c r="AQ342" s="81"/>
      <c r="AR342" s="81"/>
      <c r="AS342" s="81"/>
      <c r="AT342" s="81"/>
      <c r="AU342" s="81"/>
      <c r="AV342" s="81"/>
      <c r="AW342" s="81"/>
      <c r="AX342" s="81"/>
      <c r="AY342" s="81"/>
      <c r="AZ342" s="81"/>
      <c r="BA342" s="81"/>
      <c r="BB342" s="81"/>
      <c r="BC342" s="81"/>
      <c r="BD342" s="81"/>
      <c r="BE342" s="81"/>
      <c r="BF342" s="81"/>
    </row>
    <row r="343" ht="11.25" customHeight="1" spans="1:58">
      <c r="A343" s="297" t="s">
        <v>1008</v>
      </c>
      <c r="B343" s="297" t="s">
        <v>1104</v>
      </c>
      <c r="E343" s="53"/>
      <c r="F343" s="313"/>
      <c r="G343" s="235" t="s">
        <v>683</v>
      </c>
      <c r="H343" s="278" t="s">
        <v>1129</v>
      </c>
      <c r="I343" s="374" t="s">
        <v>1106</v>
      </c>
      <c r="J343" s="375" t="s">
        <v>1107</v>
      </c>
      <c r="K343" s="213" t="s">
        <v>1212</v>
      </c>
      <c r="L343" s="140" t="s">
        <v>19</v>
      </c>
      <c r="M343" s="232"/>
      <c r="N343" s="376"/>
      <c r="O343" s="377" t="s">
        <v>372</v>
      </c>
      <c r="P343" s="378"/>
      <c r="Q343" s="378"/>
      <c r="R343" s="378"/>
      <c r="S343" s="378"/>
      <c r="T343" s="378"/>
      <c r="U343" s="378"/>
      <c r="V343" s="378"/>
      <c r="W343" s="378"/>
      <c r="X343" s="378"/>
      <c r="Y343" s="378"/>
      <c r="Z343" s="378"/>
      <c r="AA343" s="378"/>
      <c r="AB343" s="378"/>
      <c r="AC343" s="378"/>
      <c r="AD343" s="378"/>
      <c r="AE343" s="378"/>
      <c r="AF343" s="423">
        <v>2026</v>
      </c>
      <c r="AG343" s="432" t="s">
        <v>1043</v>
      </c>
      <c r="AH343" s="432" t="s">
        <v>1044</v>
      </c>
      <c r="AI343" s="423"/>
      <c r="AJ343" s="432"/>
      <c r="AK343" s="432"/>
      <c r="AL343" s="429"/>
      <c r="AM343" s="81"/>
      <c r="AN343" s="81"/>
      <c r="AO343" s="81"/>
      <c r="AP343" s="81"/>
      <c r="AQ343" s="81"/>
      <c r="AR343" s="81"/>
      <c r="AS343" s="81"/>
      <c r="AT343" s="81"/>
      <c r="AU343" s="81"/>
      <c r="AV343" s="81"/>
      <c r="AW343" s="81"/>
      <c r="AX343" s="81"/>
      <c r="AY343" s="81"/>
      <c r="AZ343" s="81"/>
      <c r="BA343" s="81"/>
      <c r="BB343" s="81"/>
      <c r="BC343" s="81"/>
      <c r="BD343" s="81"/>
      <c r="BE343" s="81"/>
      <c r="BF343" s="81"/>
    </row>
    <row r="344" ht="11.25" customHeight="1" spans="1:58">
      <c r="A344" s="297" t="s">
        <v>1008</v>
      </c>
      <c r="E344" s="53"/>
      <c r="F344" s="313"/>
      <c r="G344" s="314"/>
      <c r="H344" s="278" t="s">
        <v>1125</v>
      </c>
      <c r="I344" s="374"/>
      <c r="J344" s="375"/>
      <c r="K344" s="213"/>
      <c r="L344" s="140"/>
      <c r="M344" s="232"/>
      <c r="N344" s="367"/>
      <c r="O344" s="379">
        <v>1</v>
      </c>
      <c r="P344" s="369" t="s">
        <v>19</v>
      </c>
      <c r="Q344" s="104" t="s">
        <v>22</v>
      </c>
      <c r="R344" s="104" t="s">
        <v>22</v>
      </c>
      <c r="S344" s="104" t="s">
        <v>22</v>
      </c>
      <c r="T344" s="104" t="s">
        <v>22</v>
      </c>
      <c r="U344" s="104" t="s">
        <v>22</v>
      </c>
      <c r="V344" s="104" t="s">
        <v>22</v>
      </c>
      <c r="W344" s="104" t="s">
        <v>22</v>
      </c>
      <c r="X344" s="104" t="s">
        <v>22</v>
      </c>
      <c r="Y344" s="104"/>
      <c r="Z344" s="380"/>
      <c r="AA344" s="381"/>
      <c r="AB344" s="381"/>
      <c r="AC344" s="413"/>
      <c r="AD344" s="413"/>
      <c r="AE344" s="424"/>
      <c r="AF344" s="423"/>
      <c r="AG344" s="432"/>
      <c r="AH344" s="432"/>
      <c r="AI344" s="423"/>
      <c r="AJ344" s="432"/>
      <c r="AK344" s="432"/>
      <c r="AL344" s="429"/>
      <c r="AM344" s="81"/>
      <c r="AN344" s="81"/>
      <c r="AO344" s="81"/>
      <c r="AP344" s="81"/>
      <c r="AQ344" s="81"/>
      <c r="AR344" s="81"/>
      <c r="AS344" s="81"/>
      <c r="AT344" s="81"/>
      <c r="AU344" s="81"/>
      <c r="AV344" s="81"/>
      <c r="AW344" s="81"/>
      <c r="AX344" s="81"/>
      <c r="AY344" s="81"/>
      <c r="AZ344" s="81"/>
      <c r="BA344" s="81"/>
      <c r="BB344" s="81"/>
      <c r="BC344" s="81"/>
      <c r="BD344" s="81"/>
      <c r="BE344" s="81"/>
      <c r="BF344" s="81"/>
    </row>
    <row r="345" ht="14.25" customHeight="1" spans="1:58">
      <c r="A345" s="297" t="s">
        <v>1008</v>
      </c>
      <c r="E345" s="53"/>
      <c r="F345" s="313"/>
      <c r="G345" s="314"/>
      <c r="H345" s="278" t="s">
        <v>1125</v>
      </c>
      <c r="I345" s="374"/>
      <c r="J345" s="375"/>
      <c r="K345" s="213"/>
      <c r="L345" s="140"/>
      <c r="M345" s="232"/>
      <c r="N345" s="367"/>
      <c r="O345" s="379"/>
      <c r="P345" s="371"/>
      <c r="Q345" s="104"/>
      <c r="R345" s="104"/>
      <c r="S345" s="387"/>
      <c r="T345" s="104"/>
      <c r="U345" s="104"/>
      <c r="V345" s="104"/>
      <c r="W345" s="104"/>
      <c r="X345" s="104"/>
      <c r="Y345" s="104"/>
      <c r="Z345" s="415"/>
      <c r="AA345" s="368">
        <v>1</v>
      </c>
      <c r="AB345" s="416" t="s">
        <v>1082</v>
      </c>
      <c r="AC345" s="417">
        <v>10997.05</v>
      </c>
      <c r="AD345" s="416" t="str">
        <f>AB345</f>
        <v>  Прибыль направляемая на инвестиции</v>
      </c>
      <c r="AE345" s="417"/>
      <c r="AF345" s="423"/>
      <c r="AG345" s="432"/>
      <c r="AH345" s="432"/>
      <c r="AI345" s="423"/>
      <c r="AJ345" s="432"/>
      <c r="AK345" s="432"/>
      <c r="AL345" s="429"/>
      <c r="AM345" s="81"/>
      <c r="AN345" s="81"/>
      <c r="AO345" s="81"/>
      <c r="AP345" s="81"/>
      <c r="AQ345" s="81"/>
      <c r="AR345" s="81"/>
      <c r="AS345" s="81"/>
      <c r="AT345" s="81"/>
      <c r="AU345" s="81"/>
      <c r="AV345" s="81"/>
      <c r="AW345" s="81"/>
      <c r="AX345" s="81"/>
      <c r="AY345" s="81"/>
      <c r="AZ345" s="81"/>
      <c r="BA345" s="81"/>
      <c r="BB345" s="81"/>
      <c r="BC345" s="81"/>
      <c r="BD345" s="81"/>
      <c r="BE345" s="81"/>
      <c r="BF345" s="81"/>
    </row>
    <row r="346" ht="16.5" customHeight="1" spans="1:58">
      <c r="A346" s="297" t="s">
        <v>1008</v>
      </c>
      <c r="E346" s="53"/>
      <c r="F346" s="313"/>
      <c r="G346" s="314"/>
      <c r="H346" s="278" t="s">
        <v>1125</v>
      </c>
      <c r="I346" s="374"/>
      <c r="J346" s="375"/>
      <c r="K346" s="213"/>
      <c r="L346" s="140"/>
      <c r="M346" s="232"/>
      <c r="N346" s="367"/>
      <c r="O346" s="379"/>
      <c r="P346" s="373"/>
      <c r="Q346" s="104"/>
      <c r="R346" s="104"/>
      <c r="S346" s="387"/>
      <c r="T346" s="104"/>
      <c r="U346" s="104"/>
      <c r="V346" s="104"/>
      <c r="W346" s="104"/>
      <c r="X346" s="104"/>
      <c r="Y346" s="104"/>
      <c r="Z346" s="380"/>
      <c r="AA346" s="381"/>
      <c r="AB346" s="227" t="s">
        <v>1054</v>
      </c>
      <c r="AC346" s="413"/>
      <c r="AD346" s="413"/>
      <c r="AE346" s="425"/>
      <c r="AF346" s="423"/>
      <c r="AG346" s="432"/>
      <c r="AH346" s="432"/>
      <c r="AI346" s="423"/>
      <c r="AJ346" s="432"/>
      <c r="AK346" s="432"/>
      <c r="AL346" s="429"/>
      <c r="AM346" s="81"/>
      <c r="AN346" s="81"/>
      <c r="AO346" s="81"/>
      <c r="AP346" s="81"/>
      <c r="AQ346" s="81"/>
      <c r="AR346" s="81"/>
      <c r="AS346" s="81"/>
      <c r="AT346" s="81"/>
      <c r="AU346" s="81"/>
      <c r="AV346" s="81"/>
      <c r="AW346" s="81"/>
      <c r="AX346" s="81"/>
      <c r="AY346" s="81"/>
      <c r="AZ346" s="81"/>
      <c r="BA346" s="81"/>
      <c r="BB346" s="81"/>
      <c r="BC346" s="81"/>
      <c r="BD346" s="81"/>
      <c r="BE346" s="81"/>
      <c r="BF346" s="81"/>
    </row>
    <row r="347" ht="11.25" customHeight="1" spans="1:58">
      <c r="A347" s="297" t="s">
        <v>1008</v>
      </c>
      <c r="E347" s="53"/>
      <c r="F347" s="313"/>
      <c r="G347" s="314"/>
      <c r="H347" s="278" t="s">
        <v>1125</v>
      </c>
      <c r="I347" s="374"/>
      <c r="J347" s="375"/>
      <c r="K347" s="213"/>
      <c r="L347" s="140"/>
      <c r="M347" s="232"/>
      <c r="N347" s="380"/>
      <c r="O347" s="381"/>
      <c r="P347" s="227" t="s">
        <v>1055</v>
      </c>
      <c r="Q347" s="381"/>
      <c r="R347" s="381"/>
      <c r="S347" s="381"/>
      <c r="T347" s="381"/>
      <c r="U347" s="381"/>
      <c r="V347" s="381"/>
      <c r="W347" s="381"/>
      <c r="X347" s="381"/>
      <c r="Y347" s="381"/>
      <c r="Z347" s="381"/>
      <c r="AA347" s="381"/>
      <c r="AB347" s="381"/>
      <c r="AC347" s="381"/>
      <c r="AD347" s="381"/>
      <c r="AE347" s="426"/>
      <c r="AF347" s="423"/>
      <c r="AG347" s="432"/>
      <c r="AH347" s="432"/>
      <c r="AI347" s="423"/>
      <c r="AJ347" s="432"/>
      <c r="AK347" s="432"/>
      <c r="AL347" s="429"/>
      <c r="AM347" s="81"/>
      <c r="AN347" s="81"/>
      <c r="AO347" s="81"/>
      <c r="AP347" s="81"/>
      <c r="AQ347" s="81"/>
      <c r="AR347" s="81"/>
      <c r="AS347" s="81"/>
      <c r="AT347" s="81"/>
      <c r="AU347" s="81"/>
      <c r="AV347" s="81"/>
      <c r="AW347" s="81"/>
      <c r="AX347" s="81"/>
      <c r="AY347" s="81"/>
      <c r="AZ347" s="81"/>
      <c r="BA347" s="81"/>
      <c r="BB347" s="81"/>
      <c r="BC347" s="81"/>
      <c r="BD347" s="81"/>
      <c r="BE347" s="81"/>
      <c r="BF347" s="81"/>
    </row>
    <row r="348" ht="11.25" customHeight="1" spans="1:58">
      <c r="A348" s="297" t="s">
        <v>1008</v>
      </c>
      <c r="B348" s="297" t="s">
        <v>1104</v>
      </c>
      <c r="E348" s="53"/>
      <c r="F348" s="313"/>
      <c r="G348" s="235" t="s">
        <v>683</v>
      </c>
      <c r="H348" s="278" t="s">
        <v>1131</v>
      </c>
      <c r="I348" s="374" t="s">
        <v>1106</v>
      </c>
      <c r="J348" s="375" t="s">
        <v>1107</v>
      </c>
      <c r="K348" s="213" t="s">
        <v>1213</v>
      </c>
      <c r="L348" s="140" t="s">
        <v>19</v>
      </c>
      <c r="M348" s="232"/>
      <c r="N348" s="376"/>
      <c r="O348" s="377" t="s">
        <v>372</v>
      </c>
      <c r="P348" s="378"/>
      <c r="Q348" s="378"/>
      <c r="R348" s="378"/>
      <c r="S348" s="378"/>
      <c r="T348" s="378"/>
      <c r="U348" s="378"/>
      <c r="V348" s="378"/>
      <c r="W348" s="378"/>
      <c r="X348" s="378"/>
      <c r="Y348" s="378"/>
      <c r="Z348" s="378"/>
      <c r="AA348" s="378"/>
      <c r="AB348" s="378"/>
      <c r="AC348" s="378"/>
      <c r="AD348" s="378"/>
      <c r="AE348" s="378"/>
      <c r="AF348" s="423">
        <v>2026</v>
      </c>
      <c r="AG348" s="432" t="s">
        <v>1043</v>
      </c>
      <c r="AH348" s="432" t="s">
        <v>1044</v>
      </c>
      <c r="AI348" s="423"/>
      <c r="AJ348" s="432"/>
      <c r="AK348" s="432"/>
      <c r="AL348" s="429"/>
      <c r="AM348" s="81"/>
      <c r="AN348" s="81"/>
      <c r="AO348" s="81"/>
      <c r="AP348" s="81"/>
      <c r="AQ348" s="81"/>
      <c r="AR348" s="81"/>
      <c r="AS348" s="81"/>
      <c r="AT348" s="81"/>
      <c r="AU348" s="81"/>
      <c r="AV348" s="81"/>
      <c r="AW348" s="81"/>
      <c r="AX348" s="81"/>
      <c r="AY348" s="81"/>
      <c r="AZ348" s="81"/>
      <c r="BA348" s="81"/>
      <c r="BB348" s="81"/>
      <c r="BC348" s="81"/>
      <c r="BD348" s="81"/>
      <c r="BE348" s="81"/>
      <c r="BF348" s="81"/>
    </row>
    <row r="349" ht="11.25" customHeight="1" spans="1:58">
      <c r="A349" s="297" t="s">
        <v>1008</v>
      </c>
      <c r="E349" s="53"/>
      <c r="F349" s="313"/>
      <c r="G349" s="314"/>
      <c r="H349" s="278" t="s">
        <v>1129</v>
      </c>
      <c r="I349" s="374"/>
      <c r="J349" s="375"/>
      <c r="K349" s="213"/>
      <c r="L349" s="140"/>
      <c r="M349" s="232"/>
      <c r="N349" s="367"/>
      <c r="O349" s="379">
        <v>1</v>
      </c>
      <c r="P349" s="369" t="s">
        <v>19</v>
      </c>
      <c r="Q349" s="104" t="s">
        <v>22</v>
      </c>
      <c r="R349" s="104" t="s">
        <v>22</v>
      </c>
      <c r="S349" s="104" t="s">
        <v>22</v>
      </c>
      <c r="T349" s="104" t="s">
        <v>22</v>
      </c>
      <c r="U349" s="104" t="s">
        <v>22</v>
      </c>
      <c r="V349" s="104" t="s">
        <v>22</v>
      </c>
      <c r="W349" s="104" t="s">
        <v>22</v>
      </c>
      <c r="X349" s="104" t="s">
        <v>22</v>
      </c>
      <c r="Y349" s="104"/>
      <c r="Z349" s="380"/>
      <c r="AA349" s="381"/>
      <c r="AB349" s="381"/>
      <c r="AC349" s="413"/>
      <c r="AD349" s="413"/>
      <c r="AE349" s="424"/>
      <c r="AF349" s="423"/>
      <c r="AG349" s="432"/>
      <c r="AH349" s="432"/>
      <c r="AI349" s="423"/>
      <c r="AJ349" s="432"/>
      <c r="AK349" s="432"/>
      <c r="AL349" s="429"/>
      <c r="AM349" s="81"/>
      <c r="AN349" s="81"/>
      <c r="AO349" s="81"/>
      <c r="AP349" s="81"/>
      <c r="AQ349" s="81"/>
      <c r="AR349" s="81"/>
      <c r="AS349" s="81"/>
      <c r="AT349" s="81"/>
      <c r="AU349" s="81"/>
      <c r="AV349" s="81"/>
      <c r="AW349" s="81"/>
      <c r="AX349" s="81"/>
      <c r="AY349" s="81"/>
      <c r="AZ349" s="81"/>
      <c r="BA349" s="81"/>
      <c r="BB349" s="81"/>
      <c r="BC349" s="81"/>
      <c r="BD349" s="81"/>
      <c r="BE349" s="81"/>
      <c r="BF349" s="81"/>
    </row>
    <row r="350" ht="11.25" customHeight="1" spans="1:58">
      <c r="A350" s="297" t="s">
        <v>1008</v>
      </c>
      <c r="E350" s="53"/>
      <c r="F350" s="313"/>
      <c r="G350" s="314"/>
      <c r="H350" s="278" t="s">
        <v>1129</v>
      </c>
      <c r="I350" s="374"/>
      <c r="J350" s="375"/>
      <c r="K350" s="213"/>
      <c r="L350" s="140"/>
      <c r="M350" s="232"/>
      <c r="N350" s="367"/>
      <c r="O350" s="379"/>
      <c r="P350" s="371"/>
      <c r="Q350" s="104"/>
      <c r="R350" s="104"/>
      <c r="S350" s="387"/>
      <c r="T350" s="104"/>
      <c r="U350" s="104"/>
      <c r="V350" s="104"/>
      <c r="W350" s="104"/>
      <c r="X350" s="104"/>
      <c r="Y350" s="104"/>
      <c r="Z350" s="415"/>
      <c r="AA350" s="368">
        <v>1</v>
      </c>
      <c r="AB350" s="416" t="s">
        <v>1082</v>
      </c>
      <c r="AC350" s="417">
        <v>1276.53</v>
      </c>
      <c r="AD350" s="416" t="str">
        <f>AB350</f>
        <v>  Прибыль направляемая на инвестиции</v>
      </c>
      <c r="AE350" s="417"/>
      <c r="AF350" s="423"/>
      <c r="AG350" s="432"/>
      <c r="AH350" s="432"/>
      <c r="AI350" s="423"/>
      <c r="AJ350" s="432"/>
      <c r="AK350" s="432"/>
      <c r="AL350" s="429"/>
      <c r="AM350" s="81"/>
      <c r="AN350" s="81"/>
      <c r="AO350" s="81"/>
      <c r="AP350" s="81"/>
      <c r="AQ350" s="81"/>
      <c r="AR350" s="81"/>
      <c r="AS350" s="81"/>
      <c r="AT350" s="81"/>
      <c r="AU350" s="81"/>
      <c r="AV350" s="81"/>
      <c r="AW350" s="81"/>
      <c r="AX350" s="81"/>
      <c r="AY350" s="81"/>
      <c r="AZ350" s="81"/>
      <c r="BA350" s="81"/>
      <c r="BB350" s="81"/>
      <c r="BC350" s="81"/>
      <c r="BD350" s="81"/>
      <c r="BE350" s="81"/>
      <c r="BF350" s="81"/>
    </row>
    <row r="351" ht="11.25" customHeight="1" spans="1:58">
      <c r="A351" s="297" t="s">
        <v>1008</v>
      </c>
      <c r="E351" s="53"/>
      <c r="F351" s="313"/>
      <c r="G351" s="314"/>
      <c r="H351" s="278" t="s">
        <v>1129</v>
      </c>
      <c r="I351" s="374"/>
      <c r="J351" s="375"/>
      <c r="K351" s="213"/>
      <c r="L351" s="140"/>
      <c r="M351" s="232"/>
      <c r="N351" s="367"/>
      <c r="O351" s="379"/>
      <c r="P351" s="373"/>
      <c r="Q351" s="104"/>
      <c r="R351" s="104"/>
      <c r="S351" s="387"/>
      <c r="T351" s="104"/>
      <c r="U351" s="104"/>
      <c r="V351" s="104"/>
      <c r="W351" s="104"/>
      <c r="X351" s="104"/>
      <c r="Y351" s="104"/>
      <c r="Z351" s="380"/>
      <c r="AA351" s="381"/>
      <c r="AB351" s="227" t="s">
        <v>1054</v>
      </c>
      <c r="AC351" s="413"/>
      <c r="AD351" s="413"/>
      <c r="AE351" s="425"/>
      <c r="AF351" s="423"/>
      <c r="AG351" s="432"/>
      <c r="AH351" s="432"/>
      <c r="AI351" s="423"/>
      <c r="AJ351" s="432"/>
      <c r="AK351" s="432"/>
      <c r="AL351" s="429"/>
      <c r="AM351" s="81"/>
      <c r="AN351" s="81"/>
      <c r="AO351" s="81"/>
      <c r="AP351" s="81"/>
      <c r="AQ351" s="81"/>
      <c r="AR351" s="81"/>
      <c r="AS351" s="81"/>
      <c r="AT351" s="81"/>
      <c r="AU351" s="81"/>
      <c r="AV351" s="81"/>
      <c r="AW351" s="81"/>
      <c r="AX351" s="81"/>
      <c r="AY351" s="81"/>
      <c r="AZ351" s="81"/>
      <c r="BA351" s="81"/>
      <c r="BB351" s="81"/>
      <c r="BC351" s="81"/>
      <c r="BD351" s="81"/>
      <c r="BE351" s="81"/>
      <c r="BF351" s="81"/>
    </row>
    <row r="352" ht="11.25" customHeight="1" spans="1:58">
      <c r="A352" s="297" t="s">
        <v>1008</v>
      </c>
      <c r="E352" s="53"/>
      <c r="F352" s="313"/>
      <c r="G352" s="314"/>
      <c r="H352" s="278" t="s">
        <v>1129</v>
      </c>
      <c r="I352" s="374"/>
      <c r="J352" s="375"/>
      <c r="K352" s="213"/>
      <c r="L352" s="140"/>
      <c r="M352" s="232"/>
      <c r="N352" s="380"/>
      <c r="O352" s="381"/>
      <c r="P352" s="227" t="s">
        <v>1055</v>
      </c>
      <c r="Q352" s="381"/>
      <c r="R352" s="381"/>
      <c r="S352" s="381"/>
      <c r="T352" s="381"/>
      <c r="U352" s="381"/>
      <c r="V352" s="381"/>
      <c r="W352" s="381"/>
      <c r="X352" s="381"/>
      <c r="Y352" s="381"/>
      <c r="Z352" s="381"/>
      <c r="AA352" s="381"/>
      <c r="AB352" s="381"/>
      <c r="AC352" s="381"/>
      <c r="AD352" s="381"/>
      <c r="AE352" s="426"/>
      <c r="AF352" s="423"/>
      <c r="AG352" s="432"/>
      <c r="AH352" s="432"/>
      <c r="AI352" s="423"/>
      <c r="AJ352" s="432"/>
      <c r="AK352" s="432"/>
      <c r="AL352" s="429"/>
      <c r="AM352" s="81"/>
      <c r="AN352" s="81"/>
      <c r="AO352" s="81"/>
      <c r="AP352" s="81"/>
      <c r="AQ352" s="81"/>
      <c r="AR352" s="81"/>
      <c r="AS352" s="81"/>
      <c r="AT352" s="81"/>
      <c r="AU352" s="81"/>
      <c r="AV352" s="81"/>
      <c r="AW352" s="81"/>
      <c r="AX352" s="81"/>
      <c r="AY352" s="81"/>
      <c r="AZ352" s="81"/>
      <c r="BA352" s="81"/>
      <c r="BB352" s="81"/>
      <c r="BC352" s="81"/>
      <c r="BD352" s="81"/>
      <c r="BE352" s="81"/>
      <c r="BF352" s="81"/>
    </row>
    <row r="353" ht="11.25" customHeight="1" spans="1:58">
      <c r="A353" s="297" t="s">
        <v>1008</v>
      </c>
      <c r="B353" s="297" t="s">
        <v>1104</v>
      </c>
      <c r="E353" s="53"/>
      <c r="F353" s="313"/>
      <c r="G353" s="235" t="s">
        <v>683</v>
      </c>
      <c r="H353" s="278" t="s">
        <v>1133</v>
      </c>
      <c r="I353" s="374" t="s">
        <v>1106</v>
      </c>
      <c r="J353" s="375" t="s">
        <v>1107</v>
      </c>
      <c r="K353" s="213" t="s">
        <v>1214</v>
      </c>
      <c r="L353" s="140" t="s">
        <v>19</v>
      </c>
      <c r="M353" s="232"/>
      <c r="N353" s="376"/>
      <c r="O353" s="377" t="s">
        <v>372</v>
      </c>
      <c r="P353" s="378"/>
      <c r="Q353" s="378"/>
      <c r="R353" s="378"/>
      <c r="S353" s="378"/>
      <c r="T353" s="378"/>
      <c r="U353" s="378"/>
      <c r="V353" s="378"/>
      <c r="W353" s="378"/>
      <c r="X353" s="378"/>
      <c r="Y353" s="378"/>
      <c r="Z353" s="378"/>
      <c r="AA353" s="378"/>
      <c r="AB353" s="378"/>
      <c r="AC353" s="378"/>
      <c r="AD353" s="378"/>
      <c r="AE353" s="378"/>
      <c r="AF353" s="423">
        <v>2026</v>
      </c>
      <c r="AG353" s="432" t="s">
        <v>1043</v>
      </c>
      <c r="AH353" s="432" t="s">
        <v>1044</v>
      </c>
      <c r="AI353" s="423"/>
      <c r="AJ353" s="432"/>
      <c r="AK353" s="432"/>
      <c r="AL353" s="429"/>
      <c r="AM353" s="81"/>
      <c r="AN353" s="81"/>
      <c r="AO353" s="81"/>
      <c r="AP353" s="81"/>
      <c r="AQ353" s="81"/>
      <c r="AR353" s="81"/>
      <c r="AS353" s="81"/>
      <c r="AT353" s="81"/>
      <c r="AU353" s="81"/>
      <c r="AV353" s="81"/>
      <c r="AW353" s="81"/>
      <c r="AX353" s="81"/>
      <c r="AY353" s="81"/>
      <c r="AZ353" s="81"/>
      <c r="BA353" s="81"/>
      <c r="BB353" s="81"/>
      <c r="BC353" s="81"/>
      <c r="BD353" s="81"/>
      <c r="BE353" s="81"/>
      <c r="BF353" s="81"/>
    </row>
    <row r="354" ht="11.25" customHeight="1" spans="1:58">
      <c r="A354" s="297" t="s">
        <v>1008</v>
      </c>
      <c r="E354" s="53"/>
      <c r="F354" s="313"/>
      <c r="G354" s="314"/>
      <c r="H354" s="278" t="s">
        <v>1131</v>
      </c>
      <c r="I354" s="374"/>
      <c r="J354" s="375"/>
      <c r="K354" s="213"/>
      <c r="L354" s="140"/>
      <c r="M354" s="232"/>
      <c r="N354" s="367"/>
      <c r="O354" s="379">
        <v>1</v>
      </c>
      <c r="P354" s="369" t="s">
        <v>19</v>
      </c>
      <c r="Q354" s="104" t="s">
        <v>22</v>
      </c>
      <c r="R354" s="104" t="s">
        <v>22</v>
      </c>
      <c r="S354" s="104" t="s">
        <v>22</v>
      </c>
      <c r="T354" s="104" t="s">
        <v>22</v>
      </c>
      <c r="U354" s="104" t="s">
        <v>22</v>
      </c>
      <c r="V354" s="104" t="s">
        <v>22</v>
      </c>
      <c r="W354" s="104" t="s">
        <v>22</v>
      </c>
      <c r="X354" s="104" t="s">
        <v>22</v>
      </c>
      <c r="Y354" s="104"/>
      <c r="Z354" s="380"/>
      <c r="AA354" s="381"/>
      <c r="AB354" s="381"/>
      <c r="AC354" s="413"/>
      <c r="AD354" s="413"/>
      <c r="AE354" s="424"/>
      <c r="AF354" s="423"/>
      <c r="AG354" s="432"/>
      <c r="AH354" s="432"/>
      <c r="AI354" s="423"/>
      <c r="AJ354" s="432"/>
      <c r="AK354" s="432"/>
      <c r="AL354" s="429"/>
      <c r="AM354" s="81"/>
      <c r="AN354" s="81"/>
      <c r="AO354" s="81"/>
      <c r="AP354" s="81"/>
      <c r="AQ354" s="81"/>
      <c r="AR354" s="81"/>
      <c r="AS354" s="81"/>
      <c r="AT354" s="81"/>
      <c r="AU354" s="81"/>
      <c r="AV354" s="81"/>
      <c r="AW354" s="81"/>
      <c r="AX354" s="81"/>
      <c r="AY354" s="81"/>
      <c r="AZ354" s="81"/>
      <c r="BA354" s="81"/>
      <c r="BB354" s="81"/>
      <c r="BC354" s="81"/>
      <c r="BD354" s="81"/>
      <c r="BE354" s="81"/>
      <c r="BF354" s="81"/>
    </row>
    <row r="355" ht="11.25" customHeight="1" spans="1:58">
      <c r="A355" s="297" t="s">
        <v>1008</v>
      </c>
      <c r="E355" s="53"/>
      <c r="F355" s="313"/>
      <c r="G355" s="314"/>
      <c r="H355" s="278" t="s">
        <v>1131</v>
      </c>
      <c r="I355" s="374"/>
      <c r="J355" s="375"/>
      <c r="K355" s="213"/>
      <c r="L355" s="140"/>
      <c r="M355" s="232"/>
      <c r="N355" s="367"/>
      <c r="O355" s="379"/>
      <c r="P355" s="371"/>
      <c r="Q355" s="104"/>
      <c r="R355" s="104"/>
      <c r="S355" s="387"/>
      <c r="T355" s="104"/>
      <c r="U355" s="104"/>
      <c r="V355" s="104"/>
      <c r="W355" s="104"/>
      <c r="X355" s="104"/>
      <c r="Y355" s="104"/>
      <c r="Z355" s="415"/>
      <c r="AA355" s="368">
        <v>1</v>
      </c>
      <c r="AB355" s="416" t="s">
        <v>1082</v>
      </c>
      <c r="AC355" s="417">
        <v>804.64</v>
      </c>
      <c r="AD355" s="416" t="str">
        <f>AB355</f>
        <v>  Прибыль направляемая на инвестиции</v>
      </c>
      <c r="AE355" s="417"/>
      <c r="AF355" s="423"/>
      <c r="AG355" s="432"/>
      <c r="AH355" s="432"/>
      <c r="AI355" s="423"/>
      <c r="AJ355" s="432"/>
      <c r="AK355" s="432"/>
      <c r="AL355" s="429"/>
      <c r="AM355" s="81"/>
      <c r="AN355" s="81"/>
      <c r="AO355" s="81"/>
      <c r="AP355" s="81"/>
      <c r="AQ355" s="81"/>
      <c r="AR355" s="81"/>
      <c r="AS355" s="81"/>
      <c r="AT355" s="81"/>
      <c r="AU355" s="81"/>
      <c r="AV355" s="81"/>
      <c r="AW355" s="81"/>
      <c r="AX355" s="81"/>
      <c r="AY355" s="81"/>
      <c r="AZ355" s="81"/>
      <c r="BA355" s="81"/>
      <c r="BB355" s="81"/>
      <c r="BC355" s="81"/>
      <c r="BD355" s="81"/>
      <c r="BE355" s="81"/>
      <c r="BF355" s="81"/>
    </row>
    <row r="356" ht="11.25" customHeight="1" spans="1:58">
      <c r="A356" s="297" t="s">
        <v>1008</v>
      </c>
      <c r="E356" s="53"/>
      <c r="F356" s="313"/>
      <c r="G356" s="314"/>
      <c r="H356" s="278" t="s">
        <v>1131</v>
      </c>
      <c r="I356" s="374"/>
      <c r="J356" s="375"/>
      <c r="K356" s="213"/>
      <c r="L356" s="140"/>
      <c r="M356" s="232"/>
      <c r="N356" s="367"/>
      <c r="O356" s="379"/>
      <c r="P356" s="373"/>
      <c r="Q356" s="104"/>
      <c r="R356" s="104"/>
      <c r="S356" s="387"/>
      <c r="T356" s="104"/>
      <c r="U356" s="104"/>
      <c r="V356" s="104"/>
      <c r="W356" s="104"/>
      <c r="X356" s="104"/>
      <c r="Y356" s="104"/>
      <c r="Z356" s="380"/>
      <c r="AA356" s="381"/>
      <c r="AB356" s="227" t="s">
        <v>1054</v>
      </c>
      <c r="AC356" s="413"/>
      <c r="AD356" s="413"/>
      <c r="AE356" s="425"/>
      <c r="AF356" s="423"/>
      <c r="AG356" s="432"/>
      <c r="AH356" s="432"/>
      <c r="AI356" s="423"/>
      <c r="AJ356" s="432"/>
      <c r="AK356" s="432"/>
      <c r="AL356" s="429"/>
      <c r="AM356" s="81"/>
      <c r="AN356" s="81"/>
      <c r="AO356" s="81"/>
      <c r="AP356" s="81"/>
      <c r="AQ356" s="81"/>
      <c r="AR356" s="81"/>
      <c r="AS356" s="81"/>
      <c r="AT356" s="81"/>
      <c r="AU356" s="81"/>
      <c r="AV356" s="81"/>
      <c r="AW356" s="81"/>
      <c r="AX356" s="81"/>
      <c r="AY356" s="81"/>
      <c r="AZ356" s="81"/>
      <c r="BA356" s="81"/>
      <c r="BB356" s="81"/>
      <c r="BC356" s="81"/>
      <c r="BD356" s="81"/>
      <c r="BE356" s="81"/>
      <c r="BF356" s="81"/>
    </row>
    <row r="357" ht="11.25" customHeight="1" spans="1:58">
      <c r="A357" s="297" t="s">
        <v>1008</v>
      </c>
      <c r="E357" s="53"/>
      <c r="F357" s="313"/>
      <c r="G357" s="314"/>
      <c r="H357" s="278" t="s">
        <v>1131</v>
      </c>
      <c r="I357" s="374"/>
      <c r="J357" s="375"/>
      <c r="K357" s="213"/>
      <c r="L357" s="140"/>
      <c r="M357" s="232"/>
      <c r="N357" s="380"/>
      <c r="O357" s="381"/>
      <c r="P357" s="227" t="s">
        <v>1055</v>
      </c>
      <c r="Q357" s="381"/>
      <c r="R357" s="381"/>
      <c r="S357" s="381"/>
      <c r="T357" s="381"/>
      <c r="U357" s="381"/>
      <c r="V357" s="381"/>
      <c r="W357" s="381"/>
      <c r="X357" s="381"/>
      <c r="Y357" s="381"/>
      <c r="Z357" s="381"/>
      <c r="AA357" s="381"/>
      <c r="AB357" s="381"/>
      <c r="AC357" s="381"/>
      <c r="AD357" s="381"/>
      <c r="AE357" s="426"/>
      <c r="AF357" s="423"/>
      <c r="AG357" s="432"/>
      <c r="AH357" s="432"/>
      <c r="AI357" s="423"/>
      <c r="AJ357" s="432"/>
      <c r="AK357" s="432"/>
      <c r="AL357" s="429"/>
      <c r="AM357" s="81"/>
      <c r="AN357" s="81"/>
      <c r="AO357" s="81"/>
      <c r="AP357" s="81"/>
      <c r="AQ357" s="81"/>
      <c r="AR357" s="81"/>
      <c r="AS357" s="81"/>
      <c r="AT357" s="81"/>
      <c r="AU357" s="81"/>
      <c r="AV357" s="81"/>
      <c r="AW357" s="81"/>
      <c r="AX357" s="81"/>
      <c r="AY357" s="81"/>
      <c r="AZ357" s="81"/>
      <c r="BA357" s="81"/>
      <c r="BB357" s="81"/>
      <c r="BC357" s="81"/>
      <c r="BD357" s="81"/>
      <c r="BE357" s="81"/>
      <c r="BF357" s="81"/>
    </row>
    <row r="358" ht="11.25" customHeight="1" spans="1:58">
      <c r="A358" s="297" t="s">
        <v>1008</v>
      </c>
      <c r="B358" s="297" t="s">
        <v>1104</v>
      </c>
      <c r="E358" s="53"/>
      <c r="F358" s="313"/>
      <c r="G358" s="235" t="s">
        <v>683</v>
      </c>
      <c r="H358" s="278" t="s">
        <v>1138</v>
      </c>
      <c r="I358" s="374" t="s">
        <v>1106</v>
      </c>
      <c r="J358" s="375" t="s">
        <v>1107</v>
      </c>
      <c r="K358" s="213" t="s">
        <v>1215</v>
      </c>
      <c r="L358" s="140" t="s">
        <v>19</v>
      </c>
      <c r="M358" s="232"/>
      <c r="N358" s="376"/>
      <c r="O358" s="377" t="s">
        <v>372</v>
      </c>
      <c r="P358" s="378"/>
      <c r="Q358" s="378"/>
      <c r="R358" s="378"/>
      <c r="S358" s="378"/>
      <c r="T358" s="378"/>
      <c r="U358" s="378"/>
      <c r="V358" s="378"/>
      <c r="W358" s="378"/>
      <c r="X358" s="378"/>
      <c r="Y358" s="378"/>
      <c r="Z358" s="378"/>
      <c r="AA358" s="378"/>
      <c r="AB358" s="378"/>
      <c r="AC358" s="378"/>
      <c r="AD358" s="378"/>
      <c r="AE358" s="378"/>
      <c r="AF358" s="423">
        <v>2026</v>
      </c>
      <c r="AG358" s="432" t="s">
        <v>1043</v>
      </c>
      <c r="AH358" s="432" t="s">
        <v>1044</v>
      </c>
      <c r="AI358" s="423"/>
      <c r="AJ358" s="432"/>
      <c r="AK358" s="432"/>
      <c r="AL358" s="429"/>
      <c r="AM358" s="81"/>
      <c r="AN358" s="81"/>
      <c r="AO358" s="81"/>
      <c r="AP358" s="81"/>
      <c r="AQ358" s="81"/>
      <c r="AR358" s="81"/>
      <c r="AS358" s="81"/>
      <c r="AT358" s="81"/>
      <c r="AU358" s="81"/>
      <c r="AV358" s="81"/>
      <c r="AW358" s="81"/>
      <c r="AX358" s="81"/>
      <c r="AY358" s="81"/>
      <c r="AZ358" s="81"/>
      <c r="BA358" s="81"/>
      <c r="BB358" s="81"/>
      <c r="BC358" s="81"/>
      <c r="BD358" s="81"/>
      <c r="BE358" s="81"/>
      <c r="BF358" s="81"/>
    </row>
    <row r="359" ht="11.25" customHeight="1" spans="1:58">
      <c r="A359" s="297" t="s">
        <v>1008</v>
      </c>
      <c r="E359" s="53"/>
      <c r="F359" s="313"/>
      <c r="G359" s="314"/>
      <c r="H359" s="278" t="s">
        <v>1133</v>
      </c>
      <c r="I359" s="374"/>
      <c r="J359" s="375"/>
      <c r="K359" s="213"/>
      <c r="L359" s="140"/>
      <c r="M359" s="232"/>
      <c r="N359" s="367"/>
      <c r="O359" s="379">
        <v>1</v>
      </c>
      <c r="P359" s="369" t="s">
        <v>19</v>
      </c>
      <c r="Q359" s="104" t="s">
        <v>22</v>
      </c>
      <c r="R359" s="104" t="s">
        <v>22</v>
      </c>
      <c r="S359" s="104" t="s">
        <v>22</v>
      </c>
      <c r="T359" s="104" t="s">
        <v>22</v>
      </c>
      <c r="U359" s="104" t="s">
        <v>22</v>
      </c>
      <c r="V359" s="104" t="s">
        <v>22</v>
      </c>
      <c r="W359" s="104" t="s">
        <v>22</v>
      </c>
      <c r="X359" s="104" t="s">
        <v>22</v>
      </c>
      <c r="Y359" s="104"/>
      <c r="Z359" s="380"/>
      <c r="AA359" s="381"/>
      <c r="AB359" s="381"/>
      <c r="AC359" s="413"/>
      <c r="AD359" s="413"/>
      <c r="AE359" s="424"/>
      <c r="AF359" s="423"/>
      <c r="AG359" s="432"/>
      <c r="AH359" s="432"/>
      <c r="AI359" s="423"/>
      <c r="AJ359" s="432"/>
      <c r="AK359" s="432"/>
      <c r="AL359" s="429"/>
      <c r="AM359" s="81"/>
      <c r="AN359" s="81"/>
      <c r="AO359" s="81"/>
      <c r="AP359" s="81"/>
      <c r="AQ359" s="81"/>
      <c r="AR359" s="81"/>
      <c r="AS359" s="81"/>
      <c r="AT359" s="81"/>
      <c r="AU359" s="81"/>
      <c r="AV359" s="81"/>
      <c r="AW359" s="81"/>
      <c r="AX359" s="81"/>
      <c r="AY359" s="81"/>
      <c r="AZ359" s="81"/>
      <c r="BA359" s="81"/>
      <c r="BB359" s="81"/>
      <c r="BC359" s="81"/>
      <c r="BD359" s="81"/>
      <c r="BE359" s="81"/>
      <c r="BF359" s="81"/>
    </row>
    <row r="360" ht="11.25" customHeight="1" spans="1:58">
      <c r="A360" s="297" t="s">
        <v>1008</v>
      </c>
      <c r="E360" s="53"/>
      <c r="F360" s="313"/>
      <c r="G360" s="314"/>
      <c r="H360" s="278" t="s">
        <v>1133</v>
      </c>
      <c r="I360" s="374"/>
      <c r="J360" s="375"/>
      <c r="K360" s="213"/>
      <c r="L360" s="140"/>
      <c r="M360" s="232"/>
      <c r="N360" s="367"/>
      <c r="O360" s="379"/>
      <c r="P360" s="371"/>
      <c r="Q360" s="104"/>
      <c r="R360" s="104"/>
      <c r="S360" s="387"/>
      <c r="T360" s="104"/>
      <c r="U360" s="104"/>
      <c r="V360" s="104"/>
      <c r="W360" s="104"/>
      <c r="X360" s="104"/>
      <c r="Y360" s="104"/>
      <c r="Z360" s="415"/>
      <c r="AA360" s="368">
        <v>1</v>
      </c>
      <c r="AB360" s="416" t="s">
        <v>1082</v>
      </c>
      <c r="AC360" s="417">
        <v>3185.2</v>
      </c>
      <c r="AD360" s="416" t="str">
        <f>AB360</f>
        <v>  Прибыль направляемая на инвестиции</v>
      </c>
      <c r="AE360" s="417"/>
      <c r="AF360" s="423"/>
      <c r="AG360" s="432"/>
      <c r="AH360" s="432"/>
      <c r="AI360" s="423"/>
      <c r="AJ360" s="432"/>
      <c r="AK360" s="432"/>
      <c r="AL360" s="429"/>
      <c r="AM360" s="81"/>
      <c r="AN360" s="81"/>
      <c r="AO360" s="81"/>
      <c r="AP360" s="81"/>
      <c r="AQ360" s="81"/>
      <c r="AR360" s="81"/>
      <c r="AS360" s="81"/>
      <c r="AT360" s="81"/>
      <c r="AU360" s="81"/>
      <c r="AV360" s="81"/>
      <c r="AW360" s="81"/>
      <c r="AX360" s="81"/>
      <c r="AY360" s="81"/>
      <c r="AZ360" s="81"/>
      <c r="BA360" s="81"/>
      <c r="BB360" s="81"/>
      <c r="BC360" s="81"/>
      <c r="BD360" s="81"/>
      <c r="BE360" s="81"/>
      <c r="BF360" s="81"/>
    </row>
    <row r="361" ht="11.25" customHeight="1" spans="1:58">
      <c r="A361" s="297" t="s">
        <v>1008</v>
      </c>
      <c r="E361" s="53"/>
      <c r="F361" s="313"/>
      <c r="G361" s="314"/>
      <c r="H361" s="278" t="s">
        <v>1133</v>
      </c>
      <c r="I361" s="374"/>
      <c r="J361" s="375"/>
      <c r="K361" s="213"/>
      <c r="L361" s="140"/>
      <c r="M361" s="232"/>
      <c r="N361" s="367"/>
      <c r="O361" s="379"/>
      <c r="P361" s="373"/>
      <c r="Q361" s="104"/>
      <c r="R361" s="104"/>
      <c r="S361" s="387"/>
      <c r="T361" s="104"/>
      <c r="U361" s="104"/>
      <c r="V361" s="104"/>
      <c r="W361" s="104"/>
      <c r="X361" s="104"/>
      <c r="Y361" s="104"/>
      <c r="Z361" s="380"/>
      <c r="AA361" s="381"/>
      <c r="AB361" s="227" t="s">
        <v>1054</v>
      </c>
      <c r="AC361" s="413"/>
      <c r="AD361" s="413"/>
      <c r="AE361" s="425"/>
      <c r="AF361" s="423"/>
      <c r="AG361" s="432"/>
      <c r="AH361" s="432"/>
      <c r="AI361" s="423"/>
      <c r="AJ361" s="432"/>
      <c r="AK361" s="432"/>
      <c r="AL361" s="429"/>
      <c r="AM361" s="81"/>
      <c r="AN361" s="81"/>
      <c r="AO361" s="81"/>
      <c r="AP361" s="81"/>
      <c r="AQ361" s="81"/>
      <c r="AR361" s="81"/>
      <c r="AS361" s="81"/>
      <c r="AT361" s="81"/>
      <c r="AU361" s="81"/>
      <c r="AV361" s="81"/>
      <c r="AW361" s="81"/>
      <c r="AX361" s="81"/>
      <c r="AY361" s="81"/>
      <c r="AZ361" s="81"/>
      <c r="BA361" s="81"/>
      <c r="BB361" s="81"/>
      <c r="BC361" s="81"/>
      <c r="BD361" s="81"/>
      <c r="BE361" s="81"/>
      <c r="BF361" s="81"/>
    </row>
    <row r="362" ht="11.25" customHeight="1" spans="1:58">
      <c r="A362" s="297" t="s">
        <v>1008</v>
      </c>
      <c r="E362" s="53"/>
      <c r="F362" s="313"/>
      <c r="G362" s="314"/>
      <c r="H362" s="278" t="s">
        <v>1133</v>
      </c>
      <c r="I362" s="374"/>
      <c r="J362" s="375"/>
      <c r="K362" s="213"/>
      <c r="L362" s="140"/>
      <c r="M362" s="232"/>
      <c r="N362" s="380"/>
      <c r="O362" s="381"/>
      <c r="P362" s="227" t="s">
        <v>1055</v>
      </c>
      <c r="Q362" s="381"/>
      <c r="R362" s="381"/>
      <c r="S362" s="381"/>
      <c r="T362" s="381"/>
      <c r="U362" s="381"/>
      <c r="V362" s="381"/>
      <c r="W362" s="381"/>
      <c r="X362" s="381"/>
      <c r="Y362" s="381"/>
      <c r="Z362" s="381"/>
      <c r="AA362" s="381"/>
      <c r="AB362" s="381"/>
      <c r="AC362" s="381"/>
      <c r="AD362" s="381"/>
      <c r="AE362" s="426"/>
      <c r="AF362" s="423"/>
      <c r="AG362" s="432"/>
      <c r="AH362" s="432"/>
      <c r="AI362" s="423"/>
      <c r="AJ362" s="432"/>
      <c r="AK362" s="432"/>
      <c r="AL362" s="429"/>
      <c r="AM362" s="81"/>
      <c r="AN362" s="81"/>
      <c r="AO362" s="81"/>
      <c r="AP362" s="81"/>
      <c r="AQ362" s="81"/>
      <c r="AR362" s="81"/>
      <c r="AS362" s="81"/>
      <c r="AT362" s="81"/>
      <c r="AU362" s="81"/>
      <c r="AV362" s="81"/>
      <c r="AW362" s="81"/>
      <c r="AX362" s="81"/>
      <c r="AY362" s="81"/>
      <c r="AZ362" s="81"/>
      <c r="BA362" s="81"/>
      <c r="BB362" s="81"/>
      <c r="BC362" s="81"/>
      <c r="BD362" s="81"/>
      <c r="BE362" s="81"/>
      <c r="BF362" s="81"/>
    </row>
    <row r="363" ht="11.25" customHeight="1" spans="1:58">
      <c r="A363" s="297" t="s">
        <v>1008</v>
      </c>
      <c r="B363" s="297" t="s">
        <v>1104</v>
      </c>
      <c r="E363" s="53"/>
      <c r="F363" s="313"/>
      <c r="G363" s="235" t="s">
        <v>683</v>
      </c>
      <c r="H363" s="278" t="s">
        <v>1143</v>
      </c>
      <c r="I363" s="374" t="s">
        <v>1106</v>
      </c>
      <c r="J363" s="375" t="s">
        <v>1107</v>
      </c>
      <c r="K363" s="213" t="s">
        <v>1216</v>
      </c>
      <c r="L363" s="140" t="s">
        <v>19</v>
      </c>
      <c r="M363" s="232"/>
      <c r="N363" s="376"/>
      <c r="O363" s="377" t="s">
        <v>372</v>
      </c>
      <c r="P363" s="378"/>
      <c r="Q363" s="378"/>
      <c r="R363" s="378"/>
      <c r="S363" s="378"/>
      <c r="T363" s="378"/>
      <c r="U363" s="378"/>
      <c r="V363" s="378"/>
      <c r="W363" s="378"/>
      <c r="X363" s="378"/>
      <c r="Y363" s="378"/>
      <c r="Z363" s="378"/>
      <c r="AA363" s="378"/>
      <c r="AB363" s="378"/>
      <c r="AC363" s="378"/>
      <c r="AD363" s="378"/>
      <c r="AE363" s="378"/>
      <c r="AF363" s="423">
        <v>2026</v>
      </c>
      <c r="AG363" s="432" t="s">
        <v>1043</v>
      </c>
      <c r="AH363" s="432" t="s">
        <v>1044</v>
      </c>
      <c r="AI363" s="423"/>
      <c r="AJ363" s="432"/>
      <c r="AK363" s="432"/>
      <c r="AL363" s="429"/>
      <c r="AM363" s="81"/>
      <c r="AN363" s="81"/>
      <c r="AO363" s="81"/>
      <c r="AP363" s="81"/>
      <c r="AQ363" s="81"/>
      <c r="AR363" s="81"/>
      <c r="AS363" s="81"/>
      <c r="AT363" s="81"/>
      <c r="AU363" s="81"/>
      <c r="AV363" s="81"/>
      <c r="AW363" s="81"/>
      <c r="AX363" s="81"/>
      <c r="AY363" s="81"/>
      <c r="AZ363" s="81"/>
      <c r="BA363" s="81"/>
      <c r="BB363" s="81"/>
      <c r="BC363" s="81"/>
      <c r="BD363" s="81"/>
      <c r="BE363" s="81"/>
      <c r="BF363" s="81"/>
    </row>
    <row r="364" ht="11.25" customHeight="1" spans="1:58">
      <c r="A364" s="297" t="s">
        <v>1008</v>
      </c>
      <c r="E364" s="53"/>
      <c r="F364" s="313"/>
      <c r="G364" s="314"/>
      <c r="H364" s="278" t="s">
        <v>1138</v>
      </c>
      <c r="I364" s="374"/>
      <c r="J364" s="375"/>
      <c r="K364" s="213"/>
      <c r="L364" s="140"/>
      <c r="M364" s="232"/>
      <c r="N364" s="367"/>
      <c r="O364" s="379">
        <v>1</v>
      </c>
      <c r="P364" s="369" t="s">
        <v>19</v>
      </c>
      <c r="Q364" s="104" t="s">
        <v>22</v>
      </c>
      <c r="R364" s="104" t="s">
        <v>22</v>
      </c>
      <c r="S364" s="104" t="s">
        <v>22</v>
      </c>
      <c r="T364" s="104" t="s">
        <v>22</v>
      </c>
      <c r="U364" s="104" t="s">
        <v>22</v>
      </c>
      <c r="V364" s="104" t="s">
        <v>22</v>
      </c>
      <c r="W364" s="104" t="s">
        <v>22</v>
      </c>
      <c r="X364" s="104" t="s">
        <v>22</v>
      </c>
      <c r="Y364" s="104"/>
      <c r="Z364" s="380"/>
      <c r="AA364" s="381"/>
      <c r="AB364" s="381"/>
      <c r="AC364" s="413"/>
      <c r="AD364" s="413"/>
      <c r="AE364" s="424"/>
      <c r="AF364" s="423"/>
      <c r="AG364" s="432"/>
      <c r="AH364" s="432"/>
      <c r="AI364" s="423"/>
      <c r="AJ364" s="432"/>
      <c r="AK364" s="432"/>
      <c r="AL364" s="429"/>
      <c r="AM364" s="81"/>
      <c r="AN364" s="81"/>
      <c r="AO364" s="81"/>
      <c r="AP364" s="81"/>
      <c r="AQ364" s="81"/>
      <c r="AR364" s="81"/>
      <c r="AS364" s="81"/>
      <c r="AT364" s="81"/>
      <c r="AU364" s="81"/>
      <c r="AV364" s="81"/>
      <c r="AW364" s="81"/>
      <c r="AX364" s="81"/>
      <c r="AY364" s="81"/>
      <c r="AZ364" s="81"/>
      <c r="BA364" s="81"/>
      <c r="BB364" s="81"/>
      <c r="BC364" s="81"/>
      <c r="BD364" s="81"/>
      <c r="BE364" s="81"/>
      <c r="BF364" s="81"/>
    </row>
    <row r="365" ht="11.25" customHeight="1" spans="1:58">
      <c r="A365" s="297" t="s">
        <v>1008</v>
      </c>
      <c r="E365" s="53"/>
      <c r="F365" s="313"/>
      <c r="G365" s="314"/>
      <c r="H365" s="278" t="s">
        <v>1138</v>
      </c>
      <c r="I365" s="374"/>
      <c r="J365" s="375"/>
      <c r="K365" s="213"/>
      <c r="L365" s="140"/>
      <c r="M365" s="232"/>
      <c r="N365" s="367"/>
      <c r="O365" s="379"/>
      <c r="P365" s="371"/>
      <c r="Q365" s="104"/>
      <c r="R365" s="104"/>
      <c r="S365" s="387"/>
      <c r="T365" s="104"/>
      <c r="U365" s="104"/>
      <c r="V365" s="104"/>
      <c r="W365" s="104"/>
      <c r="X365" s="104"/>
      <c r="Y365" s="104"/>
      <c r="Z365" s="415"/>
      <c r="AA365" s="368">
        <v>1</v>
      </c>
      <c r="AB365" s="416" t="s">
        <v>1082</v>
      </c>
      <c r="AC365" s="417">
        <v>11187.05</v>
      </c>
      <c r="AD365" s="416" t="str">
        <f>AB365</f>
        <v>  Прибыль направляемая на инвестиции</v>
      </c>
      <c r="AE365" s="417"/>
      <c r="AF365" s="423"/>
      <c r="AG365" s="432"/>
      <c r="AH365" s="432"/>
      <c r="AI365" s="423"/>
      <c r="AJ365" s="432"/>
      <c r="AK365" s="432"/>
      <c r="AL365" s="429"/>
      <c r="AM365" s="81"/>
      <c r="AN365" s="81"/>
      <c r="AO365" s="81"/>
      <c r="AP365" s="81"/>
      <c r="AQ365" s="81"/>
      <c r="AR365" s="81"/>
      <c r="AS365" s="81"/>
      <c r="AT365" s="81"/>
      <c r="AU365" s="81"/>
      <c r="AV365" s="81"/>
      <c r="AW365" s="81"/>
      <c r="AX365" s="81"/>
      <c r="AY365" s="81"/>
      <c r="AZ365" s="81"/>
      <c r="BA365" s="81"/>
      <c r="BB365" s="81"/>
      <c r="BC365" s="81"/>
      <c r="BD365" s="81"/>
      <c r="BE365" s="81"/>
      <c r="BF365" s="81"/>
    </row>
    <row r="366" ht="39.75" customHeight="1" spans="1:58">
      <c r="A366" s="297" t="s">
        <v>1008</v>
      </c>
      <c r="E366" s="53"/>
      <c r="F366" s="314"/>
      <c r="G366" s="314"/>
      <c r="H366" s="314"/>
      <c r="I366" s="314"/>
      <c r="J366" s="314"/>
      <c r="K366" s="314"/>
      <c r="L366" s="314"/>
      <c r="M366" s="314"/>
      <c r="N366" s="314"/>
      <c r="O366" s="314"/>
      <c r="P366" s="314"/>
      <c r="Q366" s="314"/>
      <c r="R366" s="314"/>
      <c r="S366" s="314"/>
      <c r="T366" s="314"/>
      <c r="U366" s="314"/>
      <c r="V366" s="314"/>
      <c r="W366" s="314"/>
      <c r="X366" s="314"/>
      <c r="Y366" s="314"/>
      <c r="Z366" s="235" t="s">
        <v>683</v>
      </c>
      <c r="AA366" s="379" t="s">
        <v>108</v>
      </c>
      <c r="AB366" s="416" t="s">
        <v>1053</v>
      </c>
      <c r="AC366" s="417">
        <v>25537.07</v>
      </c>
      <c r="AD366" s="416" t="str">
        <f>AB366</f>
        <v>      Амортизационные отчисления с выделением результатов переоценки основных средств и нематериальных активов</v>
      </c>
      <c r="AE366" s="417"/>
      <c r="AF366" s="422"/>
      <c r="AG366" s="430"/>
      <c r="AH366" s="430"/>
      <c r="AI366" s="422"/>
      <c r="AJ366" s="430"/>
      <c r="AK366" s="431"/>
      <c r="AL366" s="429"/>
      <c r="AM366" s="81"/>
      <c r="AN366" s="81"/>
      <c r="AO366" s="81"/>
      <c r="AP366" s="81"/>
      <c r="AQ366" s="81"/>
      <c r="AR366" s="81"/>
      <c r="AS366" s="81"/>
      <c r="AT366" s="81"/>
      <c r="AU366" s="81"/>
      <c r="AV366" s="81"/>
      <c r="AW366" s="81"/>
      <c r="AX366" s="81"/>
      <c r="AY366" s="81"/>
      <c r="AZ366" s="81"/>
      <c r="BA366" s="81"/>
      <c r="BB366" s="81"/>
      <c r="BC366" s="81"/>
      <c r="BD366" s="81"/>
      <c r="BE366" s="81"/>
      <c r="BF366" s="81"/>
    </row>
    <row r="367" ht="11.25" customHeight="1" spans="1:58">
      <c r="A367" s="297" t="s">
        <v>1008</v>
      </c>
      <c r="E367" s="53"/>
      <c r="F367" s="313"/>
      <c r="G367" s="314"/>
      <c r="H367" s="278" t="s">
        <v>1138</v>
      </c>
      <c r="I367" s="374"/>
      <c r="J367" s="375"/>
      <c r="K367" s="213"/>
      <c r="L367" s="140"/>
      <c r="M367" s="232"/>
      <c r="N367" s="367"/>
      <c r="O367" s="379"/>
      <c r="P367" s="373"/>
      <c r="Q367" s="104"/>
      <c r="R367" s="104"/>
      <c r="S367" s="387"/>
      <c r="T367" s="104"/>
      <c r="U367" s="104"/>
      <c r="V367" s="104"/>
      <c r="W367" s="104"/>
      <c r="X367" s="104"/>
      <c r="Y367" s="104"/>
      <c r="Z367" s="380"/>
      <c r="AA367" s="381"/>
      <c r="AB367" s="227" t="s">
        <v>1054</v>
      </c>
      <c r="AC367" s="413"/>
      <c r="AD367" s="413"/>
      <c r="AE367" s="425"/>
      <c r="AF367" s="423"/>
      <c r="AG367" s="432"/>
      <c r="AH367" s="432"/>
      <c r="AI367" s="423"/>
      <c r="AJ367" s="432"/>
      <c r="AK367" s="432"/>
      <c r="AL367" s="429"/>
      <c r="AM367" s="81"/>
      <c r="AN367" s="81"/>
      <c r="AO367" s="81"/>
      <c r="AP367" s="81"/>
      <c r="AQ367" s="81"/>
      <c r="AR367" s="81"/>
      <c r="AS367" s="81"/>
      <c r="AT367" s="81"/>
      <c r="AU367" s="81"/>
      <c r="AV367" s="81"/>
      <c r="AW367" s="81"/>
      <c r="AX367" s="81"/>
      <c r="AY367" s="81"/>
      <c r="AZ367" s="81"/>
      <c r="BA367" s="81"/>
      <c r="BB367" s="81"/>
      <c r="BC367" s="81"/>
      <c r="BD367" s="81"/>
      <c r="BE367" s="81"/>
      <c r="BF367" s="81"/>
    </row>
    <row r="368" ht="11.25" customHeight="1" spans="1:58">
      <c r="A368" s="297" t="s">
        <v>1008</v>
      </c>
      <c r="E368" s="53"/>
      <c r="F368" s="313"/>
      <c r="G368" s="314"/>
      <c r="H368" s="278" t="s">
        <v>1138</v>
      </c>
      <c r="I368" s="374"/>
      <c r="J368" s="375"/>
      <c r="K368" s="213"/>
      <c r="L368" s="140"/>
      <c r="M368" s="232"/>
      <c r="N368" s="380"/>
      <c r="O368" s="381"/>
      <c r="P368" s="227" t="s">
        <v>1055</v>
      </c>
      <c r="Q368" s="381"/>
      <c r="R368" s="381"/>
      <c r="S368" s="381"/>
      <c r="T368" s="381"/>
      <c r="U368" s="381"/>
      <c r="V368" s="381"/>
      <c r="W368" s="381"/>
      <c r="X368" s="381"/>
      <c r="Y368" s="381"/>
      <c r="Z368" s="381"/>
      <c r="AA368" s="381"/>
      <c r="AB368" s="381"/>
      <c r="AC368" s="381"/>
      <c r="AD368" s="381"/>
      <c r="AE368" s="426"/>
      <c r="AF368" s="423"/>
      <c r="AG368" s="432"/>
      <c r="AH368" s="432"/>
      <c r="AI368" s="423"/>
      <c r="AJ368" s="432"/>
      <c r="AK368" s="432"/>
      <c r="AL368" s="429"/>
      <c r="AM368" s="81"/>
      <c r="AN368" s="81"/>
      <c r="AO368" s="81"/>
      <c r="AP368" s="81"/>
      <c r="AQ368" s="81"/>
      <c r="AR368" s="81"/>
      <c r="AS368" s="81"/>
      <c r="AT368" s="81"/>
      <c r="AU368" s="81"/>
      <c r="AV368" s="81"/>
      <c r="AW368" s="81"/>
      <c r="AX368" s="81"/>
      <c r="AY368" s="81"/>
      <c r="AZ368" s="81"/>
      <c r="BA368" s="81"/>
      <c r="BB368" s="81"/>
      <c r="BC368" s="81"/>
      <c r="BD368" s="81"/>
      <c r="BE368" s="81"/>
      <c r="BF368" s="81"/>
    </row>
    <row r="369" ht="12" customHeight="1" spans="1:58">
      <c r="A369" s="297" t="s">
        <v>1008</v>
      </c>
      <c r="E369" s="53"/>
      <c r="F369" s="311"/>
      <c r="G369" s="312"/>
      <c r="H369" s="312"/>
      <c r="I369" s="322" t="s">
        <v>1189</v>
      </c>
      <c r="J369" s="322"/>
      <c r="K369" s="322"/>
      <c r="L369" s="363"/>
      <c r="M369" s="363"/>
      <c r="N369" s="364"/>
      <c r="O369" s="364"/>
      <c r="P369" s="364"/>
      <c r="Q369" s="364"/>
      <c r="R369" s="364"/>
      <c r="S369" s="364"/>
      <c r="T369" s="364"/>
      <c r="U369" s="364"/>
      <c r="V369" s="364"/>
      <c r="W369" s="364"/>
      <c r="X369" s="364"/>
      <c r="Y369" s="364"/>
      <c r="Z369" s="364"/>
      <c r="AA369" s="364"/>
      <c r="AB369" s="364"/>
      <c r="AC369" s="364"/>
      <c r="AD369" s="364"/>
      <c r="AE369" s="364"/>
      <c r="AF369" s="364"/>
      <c r="AG369" s="363"/>
      <c r="AH369" s="363"/>
      <c r="AI369" s="364"/>
      <c r="AJ369" s="363"/>
      <c r="AK369" s="364"/>
      <c r="AL369" s="429"/>
      <c r="AM369" s="81"/>
      <c r="AN369" s="81"/>
      <c r="AO369" s="81"/>
      <c r="AP369" s="81"/>
      <c r="AQ369" s="81"/>
      <c r="AR369" s="81"/>
      <c r="AS369" s="81"/>
      <c r="AT369" s="81"/>
      <c r="AU369" s="81"/>
      <c r="AV369" s="81"/>
      <c r="AW369" s="81"/>
      <c r="AX369" s="81"/>
      <c r="AY369" s="81"/>
      <c r="AZ369" s="81"/>
      <c r="BA369" s="81"/>
      <c r="BB369" s="81"/>
      <c r="BC369" s="81"/>
      <c r="BD369" s="81"/>
      <c r="BE369" s="81"/>
      <c r="BF369" s="81"/>
    </row>
    <row r="370" customHeight="1" spans="5:59">
      <c r="E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43">
        <v>10</v>
      </c>
    </row>
    <row r="371" ht="13.5" customHeight="1" spans="5:59">
      <c r="E371" s="81"/>
      <c r="F371" s="503" t="s">
        <v>1217</v>
      </c>
      <c r="G371" s="503"/>
      <c r="H371" s="503"/>
      <c r="I371" s="503"/>
      <c r="J371" s="503"/>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43">
        <v>13</v>
      </c>
    </row>
    <row r="372" customHeight="1" spans="59:59">
      <c r="BG372" s="43">
        <v>10</v>
      </c>
    </row>
    <row r="373" customHeight="1" spans="5:59">
      <c r="E373" s="81"/>
      <c r="F373" s="42"/>
      <c r="G373" s="42"/>
      <c r="H373" s="42"/>
      <c r="I373" s="42"/>
      <c r="J373" s="42"/>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43">
        <v>10</v>
      </c>
    </row>
    <row r="374" customHeight="1" spans="5:59">
      <c r="E374" s="81"/>
      <c r="F374" s="42"/>
      <c r="G374" s="42"/>
      <c r="H374" s="42"/>
      <c r="I374" s="42"/>
      <c r="J374" s="42"/>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43">
        <v>10</v>
      </c>
    </row>
    <row r="375" customHeight="1" spans="5:59">
      <c r="E375" s="81"/>
      <c r="F375" s="42"/>
      <c r="G375" s="42"/>
      <c r="H375" s="42"/>
      <c r="I375" s="42"/>
      <c r="J375" s="42"/>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43">
        <v>10</v>
      </c>
    </row>
    <row r="376" hidden="1" customHeight="1" spans="1:59">
      <c r="A376" s="297" t="s">
        <v>83</v>
      </c>
      <c r="B376" s="297">
        <v>0</v>
      </c>
      <c r="C376" s="297">
        <v>0</v>
      </c>
      <c r="D376" s="38">
        <v>0</v>
      </c>
      <c r="E376" s="43">
        <v>3</v>
      </c>
      <c r="F376" s="43">
        <v>14</v>
      </c>
      <c r="G376" s="43">
        <v>3</v>
      </c>
      <c r="H376" s="43">
        <v>7</v>
      </c>
      <c r="I376" s="43">
        <v>16</v>
      </c>
      <c r="J376" s="43">
        <v>16</v>
      </c>
      <c r="K376" s="43">
        <v>25</v>
      </c>
      <c r="L376" s="43">
        <v>7</v>
      </c>
      <c r="M376" s="43">
        <v>15</v>
      </c>
      <c r="N376" s="43">
        <v>3</v>
      </c>
      <c r="O376" s="43">
        <v>4</v>
      </c>
      <c r="P376" s="43">
        <v>8</v>
      </c>
      <c r="Q376" s="43">
        <v>21</v>
      </c>
      <c r="R376" s="43">
        <v>14</v>
      </c>
      <c r="S376" s="43">
        <v>17</v>
      </c>
      <c r="T376" s="43">
        <v>17</v>
      </c>
      <c r="U376" s="43">
        <v>9</v>
      </c>
      <c r="V376" s="43">
        <v>12</v>
      </c>
      <c r="W376" s="43">
        <v>9</v>
      </c>
      <c r="X376" s="43">
        <v>21</v>
      </c>
      <c r="Y376" s="43">
        <v>12</v>
      </c>
      <c r="Z376" s="43">
        <v>3</v>
      </c>
      <c r="AA376" s="43">
        <v>6</v>
      </c>
      <c r="AB376" s="43">
        <v>38</v>
      </c>
      <c r="AC376" s="43">
        <v>15</v>
      </c>
      <c r="AD376" s="43">
        <v>0</v>
      </c>
      <c r="AE376" s="43">
        <v>0</v>
      </c>
      <c r="AF376" s="43">
        <v>16</v>
      </c>
      <c r="AG376" s="43">
        <v>16</v>
      </c>
      <c r="AH376" s="43">
        <v>16</v>
      </c>
      <c r="AI376" s="43">
        <v>0</v>
      </c>
      <c r="AJ376" s="43">
        <v>0</v>
      </c>
      <c r="AK376" s="43">
        <v>0</v>
      </c>
      <c r="AL376" s="43">
        <v>8</v>
      </c>
      <c r="AM376" s="43">
        <v>8</v>
      </c>
      <c r="AN376" s="43">
        <v>8</v>
      </c>
      <c r="AO376" s="43">
        <v>8</v>
      </c>
      <c r="AP376" s="43">
        <v>8</v>
      </c>
      <c r="AQ376" s="43">
        <v>8</v>
      </c>
      <c r="AR376" s="43">
        <v>8</v>
      </c>
      <c r="AS376" s="43">
        <v>8</v>
      </c>
      <c r="AT376" s="43">
        <v>8</v>
      </c>
      <c r="AU376" s="43">
        <v>8</v>
      </c>
      <c r="AV376" s="43">
        <v>8</v>
      </c>
      <c r="AW376" s="43">
        <v>8</v>
      </c>
      <c r="AX376" s="43">
        <v>8</v>
      </c>
      <c r="AY376" s="43">
        <v>8</v>
      </c>
      <c r="AZ376" s="43">
        <v>8</v>
      </c>
      <c r="BA376" s="43">
        <v>8</v>
      </c>
      <c r="BB376" s="43">
        <v>8</v>
      </c>
      <c r="BC376" s="43">
        <v>8</v>
      </c>
      <c r="BD376" s="43">
        <v>8</v>
      </c>
      <c r="BE376" s="43">
        <v>8</v>
      </c>
      <c r="BF376" s="43">
        <v>8</v>
      </c>
      <c r="BG376" s="43">
        <v>10</v>
      </c>
    </row>
  </sheetData>
  <sheetProtection formatColumns="0" formatRows="0" insertRows="0" deleteColumns="0" deleteRows="0" sort="0" autoFilter="0"/>
  <mergeCells count="1782">
    <mergeCell ref="F5:K5"/>
    <mergeCell ref="F6:K6"/>
    <mergeCell ref="F8:AK8"/>
    <mergeCell ref="K9:Y9"/>
    <mergeCell ref="L10:M10"/>
    <mergeCell ref="N10:Y10"/>
    <mergeCell ref="S11:Y11"/>
    <mergeCell ref="AB11:AC11"/>
    <mergeCell ref="AD11:AE11"/>
    <mergeCell ref="I226:K226"/>
    <mergeCell ref="I369:K369"/>
    <mergeCell ref="F373:J373"/>
    <mergeCell ref="F374:J374"/>
    <mergeCell ref="F375:J375"/>
    <mergeCell ref="F9:F12"/>
    <mergeCell ref="F15:F226"/>
    <mergeCell ref="F228:F369"/>
    <mergeCell ref="G15:G19"/>
    <mergeCell ref="G20:G24"/>
    <mergeCell ref="G25:G29"/>
    <mergeCell ref="G30:G34"/>
    <mergeCell ref="G35:G39"/>
    <mergeCell ref="G40:G44"/>
    <mergeCell ref="G45:G49"/>
    <mergeCell ref="G50:G54"/>
    <mergeCell ref="G55:G59"/>
    <mergeCell ref="G60:G64"/>
    <mergeCell ref="G65:G69"/>
    <mergeCell ref="G70:G74"/>
    <mergeCell ref="G75:G79"/>
    <mergeCell ref="G80:G84"/>
    <mergeCell ref="G85:G89"/>
    <mergeCell ref="G90:G94"/>
    <mergeCell ref="G95:G99"/>
    <mergeCell ref="G100:G104"/>
    <mergeCell ref="G105:G109"/>
    <mergeCell ref="G110:G114"/>
    <mergeCell ref="G115:G119"/>
    <mergeCell ref="G120:G124"/>
    <mergeCell ref="G125:G129"/>
    <mergeCell ref="G130:G134"/>
    <mergeCell ref="G135:G139"/>
    <mergeCell ref="G140:G144"/>
    <mergeCell ref="G145:G149"/>
    <mergeCell ref="G150:G154"/>
    <mergeCell ref="G155:G159"/>
    <mergeCell ref="G160:G164"/>
    <mergeCell ref="G165:G169"/>
    <mergeCell ref="G170:G174"/>
    <mergeCell ref="G175:G179"/>
    <mergeCell ref="G180:G184"/>
    <mergeCell ref="G185:G189"/>
    <mergeCell ref="G190:G194"/>
    <mergeCell ref="G195:G199"/>
    <mergeCell ref="G200:G204"/>
    <mergeCell ref="G205:G210"/>
    <mergeCell ref="G211:G215"/>
    <mergeCell ref="G216:G220"/>
    <mergeCell ref="G221:G225"/>
    <mergeCell ref="G228:G232"/>
    <mergeCell ref="G233:G237"/>
    <mergeCell ref="G238:G242"/>
    <mergeCell ref="G243:G247"/>
    <mergeCell ref="G248:G252"/>
    <mergeCell ref="G253:G257"/>
    <mergeCell ref="G258:G262"/>
    <mergeCell ref="G263:G267"/>
    <mergeCell ref="G268:G272"/>
    <mergeCell ref="G273:G277"/>
    <mergeCell ref="G278:G282"/>
    <mergeCell ref="G283:G287"/>
    <mergeCell ref="G288:G292"/>
    <mergeCell ref="G293:G297"/>
    <mergeCell ref="G298:G302"/>
    <mergeCell ref="G303:G307"/>
    <mergeCell ref="G308:G312"/>
    <mergeCell ref="G313:G317"/>
    <mergeCell ref="G318:G322"/>
    <mergeCell ref="G323:G327"/>
    <mergeCell ref="G328:G332"/>
    <mergeCell ref="G333:G337"/>
    <mergeCell ref="G338:G342"/>
    <mergeCell ref="G343:G347"/>
    <mergeCell ref="G348:G352"/>
    <mergeCell ref="G353:G357"/>
    <mergeCell ref="G358:G362"/>
    <mergeCell ref="G363:G368"/>
    <mergeCell ref="H15:H19"/>
    <mergeCell ref="H20:H24"/>
    <mergeCell ref="H25:H29"/>
    <mergeCell ref="H30:H34"/>
    <mergeCell ref="H35:H39"/>
    <mergeCell ref="H40:H44"/>
    <mergeCell ref="H45:H49"/>
    <mergeCell ref="H50:H54"/>
    <mergeCell ref="H55:H59"/>
    <mergeCell ref="H60:H64"/>
    <mergeCell ref="H65:H69"/>
    <mergeCell ref="H70:H74"/>
    <mergeCell ref="H75:H79"/>
    <mergeCell ref="H80:H84"/>
    <mergeCell ref="H85:H89"/>
    <mergeCell ref="H90:H94"/>
    <mergeCell ref="H95:H99"/>
    <mergeCell ref="H100:H104"/>
    <mergeCell ref="H105:H109"/>
    <mergeCell ref="H110:H114"/>
    <mergeCell ref="H115:H119"/>
    <mergeCell ref="H120:H124"/>
    <mergeCell ref="H125:H129"/>
    <mergeCell ref="H130:H134"/>
    <mergeCell ref="H135:H139"/>
    <mergeCell ref="H140:H144"/>
    <mergeCell ref="H145:H149"/>
    <mergeCell ref="H150:H154"/>
    <mergeCell ref="H155:H159"/>
    <mergeCell ref="H160:H164"/>
    <mergeCell ref="H165:H169"/>
    <mergeCell ref="H170:H174"/>
    <mergeCell ref="H175:H179"/>
    <mergeCell ref="H180:H184"/>
    <mergeCell ref="H185:H189"/>
    <mergeCell ref="H190:H194"/>
    <mergeCell ref="H195:H199"/>
    <mergeCell ref="H200:H204"/>
    <mergeCell ref="H205:H210"/>
    <mergeCell ref="H211:H215"/>
    <mergeCell ref="H216:H220"/>
    <mergeCell ref="H221:H225"/>
    <mergeCell ref="H228:H232"/>
    <mergeCell ref="H233:H237"/>
    <mergeCell ref="H238:H242"/>
    <mergeCell ref="H243:H247"/>
    <mergeCell ref="H248:H252"/>
    <mergeCell ref="H253:H257"/>
    <mergeCell ref="H258:H262"/>
    <mergeCell ref="H263:H267"/>
    <mergeCell ref="H268:H272"/>
    <mergeCell ref="H273:H277"/>
    <mergeCell ref="H278:H282"/>
    <mergeCell ref="H283:H287"/>
    <mergeCell ref="H288:H292"/>
    <mergeCell ref="H293:H297"/>
    <mergeCell ref="H298:H302"/>
    <mergeCell ref="H303:H307"/>
    <mergeCell ref="H308:H312"/>
    <mergeCell ref="H313:H317"/>
    <mergeCell ref="H318:H322"/>
    <mergeCell ref="H323:H327"/>
    <mergeCell ref="H328:H332"/>
    <mergeCell ref="H333:H337"/>
    <mergeCell ref="H338:H342"/>
    <mergeCell ref="H343:H347"/>
    <mergeCell ref="H348:H352"/>
    <mergeCell ref="H353:H357"/>
    <mergeCell ref="H358:H362"/>
    <mergeCell ref="H363:H368"/>
    <mergeCell ref="I15:I19"/>
    <mergeCell ref="I20:I24"/>
    <mergeCell ref="I25:I29"/>
    <mergeCell ref="I30:I34"/>
    <mergeCell ref="I35:I39"/>
    <mergeCell ref="I40:I44"/>
    <mergeCell ref="I45:I49"/>
    <mergeCell ref="I50:I54"/>
    <mergeCell ref="I55:I59"/>
    <mergeCell ref="I60:I64"/>
    <mergeCell ref="I65:I69"/>
    <mergeCell ref="I70:I74"/>
    <mergeCell ref="I75:I79"/>
    <mergeCell ref="I80:I84"/>
    <mergeCell ref="I85:I89"/>
    <mergeCell ref="I90:I94"/>
    <mergeCell ref="I95:I99"/>
    <mergeCell ref="I100:I104"/>
    <mergeCell ref="I105:I109"/>
    <mergeCell ref="I110:I114"/>
    <mergeCell ref="I115:I119"/>
    <mergeCell ref="I120:I124"/>
    <mergeCell ref="I125:I129"/>
    <mergeCell ref="I130:I134"/>
    <mergeCell ref="I135:I139"/>
    <mergeCell ref="I140:I144"/>
    <mergeCell ref="I145:I149"/>
    <mergeCell ref="I150:I154"/>
    <mergeCell ref="I155:I159"/>
    <mergeCell ref="I160:I164"/>
    <mergeCell ref="I165:I169"/>
    <mergeCell ref="I170:I174"/>
    <mergeCell ref="I175:I179"/>
    <mergeCell ref="I180:I184"/>
    <mergeCell ref="I185:I189"/>
    <mergeCell ref="I190:I194"/>
    <mergeCell ref="I195:I199"/>
    <mergeCell ref="I200:I204"/>
    <mergeCell ref="I205:I210"/>
    <mergeCell ref="I211:I215"/>
    <mergeCell ref="I216:I220"/>
    <mergeCell ref="I221:I225"/>
    <mergeCell ref="I228:I232"/>
    <mergeCell ref="I233:I237"/>
    <mergeCell ref="I238:I242"/>
    <mergeCell ref="I243:I247"/>
    <mergeCell ref="I248:I252"/>
    <mergeCell ref="I253:I257"/>
    <mergeCell ref="I258:I262"/>
    <mergeCell ref="I263:I267"/>
    <mergeCell ref="I268:I272"/>
    <mergeCell ref="I273:I277"/>
    <mergeCell ref="I278:I282"/>
    <mergeCell ref="I283:I287"/>
    <mergeCell ref="I288:I292"/>
    <mergeCell ref="I293:I297"/>
    <mergeCell ref="I298:I302"/>
    <mergeCell ref="I303:I307"/>
    <mergeCell ref="I308:I312"/>
    <mergeCell ref="I313:I317"/>
    <mergeCell ref="I318:I322"/>
    <mergeCell ref="I323:I327"/>
    <mergeCell ref="I328:I332"/>
    <mergeCell ref="I333:I337"/>
    <mergeCell ref="I338:I342"/>
    <mergeCell ref="I343:I347"/>
    <mergeCell ref="I348:I352"/>
    <mergeCell ref="I353:I357"/>
    <mergeCell ref="I358:I362"/>
    <mergeCell ref="I363:I368"/>
    <mergeCell ref="J15:J19"/>
    <mergeCell ref="J20:J24"/>
    <mergeCell ref="J25:J29"/>
    <mergeCell ref="J30:J34"/>
    <mergeCell ref="J35:J39"/>
    <mergeCell ref="J40:J44"/>
    <mergeCell ref="J45:J49"/>
    <mergeCell ref="J50:J54"/>
    <mergeCell ref="J55:J59"/>
    <mergeCell ref="J60:J64"/>
    <mergeCell ref="J65:J69"/>
    <mergeCell ref="J70:J74"/>
    <mergeCell ref="J75:J79"/>
    <mergeCell ref="J80:J84"/>
    <mergeCell ref="J85:J89"/>
    <mergeCell ref="J90:J94"/>
    <mergeCell ref="J95:J99"/>
    <mergeCell ref="J100:J104"/>
    <mergeCell ref="J105:J109"/>
    <mergeCell ref="J110:J114"/>
    <mergeCell ref="J115:J119"/>
    <mergeCell ref="J120:J124"/>
    <mergeCell ref="J125:J129"/>
    <mergeCell ref="J130:J134"/>
    <mergeCell ref="J135:J139"/>
    <mergeCell ref="J140:J144"/>
    <mergeCell ref="J145:J149"/>
    <mergeCell ref="J150:J154"/>
    <mergeCell ref="J155:J159"/>
    <mergeCell ref="J160:J164"/>
    <mergeCell ref="J165:J169"/>
    <mergeCell ref="J170:J174"/>
    <mergeCell ref="J175:J179"/>
    <mergeCell ref="J180:J184"/>
    <mergeCell ref="J185:J189"/>
    <mergeCell ref="J190:J194"/>
    <mergeCell ref="J195:J199"/>
    <mergeCell ref="J200:J204"/>
    <mergeCell ref="J205:J210"/>
    <mergeCell ref="J211:J215"/>
    <mergeCell ref="J216:J220"/>
    <mergeCell ref="J221:J225"/>
    <mergeCell ref="J228:J232"/>
    <mergeCell ref="J233:J237"/>
    <mergeCell ref="J238:J242"/>
    <mergeCell ref="J243:J247"/>
    <mergeCell ref="J248:J252"/>
    <mergeCell ref="J253:J257"/>
    <mergeCell ref="J258:J262"/>
    <mergeCell ref="J263:J267"/>
    <mergeCell ref="J268:J272"/>
    <mergeCell ref="J273:J277"/>
    <mergeCell ref="J278:J282"/>
    <mergeCell ref="J283:J287"/>
    <mergeCell ref="J288:J292"/>
    <mergeCell ref="J293:J297"/>
    <mergeCell ref="J298:J302"/>
    <mergeCell ref="J303:J307"/>
    <mergeCell ref="J308:J312"/>
    <mergeCell ref="J313:J317"/>
    <mergeCell ref="J318:J322"/>
    <mergeCell ref="J323:J327"/>
    <mergeCell ref="J328:J332"/>
    <mergeCell ref="J333:J337"/>
    <mergeCell ref="J338:J342"/>
    <mergeCell ref="J343:J347"/>
    <mergeCell ref="J348:J352"/>
    <mergeCell ref="J353:J357"/>
    <mergeCell ref="J358:J362"/>
    <mergeCell ref="J363:J368"/>
    <mergeCell ref="K10:K12"/>
    <mergeCell ref="K15:K19"/>
    <mergeCell ref="K20:K24"/>
    <mergeCell ref="K25:K29"/>
    <mergeCell ref="K30:K34"/>
    <mergeCell ref="K35:K39"/>
    <mergeCell ref="K40:K44"/>
    <mergeCell ref="K45:K49"/>
    <mergeCell ref="K50:K54"/>
    <mergeCell ref="K55:K59"/>
    <mergeCell ref="K60:K64"/>
    <mergeCell ref="K65:K69"/>
    <mergeCell ref="K70:K74"/>
    <mergeCell ref="K75:K79"/>
    <mergeCell ref="K80:K84"/>
    <mergeCell ref="K85:K89"/>
    <mergeCell ref="K90:K94"/>
    <mergeCell ref="K95:K99"/>
    <mergeCell ref="K100:K104"/>
    <mergeCell ref="K105:K109"/>
    <mergeCell ref="K110:K114"/>
    <mergeCell ref="K115:K119"/>
    <mergeCell ref="K120:K124"/>
    <mergeCell ref="K125:K129"/>
    <mergeCell ref="K130:K134"/>
    <mergeCell ref="K135:K139"/>
    <mergeCell ref="K140:K144"/>
    <mergeCell ref="K145:K149"/>
    <mergeCell ref="K150:K154"/>
    <mergeCell ref="K155:K159"/>
    <mergeCell ref="K160:K164"/>
    <mergeCell ref="K165:K169"/>
    <mergeCell ref="K170:K174"/>
    <mergeCell ref="K175:K179"/>
    <mergeCell ref="K180:K184"/>
    <mergeCell ref="K185:K189"/>
    <mergeCell ref="K190:K194"/>
    <mergeCell ref="K195:K199"/>
    <mergeCell ref="K200:K204"/>
    <mergeCell ref="K205:K210"/>
    <mergeCell ref="K211:K215"/>
    <mergeCell ref="K216:K220"/>
    <mergeCell ref="K221:K225"/>
    <mergeCell ref="K228:K232"/>
    <mergeCell ref="K233:K237"/>
    <mergeCell ref="K238:K242"/>
    <mergeCell ref="K243:K247"/>
    <mergeCell ref="K248:K252"/>
    <mergeCell ref="K253:K257"/>
    <mergeCell ref="K258:K262"/>
    <mergeCell ref="K263:K267"/>
    <mergeCell ref="K268:K272"/>
    <mergeCell ref="K273:K277"/>
    <mergeCell ref="K278:K282"/>
    <mergeCell ref="K283:K287"/>
    <mergeCell ref="K288:K292"/>
    <mergeCell ref="K293:K297"/>
    <mergeCell ref="K298:K302"/>
    <mergeCell ref="K303:K307"/>
    <mergeCell ref="K308:K312"/>
    <mergeCell ref="K313:K317"/>
    <mergeCell ref="K318:K322"/>
    <mergeCell ref="K323:K327"/>
    <mergeCell ref="K328:K332"/>
    <mergeCell ref="K333:K337"/>
    <mergeCell ref="K338:K342"/>
    <mergeCell ref="K343:K347"/>
    <mergeCell ref="K348:K352"/>
    <mergeCell ref="K353:K357"/>
    <mergeCell ref="K358:K362"/>
    <mergeCell ref="K363:K368"/>
    <mergeCell ref="L11:L12"/>
    <mergeCell ref="L15:L19"/>
    <mergeCell ref="L20:L24"/>
    <mergeCell ref="L25:L29"/>
    <mergeCell ref="L30:L34"/>
    <mergeCell ref="L35:L39"/>
    <mergeCell ref="L40:L44"/>
    <mergeCell ref="L45:L49"/>
    <mergeCell ref="L50:L54"/>
    <mergeCell ref="L55:L59"/>
    <mergeCell ref="L60:L64"/>
    <mergeCell ref="L65:L69"/>
    <mergeCell ref="L70:L74"/>
    <mergeCell ref="L75:L79"/>
    <mergeCell ref="L80:L84"/>
    <mergeCell ref="L85:L89"/>
    <mergeCell ref="L90:L94"/>
    <mergeCell ref="L95:L99"/>
    <mergeCell ref="L100:L104"/>
    <mergeCell ref="L105:L109"/>
    <mergeCell ref="L110:L114"/>
    <mergeCell ref="L115:L119"/>
    <mergeCell ref="L120:L124"/>
    <mergeCell ref="L125:L129"/>
    <mergeCell ref="L130:L134"/>
    <mergeCell ref="L135:L139"/>
    <mergeCell ref="L140:L144"/>
    <mergeCell ref="L145:L149"/>
    <mergeCell ref="L150:L154"/>
    <mergeCell ref="L155:L159"/>
    <mergeCell ref="L160:L164"/>
    <mergeCell ref="L165:L169"/>
    <mergeCell ref="L170:L174"/>
    <mergeCell ref="L175:L179"/>
    <mergeCell ref="L180:L184"/>
    <mergeCell ref="L185:L189"/>
    <mergeCell ref="L190:L194"/>
    <mergeCell ref="L195:L199"/>
    <mergeCell ref="L200:L204"/>
    <mergeCell ref="L205:L210"/>
    <mergeCell ref="L211:L215"/>
    <mergeCell ref="L216:L220"/>
    <mergeCell ref="L221:L225"/>
    <mergeCell ref="L228:L232"/>
    <mergeCell ref="L233:L237"/>
    <mergeCell ref="L238:L242"/>
    <mergeCell ref="L243:L247"/>
    <mergeCell ref="L248:L252"/>
    <mergeCell ref="L253:L257"/>
    <mergeCell ref="L258:L262"/>
    <mergeCell ref="L263:L267"/>
    <mergeCell ref="L268:L272"/>
    <mergeCell ref="L273:L277"/>
    <mergeCell ref="L278:L282"/>
    <mergeCell ref="L283:L287"/>
    <mergeCell ref="L288:L292"/>
    <mergeCell ref="L293:L297"/>
    <mergeCell ref="L298:L302"/>
    <mergeCell ref="L303:L307"/>
    <mergeCell ref="L308:L312"/>
    <mergeCell ref="L313:L317"/>
    <mergeCell ref="L318:L322"/>
    <mergeCell ref="L323:L327"/>
    <mergeCell ref="L328:L332"/>
    <mergeCell ref="L333:L337"/>
    <mergeCell ref="L338:L342"/>
    <mergeCell ref="L343:L347"/>
    <mergeCell ref="L348:L352"/>
    <mergeCell ref="L353:L357"/>
    <mergeCell ref="L358:L362"/>
    <mergeCell ref="L363:L368"/>
    <mergeCell ref="M11:M12"/>
    <mergeCell ref="M15:M19"/>
    <mergeCell ref="M20:M24"/>
    <mergeCell ref="M25:M29"/>
    <mergeCell ref="M30:M34"/>
    <mergeCell ref="M35:M39"/>
    <mergeCell ref="M40:M44"/>
    <mergeCell ref="M45:M49"/>
    <mergeCell ref="M50:M54"/>
    <mergeCell ref="M55:M59"/>
    <mergeCell ref="M60:M64"/>
    <mergeCell ref="M65:M69"/>
    <mergeCell ref="M70:M74"/>
    <mergeCell ref="M75:M79"/>
    <mergeCell ref="M80:M84"/>
    <mergeCell ref="M85:M89"/>
    <mergeCell ref="M90:M94"/>
    <mergeCell ref="M95:M99"/>
    <mergeCell ref="M100:M104"/>
    <mergeCell ref="M105:M109"/>
    <mergeCell ref="M110:M114"/>
    <mergeCell ref="M115:M119"/>
    <mergeCell ref="M120:M124"/>
    <mergeCell ref="M125:M129"/>
    <mergeCell ref="M130:M134"/>
    <mergeCell ref="M135:M139"/>
    <mergeCell ref="M140:M144"/>
    <mergeCell ref="M145:M149"/>
    <mergeCell ref="M150:M154"/>
    <mergeCell ref="M155:M159"/>
    <mergeCell ref="M160:M164"/>
    <mergeCell ref="M165:M169"/>
    <mergeCell ref="M170:M174"/>
    <mergeCell ref="M175:M179"/>
    <mergeCell ref="M180:M184"/>
    <mergeCell ref="M185:M189"/>
    <mergeCell ref="M190:M194"/>
    <mergeCell ref="M195:M199"/>
    <mergeCell ref="M200:M204"/>
    <mergeCell ref="M205:M210"/>
    <mergeCell ref="M211:M215"/>
    <mergeCell ref="M216:M220"/>
    <mergeCell ref="M221:M225"/>
    <mergeCell ref="M228:M232"/>
    <mergeCell ref="M233:M237"/>
    <mergeCell ref="M238:M242"/>
    <mergeCell ref="M243:M247"/>
    <mergeCell ref="M248:M252"/>
    <mergeCell ref="M253:M257"/>
    <mergeCell ref="M258:M262"/>
    <mergeCell ref="M263:M267"/>
    <mergeCell ref="M268:M272"/>
    <mergeCell ref="M273:M277"/>
    <mergeCell ref="M278:M282"/>
    <mergeCell ref="M283:M287"/>
    <mergeCell ref="M288:M292"/>
    <mergeCell ref="M293:M297"/>
    <mergeCell ref="M298:M302"/>
    <mergeCell ref="M303:M307"/>
    <mergeCell ref="M308:M312"/>
    <mergeCell ref="M313:M317"/>
    <mergeCell ref="M318:M322"/>
    <mergeCell ref="M323:M327"/>
    <mergeCell ref="M328:M332"/>
    <mergeCell ref="M333:M337"/>
    <mergeCell ref="M338:M342"/>
    <mergeCell ref="M343:M347"/>
    <mergeCell ref="M348:M352"/>
    <mergeCell ref="M353:M357"/>
    <mergeCell ref="M358:M362"/>
    <mergeCell ref="M363:M368"/>
    <mergeCell ref="N16:N18"/>
    <mergeCell ref="N21:N23"/>
    <mergeCell ref="N26:N28"/>
    <mergeCell ref="N31:N33"/>
    <mergeCell ref="N36:N38"/>
    <mergeCell ref="N41:N43"/>
    <mergeCell ref="N46:N48"/>
    <mergeCell ref="N51:N53"/>
    <mergeCell ref="N56:N58"/>
    <mergeCell ref="N61:N63"/>
    <mergeCell ref="N66:N68"/>
    <mergeCell ref="N71:N73"/>
    <mergeCell ref="N76:N78"/>
    <mergeCell ref="N81:N83"/>
    <mergeCell ref="N86:N88"/>
    <mergeCell ref="N91:N93"/>
    <mergeCell ref="N96:N98"/>
    <mergeCell ref="N101:N103"/>
    <mergeCell ref="N106:N108"/>
    <mergeCell ref="N111:N113"/>
    <mergeCell ref="N116:N118"/>
    <mergeCell ref="N121:N123"/>
    <mergeCell ref="N126:N128"/>
    <mergeCell ref="N131:N133"/>
    <mergeCell ref="N136:N138"/>
    <mergeCell ref="N141:N143"/>
    <mergeCell ref="N146:N148"/>
    <mergeCell ref="N151:N153"/>
    <mergeCell ref="N156:N158"/>
    <mergeCell ref="N161:N163"/>
    <mergeCell ref="N166:N168"/>
    <mergeCell ref="N171:N173"/>
    <mergeCell ref="N176:N178"/>
    <mergeCell ref="N181:N183"/>
    <mergeCell ref="N186:N188"/>
    <mergeCell ref="N191:N193"/>
    <mergeCell ref="N196:N198"/>
    <mergeCell ref="N201:N203"/>
    <mergeCell ref="N206:N209"/>
    <mergeCell ref="N212:N214"/>
    <mergeCell ref="N217:N219"/>
    <mergeCell ref="N222:N224"/>
    <mergeCell ref="N229:N231"/>
    <mergeCell ref="N234:N236"/>
    <mergeCell ref="N239:N241"/>
    <mergeCell ref="N244:N246"/>
    <mergeCell ref="N249:N251"/>
    <mergeCell ref="N254:N256"/>
    <mergeCell ref="N259:N261"/>
    <mergeCell ref="N264:N266"/>
    <mergeCell ref="N269:N271"/>
    <mergeCell ref="N274:N276"/>
    <mergeCell ref="N279:N281"/>
    <mergeCell ref="N284:N286"/>
    <mergeCell ref="N289:N291"/>
    <mergeCell ref="N294:N296"/>
    <mergeCell ref="N299:N301"/>
    <mergeCell ref="N304:N306"/>
    <mergeCell ref="N309:N311"/>
    <mergeCell ref="N314:N316"/>
    <mergeCell ref="N319:N321"/>
    <mergeCell ref="N324:N326"/>
    <mergeCell ref="N329:N331"/>
    <mergeCell ref="N334:N336"/>
    <mergeCell ref="N339:N341"/>
    <mergeCell ref="N344:N346"/>
    <mergeCell ref="N349:N351"/>
    <mergeCell ref="N354:N356"/>
    <mergeCell ref="N359:N361"/>
    <mergeCell ref="N364:N367"/>
    <mergeCell ref="O16:O18"/>
    <mergeCell ref="O21:O23"/>
    <mergeCell ref="O26:O28"/>
    <mergeCell ref="O31:O33"/>
    <mergeCell ref="O36:O38"/>
    <mergeCell ref="O41:O43"/>
    <mergeCell ref="O46:O48"/>
    <mergeCell ref="O51:O53"/>
    <mergeCell ref="O56:O58"/>
    <mergeCell ref="O61:O63"/>
    <mergeCell ref="O66:O68"/>
    <mergeCell ref="O71:O73"/>
    <mergeCell ref="O76:O78"/>
    <mergeCell ref="O81:O83"/>
    <mergeCell ref="O86:O88"/>
    <mergeCell ref="O91:O93"/>
    <mergeCell ref="O96:O98"/>
    <mergeCell ref="O101:O103"/>
    <mergeCell ref="O106:O108"/>
    <mergeCell ref="O111:O113"/>
    <mergeCell ref="O116:O118"/>
    <mergeCell ref="O121:O123"/>
    <mergeCell ref="O126:O128"/>
    <mergeCell ref="O131:O133"/>
    <mergeCell ref="O136:O138"/>
    <mergeCell ref="O141:O143"/>
    <mergeCell ref="O146:O148"/>
    <mergeCell ref="O151:O153"/>
    <mergeCell ref="O156:O158"/>
    <mergeCell ref="O161:O163"/>
    <mergeCell ref="O166:O168"/>
    <mergeCell ref="O171:O173"/>
    <mergeCell ref="O176:O178"/>
    <mergeCell ref="O181:O183"/>
    <mergeCell ref="O186:O188"/>
    <mergeCell ref="O191:O193"/>
    <mergeCell ref="O196:O198"/>
    <mergeCell ref="O201:O203"/>
    <mergeCell ref="O206:O209"/>
    <mergeCell ref="O212:O214"/>
    <mergeCell ref="O217:O219"/>
    <mergeCell ref="O222:O224"/>
    <mergeCell ref="O229:O231"/>
    <mergeCell ref="O234:O236"/>
    <mergeCell ref="O239:O241"/>
    <mergeCell ref="O244:O246"/>
    <mergeCell ref="O249:O251"/>
    <mergeCell ref="O254:O256"/>
    <mergeCell ref="O259:O261"/>
    <mergeCell ref="O264:O266"/>
    <mergeCell ref="O269:O271"/>
    <mergeCell ref="O274:O276"/>
    <mergeCell ref="O279:O281"/>
    <mergeCell ref="O284:O286"/>
    <mergeCell ref="O289:O291"/>
    <mergeCell ref="O294:O296"/>
    <mergeCell ref="O299:O301"/>
    <mergeCell ref="O304:O306"/>
    <mergeCell ref="O309:O311"/>
    <mergeCell ref="O314:O316"/>
    <mergeCell ref="O319:O321"/>
    <mergeCell ref="O324:O326"/>
    <mergeCell ref="O329:O331"/>
    <mergeCell ref="O334:O336"/>
    <mergeCell ref="O339:O341"/>
    <mergeCell ref="O344:O346"/>
    <mergeCell ref="O349:O351"/>
    <mergeCell ref="O354:O356"/>
    <mergeCell ref="O359:O361"/>
    <mergeCell ref="O364:O367"/>
    <mergeCell ref="P11:P12"/>
    <mergeCell ref="P16:P18"/>
    <mergeCell ref="P21:P23"/>
    <mergeCell ref="P26:P28"/>
    <mergeCell ref="P31:P33"/>
    <mergeCell ref="P36:P38"/>
    <mergeCell ref="P41:P43"/>
    <mergeCell ref="P46:P48"/>
    <mergeCell ref="P51:P53"/>
    <mergeCell ref="P56:P58"/>
    <mergeCell ref="P61:P63"/>
    <mergeCell ref="P66:P68"/>
    <mergeCell ref="P71:P73"/>
    <mergeCell ref="P76:P78"/>
    <mergeCell ref="P81:P83"/>
    <mergeCell ref="P86:P88"/>
    <mergeCell ref="P91:P93"/>
    <mergeCell ref="P96:P98"/>
    <mergeCell ref="P101:P103"/>
    <mergeCell ref="P106:P108"/>
    <mergeCell ref="P111:P113"/>
    <mergeCell ref="P116:P118"/>
    <mergeCell ref="P121:P123"/>
    <mergeCell ref="P126:P128"/>
    <mergeCell ref="P131:P133"/>
    <mergeCell ref="P136:P138"/>
    <mergeCell ref="P141:P143"/>
    <mergeCell ref="P146:P148"/>
    <mergeCell ref="P151:P153"/>
    <mergeCell ref="P156:P158"/>
    <mergeCell ref="P161:P163"/>
    <mergeCell ref="P166:P168"/>
    <mergeCell ref="P171:P173"/>
    <mergeCell ref="P176:P178"/>
    <mergeCell ref="P181:P183"/>
    <mergeCell ref="P186:P188"/>
    <mergeCell ref="P191:P193"/>
    <mergeCell ref="P196:P198"/>
    <mergeCell ref="P201:P203"/>
    <mergeCell ref="P206:P209"/>
    <mergeCell ref="P212:P214"/>
    <mergeCell ref="P217:P219"/>
    <mergeCell ref="P222:P224"/>
    <mergeCell ref="P229:P231"/>
    <mergeCell ref="P234:P236"/>
    <mergeCell ref="P239:P241"/>
    <mergeCell ref="P244:P246"/>
    <mergeCell ref="P249:P251"/>
    <mergeCell ref="P254:P256"/>
    <mergeCell ref="P259:P261"/>
    <mergeCell ref="P264:P266"/>
    <mergeCell ref="P269:P271"/>
    <mergeCell ref="P274:P276"/>
    <mergeCell ref="P279:P281"/>
    <mergeCell ref="P284:P286"/>
    <mergeCell ref="P289:P291"/>
    <mergeCell ref="P294:P296"/>
    <mergeCell ref="P299:P301"/>
    <mergeCell ref="P304:P306"/>
    <mergeCell ref="P309:P311"/>
    <mergeCell ref="P314:P316"/>
    <mergeCell ref="P319:P321"/>
    <mergeCell ref="P324:P326"/>
    <mergeCell ref="P329:P331"/>
    <mergeCell ref="P334:P336"/>
    <mergeCell ref="P339:P341"/>
    <mergeCell ref="P344:P346"/>
    <mergeCell ref="P349:P351"/>
    <mergeCell ref="P354:P356"/>
    <mergeCell ref="P359:P361"/>
    <mergeCell ref="P364:P367"/>
    <mergeCell ref="Q11:Q12"/>
    <mergeCell ref="Q16:Q18"/>
    <mergeCell ref="Q21:Q23"/>
    <mergeCell ref="Q26:Q28"/>
    <mergeCell ref="Q31:Q33"/>
    <mergeCell ref="Q36:Q38"/>
    <mergeCell ref="Q41:Q43"/>
    <mergeCell ref="Q46:Q48"/>
    <mergeCell ref="Q51:Q53"/>
    <mergeCell ref="Q56:Q58"/>
    <mergeCell ref="Q61:Q63"/>
    <mergeCell ref="Q66:Q68"/>
    <mergeCell ref="Q71:Q73"/>
    <mergeCell ref="Q76:Q78"/>
    <mergeCell ref="Q81:Q83"/>
    <mergeCell ref="Q86:Q88"/>
    <mergeCell ref="Q91:Q93"/>
    <mergeCell ref="Q96:Q98"/>
    <mergeCell ref="Q101:Q103"/>
    <mergeCell ref="Q106:Q108"/>
    <mergeCell ref="Q111:Q113"/>
    <mergeCell ref="Q116:Q118"/>
    <mergeCell ref="Q121:Q123"/>
    <mergeCell ref="Q126:Q128"/>
    <mergeCell ref="Q131:Q133"/>
    <mergeCell ref="Q136:Q138"/>
    <mergeCell ref="Q141:Q143"/>
    <mergeCell ref="Q146:Q148"/>
    <mergeCell ref="Q151:Q153"/>
    <mergeCell ref="Q156:Q158"/>
    <mergeCell ref="Q161:Q163"/>
    <mergeCell ref="Q166:Q168"/>
    <mergeCell ref="Q171:Q173"/>
    <mergeCell ref="Q176:Q178"/>
    <mergeCell ref="Q181:Q183"/>
    <mergeCell ref="Q186:Q188"/>
    <mergeCell ref="Q191:Q193"/>
    <mergeCell ref="Q196:Q198"/>
    <mergeCell ref="Q201:Q203"/>
    <mergeCell ref="Q206:Q209"/>
    <mergeCell ref="Q212:Q214"/>
    <mergeCell ref="Q217:Q219"/>
    <mergeCell ref="Q222:Q224"/>
    <mergeCell ref="Q229:Q231"/>
    <mergeCell ref="Q234:Q236"/>
    <mergeCell ref="Q239:Q241"/>
    <mergeCell ref="Q244:Q246"/>
    <mergeCell ref="Q249:Q251"/>
    <mergeCell ref="Q254:Q256"/>
    <mergeCell ref="Q259:Q261"/>
    <mergeCell ref="Q264:Q266"/>
    <mergeCell ref="Q269:Q271"/>
    <mergeCell ref="Q274:Q276"/>
    <mergeCell ref="Q279:Q281"/>
    <mergeCell ref="Q284:Q286"/>
    <mergeCell ref="Q289:Q291"/>
    <mergeCell ref="Q294:Q296"/>
    <mergeCell ref="Q299:Q301"/>
    <mergeCell ref="Q304:Q306"/>
    <mergeCell ref="Q309:Q311"/>
    <mergeCell ref="Q314:Q316"/>
    <mergeCell ref="Q319:Q321"/>
    <mergeCell ref="Q324:Q326"/>
    <mergeCell ref="Q329:Q331"/>
    <mergeCell ref="Q334:Q336"/>
    <mergeCell ref="Q339:Q341"/>
    <mergeCell ref="Q344:Q346"/>
    <mergeCell ref="Q349:Q351"/>
    <mergeCell ref="Q354:Q356"/>
    <mergeCell ref="Q359:Q361"/>
    <mergeCell ref="Q364:Q367"/>
    <mergeCell ref="R11:R12"/>
    <mergeCell ref="R16:R18"/>
    <mergeCell ref="R21:R23"/>
    <mergeCell ref="R26:R28"/>
    <mergeCell ref="R31:R33"/>
    <mergeCell ref="R36:R38"/>
    <mergeCell ref="R41:R43"/>
    <mergeCell ref="R46:R48"/>
    <mergeCell ref="R51:R53"/>
    <mergeCell ref="R56:R58"/>
    <mergeCell ref="R61:R63"/>
    <mergeCell ref="R66:R68"/>
    <mergeCell ref="R71:R73"/>
    <mergeCell ref="R76:R78"/>
    <mergeCell ref="R81:R83"/>
    <mergeCell ref="R86:R88"/>
    <mergeCell ref="R91:R93"/>
    <mergeCell ref="R96:R98"/>
    <mergeCell ref="R101:R103"/>
    <mergeCell ref="R106:R108"/>
    <mergeCell ref="R111:R113"/>
    <mergeCell ref="R116:R118"/>
    <mergeCell ref="R121:R123"/>
    <mergeCell ref="R126:R128"/>
    <mergeCell ref="R131:R133"/>
    <mergeCell ref="R136:R138"/>
    <mergeCell ref="R141:R143"/>
    <mergeCell ref="R146:R148"/>
    <mergeCell ref="R151:R153"/>
    <mergeCell ref="R156:R158"/>
    <mergeCell ref="R161:R163"/>
    <mergeCell ref="R166:R168"/>
    <mergeCell ref="R171:R173"/>
    <mergeCell ref="R176:R178"/>
    <mergeCell ref="R181:R183"/>
    <mergeCell ref="R186:R188"/>
    <mergeCell ref="R191:R193"/>
    <mergeCell ref="R196:R198"/>
    <mergeCell ref="R201:R203"/>
    <mergeCell ref="R206:R209"/>
    <mergeCell ref="R212:R214"/>
    <mergeCell ref="R217:R219"/>
    <mergeCell ref="R222:R224"/>
    <mergeCell ref="R229:R231"/>
    <mergeCell ref="R234:R236"/>
    <mergeCell ref="R239:R241"/>
    <mergeCell ref="R244:R246"/>
    <mergeCell ref="R249:R251"/>
    <mergeCell ref="R254:R256"/>
    <mergeCell ref="R259:R261"/>
    <mergeCell ref="R264:R266"/>
    <mergeCell ref="R269:R271"/>
    <mergeCell ref="R274:R276"/>
    <mergeCell ref="R279:R281"/>
    <mergeCell ref="R284:R286"/>
    <mergeCell ref="R289:R291"/>
    <mergeCell ref="R294:R296"/>
    <mergeCell ref="R299:R301"/>
    <mergeCell ref="R304:R306"/>
    <mergeCell ref="R309:R311"/>
    <mergeCell ref="R314:R316"/>
    <mergeCell ref="R319:R321"/>
    <mergeCell ref="R324:R326"/>
    <mergeCell ref="R329:R331"/>
    <mergeCell ref="R334:R336"/>
    <mergeCell ref="R339:R341"/>
    <mergeCell ref="R344:R346"/>
    <mergeCell ref="R349:R351"/>
    <mergeCell ref="R354:R356"/>
    <mergeCell ref="R359:R361"/>
    <mergeCell ref="R364:R367"/>
    <mergeCell ref="S16:S18"/>
    <mergeCell ref="S21:S23"/>
    <mergeCell ref="S26:S28"/>
    <mergeCell ref="S31:S33"/>
    <mergeCell ref="S36:S38"/>
    <mergeCell ref="S41:S43"/>
    <mergeCell ref="S46:S48"/>
    <mergeCell ref="S51:S53"/>
    <mergeCell ref="S56:S58"/>
    <mergeCell ref="S61:S63"/>
    <mergeCell ref="S66:S68"/>
    <mergeCell ref="S71:S73"/>
    <mergeCell ref="S76:S78"/>
    <mergeCell ref="S81:S83"/>
    <mergeCell ref="S86:S88"/>
    <mergeCell ref="S91:S93"/>
    <mergeCell ref="S96:S98"/>
    <mergeCell ref="S101:S103"/>
    <mergeCell ref="S106:S108"/>
    <mergeCell ref="S111:S113"/>
    <mergeCell ref="S116:S118"/>
    <mergeCell ref="S121:S123"/>
    <mergeCell ref="S126:S128"/>
    <mergeCell ref="S131:S133"/>
    <mergeCell ref="S136:S138"/>
    <mergeCell ref="S141:S143"/>
    <mergeCell ref="S146:S148"/>
    <mergeCell ref="S151:S153"/>
    <mergeCell ref="S156:S158"/>
    <mergeCell ref="S161:S163"/>
    <mergeCell ref="S166:S168"/>
    <mergeCell ref="S171:S173"/>
    <mergeCell ref="S176:S178"/>
    <mergeCell ref="S181:S183"/>
    <mergeCell ref="S186:S188"/>
    <mergeCell ref="S191:S193"/>
    <mergeCell ref="S196:S198"/>
    <mergeCell ref="S201:S203"/>
    <mergeCell ref="S206:S209"/>
    <mergeCell ref="S212:S214"/>
    <mergeCell ref="S217:S219"/>
    <mergeCell ref="S222:S224"/>
    <mergeCell ref="S229:S231"/>
    <mergeCell ref="S234:S236"/>
    <mergeCell ref="S239:S241"/>
    <mergeCell ref="S244:S246"/>
    <mergeCell ref="S249:S251"/>
    <mergeCell ref="S254:S256"/>
    <mergeCell ref="S259:S261"/>
    <mergeCell ref="S264:S266"/>
    <mergeCell ref="S269:S271"/>
    <mergeCell ref="S274:S276"/>
    <mergeCell ref="S279:S281"/>
    <mergeCell ref="S284:S286"/>
    <mergeCell ref="S289:S291"/>
    <mergeCell ref="S294:S296"/>
    <mergeCell ref="S299:S301"/>
    <mergeCell ref="S304:S306"/>
    <mergeCell ref="S309:S311"/>
    <mergeCell ref="S314:S316"/>
    <mergeCell ref="S319:S321"/>
    <mergeCell ref="S324:S326"/>
    <mergeCell ref="S329:S331"/>
    <mergeCell ref="S334:S336"/>
    <mergeCell ref="S339:S341"/>
    <mergeCell ref="S344:S346"/>
    <mergeCell ref="S349:S351"/>
    <mergeCell ref="S354:S356"/>
    <mergeCell ref="S359:S361"/>
    <mergeCell ref="S364:S367"/>
    <mergeCell ref="T16:T18"/>
    <mergeCell ref="T21:T23"/>
    <mergeCell ref="T26:T28"/>
    <mergeCell ref="T31:T33"/>
    <mergeCell ref="T36:T38"/>
    <mergeCell ref="T41:T43"/>
    <mergeCell ref="T46:T48"/>
    <mergeCell ref="T51:T53"/>
    <mergeCell ref="T56:T58"/>
    <mergeCell ref="T61:T63"/>
    <mergeCell ref="T66:T68"/>
    <mergeCell ref="T71:T73"/>
    <mergeCell ref="T76:T78"/>
    <mergeCell ref="T81:T83"/>
    <mergeCell ref="T86:T88"/>
    <mergeCell ref="T91:T93"/>
    <mergeCell ref="T96:T98"/>
    <mergeCell ref="T101:T103"/>
    <mergeCell ref="T106:T108"/>
    <mergeCell ref="T111:T113"/>
    <mergeCell ref="T116:T118"/>
    <mergeCell ref="T121:T123"/>
    <mergeCell ref="T126:T128"/>
    <mergeCell ref="T131:T133"/>
    <mergeCell ref="T136:T138"/>
    <mergeCell ref="T141:T143"/>
    <mergeCell ref="T146:T148"/>
    <mergeCell ref="T151:T153"/>
    <mergeCell ref="T156:T158"/>
    <mergeCell ref="T161:T163"/>
    <mergeCell ref="T166:T168"/>
    <mergeCell ref="T171:T173"/>
    <mergeCell ref="T176:T178"/>
    <mergeCell ref="T181:T183"/>
    <mergeCell ref="T186:T188"/>
    <mergeCell ref="T191:T193"/>
    <mergeCell ref="T196:T198"/>
    <mergeCell ref="T201:T203"/>
    <mergeCell ref="T206:T209"/>
    <mergeCell ref="T212:T214"/>
    <mergeCell ref="T217:T219"/>
    <mergeCell ref="T222:T224"/>
    <mergeCell ref="T229:T231"/>
    <mergeCell ref="T234:T236"/>
    <mergeCell ref="T239:T241"/>
    <mergeCell ref="T244:T246"/>
    <mergeCell ref="T249:T251"/>
    <mergeCell ref="T254:T256"/>
    <mergeCell ref="T259:T261"/>
    <mergeCell ref="T264:T266"/>
    <mergeCell ref="T269:T271"/>
    <mergeCell ref="T274:T276"/>
    <mergeCell ref="T279:T281"/>
    <mergeCell ref="T284:T286"/>
    <mergeCell ref="T289:T291"/>
    <mergeCell ref="T294:T296"/>
    <mergeCell ref="T299:T301"/>
    <mergeCell ref="T304:T306"/>
    <mergeCell ref="T309:T311"/>
    <mergeCell ref="T314:T316"/>
    <mergeCell ref="T319:T321"/>
    <mergeCell ref="T324:T326"/>
    <mergeCell ref="T329:T331"/>
    <mergeCell ref="T334:T336"/>
    <mergeCell ref="T339:T341"/>
    <mergeCell ref="T344:T346"/>
    <mergeCell ref="T349:T351"/>
    <mergeCell ref="T354:T356"/>
    <mergeCell ref="T359:T361"/>
    <mergeCell ref="T364:T367"/>
    <mergeCell ref="U16:U18"/>
    <mergeCell ref="U21:U23"/>
    <mergeCell ref="U26:U28"/>
    <mergeCell ref="U31:U33"/>
    <mergeCell ref="U36:U38"/>
    <mergeCell ref="U41:U43"/>
    <mergeCell ref="U46:U48"/>
    <mergeCell ref="U51:U53"/>
    <mergeCell ref="U56:U58"/>
    <mergeCell ref="U61:U63"/>
    <mergeCell ref="U66:U68"/>
    <mergeCell ref="U71:U73"/>
    <mergeCell ref="U76:U78"/>
    <mergeCell ref="U81:U83"/>
    <mergeCell ref="U86:U88"/>
    <mergeCell ref="U91:U93"/>
    <mergeCell ref="U96:U98"/>
    <mergeCell ref="U101:U103"/>
    <mergeCell ref="U106:U108"/>
    <mergeCell ref="U111:U113"/>
    <mergeCell ref="U116:U118"/>
    <mergeCell ref="U121:U123"/>
    <mergeCell ref="U126:U128"/>
    <mergeCell ref="U131:U133"/>
    <mergeCell ref="U136:U138"/>
    <mergeCell ref="U141:U143"/>
    <mergeCell ref="U146:U148"/>
    <mergeCell ref="U151:U153"/>
    <mergeCell ref="U156:U158"/>
    <mergeCell ref="U161:U163"/>
    <mergeCell ref="U166:U168"/>
    <mergeCell ref="U171:U173"/>
    <mergeCell ref="U176:U178"/>
    <mergeCell ref="U181:U183"/>
    <mergeCell ref="U186:U188"/>
    <mergeCell ref="U191:U193"/>
    <mergeCell ref="U196:U198"/>
    <mergeCell ref="U201:U203"/>
    <mergeCell ref="U206:U209"/>
    <mergeCell ref="U212:U214"/>
    <mergeCell ref="U217:U219"/>
    <mergeCell ref="U222:U224"/>
    <mergeCell ref="U229:U231"/>
    <mergeCell ref="U234:U236"/>
    <mergeCell ref="U239:U241"/>
    <mergeCell ref="U244:U246"/>
    <mergeCell ref="U249:U251"/>
    <mergeCell ref="U254:U256"/>
    <mergeCell ref="U259:U261"/>
    <mergeCell ref="U264:U266"/>
    <mergeCell ref="U269:U271"/>
    <mergeCell ref="U274:U276"/>
    <mergeCell ref="U279:U281"/>
    <mergeCell ref="U284:U286"/>
    <mergeCell ref="U289:U291"/>
    <mergeCell ref="U294:U296"/>
    <mergeCell ref="U299:U301"/>
    <mergeCell ref="U304:U306"/>
    <mergeCell ref="U309:U311"/>
    <mergeCell ref="U314:U316"/>
    <mergeCell ref="U319:U321"/>
    <mergeCell ref="U324:U326"/>
    <mergeCell ref="U329:U331"/>
    <mergeCell ref="U334:U336"/>
    <mergeCell ref="U339:U341"/>
    <mergeCell ref="U344:U346"/>
    <mergeCell ref="U349:U351"/>
    <mergeCell ref="U354:U356"/>
    <mergeCell ref="U359:U361"/>
    <mergeCell ref="U364:U367"/>
    <mergeCell ref="V16:V18"/>
    <mergeCell ref="V21:V23"/>
    <mergeCell ref="V26:V28"/>
    <mergeCell ref="V31:V33"/>
    <mergeCell ref="V36:V38"/>
    <mergeCell ref="V41:V43"/>
    <mergeCell ref="V46:V48"/>
    <mergeCell ref="V51:V53"/>
    <mergeCell ref="V56:V58"/>
    <mergeCell ref="V61:V63"/>
    <mergeCell ref="V66:V68"/>
    <mergeCell ref="V71:V73"/>
    <mergeCell ref="V76:V78"/>
    <mergeCell ref="V81:V83"/>
    <mergeCell ref="V86:V88"/>
    <mergeCell ref="V91:V93"/>
    <mergeCell ref="V96:V98"/>
    <mergeCell ref="V101:V103"/>
    <mergeCell ref="V106:V108"/>
    <mergeCell ref="V111:V113"/>
    <mergeCell ref="V116:V118"/>
    <mergeCell ref="V121:V123"/>
    <mergeCell ref="V126:V128"/>
    <mergeCell ref="V131:V133"/>
    <mergeCell ref="V136:V138"/>
    <mergeCell ref="V141:V143"/>
    <mergeCell ref="V146:V148"/>
    <mergeCell ref="V151:V153"/>
    <mergeCell ref="V156:V158"/>
    <mergeCell ref="V161:V163"/>
    <mergeCell ref="V166:V168"/>
    <mergeCell ref="V171:V173"/>
    <mergeCell ref="V176:V178"/>
    <mergeCell ref="V181:V183"/>
    <mergeCell ref="V186:V188"/>
    <mergeCell ref="V191:V193"/>
    <mergeCell ref="V196:V198"/>
    <mergeCell ref="V201:V203"/>
    <mergeCell ref="V206:V209"/>
    <mergeCell ref="V212:V214"/>
    <mergeCell ref="V217:V219"/>
    <mergeCell ref="V222:V224"/>
    <mergeCell ref="V229:V231"/>
    <mergeCell ref="V234:V236"/>
    <mergeCell ref="V239:V241"/>
    <mergeCell ref="V244:V246"/>
    <mergeCell ref="V249:V251"/>
    <mergeCell ref="V254:V256"/>
    <mergeCell ref="V259:V261"/>
    <mergeCell ref="V264:V266"/>
    <mergeCell ref="V269:V271"/>
    <mergeCell ref="V274:V276"/>
    <mergeCell ref="V279:V281"/>
    <mergeCell ref="V284:V286"/>
    <mergeCell ref="V289:V291"/>
    <mergeCell ref="V294:V296"/>
    <mergeCell ref="V299:V301"/>
    <mergeCell ref="V304:V306"/>
    <mergeCell ref="V309:V311"/>
    <mergeCell ref="V314:V316"/>
    <mergeCell ref="V319:V321"/>
    <mergeCell ref="V324:V326"/>
    <mergeCell ref="V329:V331"/>
    <mergeCell ref="V334:V336"/>
    <mergeCell ref="V339:V341"/>
    <mergeCell ref="V344:V346"/>
    <mergeCell ref="V349:V351"/>
    <mergeCell ref="V354:V356"/>
    <mergeCell ref="V359:V361"/>
    <mergeCell ref="V364:V367"/>
    <mergeCell ref="W16:W18"/>
    <mergeCell ref="W21:W23"/>
    <mergeCell ref="W26:W28"/>
    <mergeCell ref="W31:W33"/>
    <mergeCell ref="W36:W38"/>
    <mergeCell ref="W41:W43"/>
    <mergeCell ref="W46:W48"/>
    <mergeCell ref="W51:W53"/>
    <mergeCell ref="W56:W58"/>
    <mergeCell ref="W61:W63"/>
    <mergeCell ref="W66:W68"/>
    <mergeCell ref="W71:W73"/>
    <mergeCell ref="W76:W78"/>
    <mergeCell ref="W81:W83"/>
    <mergeCell ref="W86:W88"/>
    <mergeCell ref="W91:W93"/>
    <mergeCell ref="W96:W98"/>
    <mergeCell ref="W101:W103"/>
    <mergeCell ref="W106:W108"/>
    <mergeCell ref="W111:W113"/>
    <mergeCell ref="W116:W118"/>
    <mergeCell ref="W121:W123"/>
    <mergeCell ref="W126:W128"/>
    <mergeCell ref="W131:W133"/>
    <mergeCell ref="W136:W138"/>
    <mergeCell ref="W141:W143"/>
    <mergeCell ref="W146:W148"/>
    <mergeCell ref="W151:W153"/>
    <mergeCell ref="W156:W158"/>
    <mergeCell ref="W161:W163"/>
    <mergeCell ref="W166:W168"/>
    <mergeCell ref="W171:W173"/>
    <mergeCell ref="W176:W178"/>
    <mergeCell ref="W181:W183"/>
    <mergeCell ref="W186:W188"/>
    <mergeCell ref="W191:W193"/>
    <mergeCell ref="W196:W198"/>
    <mergeCell ref="W201:W203"/>
    <mergeCell ref="W206:W209"/>
    <mergeCell ref="W212:W214"/>
    <mergeCell ref="W217:W219"/>
    <mergeCell ref="W222:W224"/>
    <mergeCell ref="W229:W231"/>
    <mergeCell ref="W234:W236"/>
    <mergeCell ref="W239:W241"/>
    <mergeCell ref="W244:W246"/>
    <mergeCell ref="W249:W251"/>
    <mergeCell ref="W254:W256"/>
    <mergeCell ref="W259:W261"/>
    <mergeCell ref="W264:W266"/>
    <mergeCell ref="W269:W271"/>
    <mergeCell ref="W274:W276"/>
    <mergeCell ref="W279:W281"/>
    <mergeCell ref="W284:W286"/>
    <mergeCell ref="W289:W291"/>
    <mergeCell ref="W294:W296"/>
    <mergeCell ref="W299:W301"/>
    <mergeCell ref="W304:W306"/>
    <mergeCell ref="W309:W311"/>
    <mergeCell ref="W314:W316"/>
    <mergeCell ref="W319:W321"/>
    <mergeCell ref="W324:W326"/>
    <mergeCell ref="W329:W331"/>
    <mergeCell ref="W334:W336"/>
    <mergeCell ref="W339:W341"/>
    <mergeCell ref="W344:W346"/>
    <mergeCell ref="W349:W351"/>
    <mergeCell ref="W354:W356"/>
    <mergeCell ref="W359:W361"/>
    <mergeCell ref="W364:W367"/>
    <mergeCell ref="X16:X18"/>
    <mergeCell ref="X21:X23"/>
    <mergeCell ref="X26:X28"/>
    <mergeCell ref="X31:X33"/>
    <mergeCell ref="X36:X38"/>
    <mergeCell ref="X41:X43"/>
    <mergeCell ref="X46:X48"/>
    <mergeCell ref="X51:X53"/>
    <mergeCell ref="X56:X58"/>
    <mergeCell ref="X61:X63"/>
    <mergeCell ref="X66:X68"/>
    <mergeCell ref="X71:X73"/>
    <mergeCell ref="X76:X78"/>
    <mergeCell ref="X81:X83"/>
    <mergeCell ref="X86:X88"/>
    <mergeCell ref="X91:X93"/>
    <mergeCell ref="X96:X98"/>
    <mergeCell ref="X101:X103"/>
    <mergeCell ref="X106:X108"/>
    <mergeCell ref="X111:X113"/>
    <mergeCell ref="X116:X118"/>
    <mergeCell ref="X121:X123"/>
    <mergeCell ref="X126:X128"/>
    <mergeCell ref="X131:X133"/>
    <mergeCell ref="X136:X138"/>
    <mergeCell ref="X141:X143"/>
    <mergeCell ref="X146:X148"/>
    <mergeCell ref="X151:X153"/>
    <mergeCell ref="X156:X158"/>
    <mergeCell ref="X161:X163"/>
    <mergeCell ref="X166:X168"/>
    <mergeCell ref="X171:X173"/>
    <mergeCell ref="X176:X178"/>
    <mergeCell ref="X181:X183"/>
    <mergeCell ref="X186:X188"/>
    <mergeCell ref="X191:X193"/>
    <mergeCell ref="X196:X198"/>
    <mergeCell ref="X201:X203"/>
    <mergeCell ref="X206:X209"/>
    <mergeCell ref="X212:X214"/>
    <mergeCell ref="X217:X219"/>
    <mergeCell ref="X222:X224"/>
    <mergeCell ref="X229:X231"/>
    <mergeCell ref="X234:X236"/>
    <mergeCell ref="X239:X241"/>
    <mergeCell ref="X244:X246"/>
    <mergeCell ref="X249:X251"/>
    <mergeCell ref="X254:X256"/>
    <mergeCell ref="X259:X261"/>
    <mergeCell ref="X264:X266"/>
    <mergeCell ref="X269:X271"/>
    <mergeCell ref="X274:X276"/>
    <mergeCell ref="X279:X281"/>
    <mergeCell ref="X284:X286"/>
    <mergeCell ref="X289:X291"/>
    <mergeCell ref="X294:X296"/>
    <mergeCell ref="X299:X301"/>
    <mergeCell ref="X304:X306"/>
    <mergeCell ref="X309:X311"/>
    <mergeCell ref="X314:X316"/>
    <mergeCell ref="X319:X321"/>
    <mergeCell ref="X324:X326"/>
    <mergeCell ref="X329:X331"/>
    <mergeCell ref="X334:X336"/>
    <mergeCell ref="X339:X341"/>
    <mergeCell ref="X344:X346"/>
    <mergeCell ref="X349:X351"/>
    <mergeCell ref="X354:X356"/>
    <mergeCell ref="X359:X361"/>
    <mergeCell ref="X364:X367"/>
    <mergeCell ref="Y16:Y18"/>
    <mergeCell ref="Y21:Y23"/>
    <mergeCell ref="Y26:Y28"/>
    <mergeCell ref="Y31:Y33"/>
    <mergeCell ref="Y36:Y38"/>
    <mergeCell ref="Y41:Y43"/>
    <mergeCell ref="Y46:Y48"/>
    <mergeCell ref="Y51:Y53"/>
    <mergeCell ref="Y56:Y58"/>
    <mergeCell ref="Y61:Y63"/>
    <mergeCell ref="Y66:Y68"/>
    <mergeCell ref="Y71:Y73"/>
    <mergeCell ref="Y76:Y78"/>
    <mergeCell ref="Y81:Y83"/>
    <mergeCell ref="Y86:Y88"/>
    <mergeCell ref="Y91:Y93"/>
    <mergeCell ref="Y96:Y98"/>
    <mergeCell ref="Y101:Y103"/>
    <mergeCell ref="Y106:Y108"/>
    <mergeCell ref="Y111:Y113"/>
    <mergeCell ref="Y116:Y118"/>
    <mergeCell ref="Y121:Y123"/>
    <mergeCell ref="Y126:Y128"/>
    <mergeCell ref="Y131:Y133"/>
    <mergeCell ref="Y136:Y138"/>
    <mergeCell ref="Y141:Y143"/>
    <mergeCell ref="Y146:Y148"/>
    <mergeCell ref="Y151:Y153"/>
    <mergeCell ref="Y156:Y158"/>
    <mergeCell ref="Y161:Y163"/>
    <mergeCell ref="Y166:Y168"/>
    <mergeCell ref="Y171:Y173"/>
    <mergeCell ref="Y176:Y178"/>
    <mergeCell ref="Y181:Y183"/>
    <mergeCell ref="Y186:Y188"/>
    <mergeCell ref="Y191:Y193"/>
    <mergeCell ref="Y196:Y198"/>
    <mergeCell ref="Y201:Y203"/>
    <mergeCell ref="Y206:Y209"/>
    <mergeCell ref="Y212:Y214"/>
    <mergeCell ref="Y217:Y219"/>
    <mergeCell ref="Y222:Y224"/>
    <mergeCell ref="Y229:Y231"/>
    <mergeCell ref="Y234:Y236"/>
    <mergeCell ref="Y239:Y241"/>
    <mergeCell ref="Y244:Y246"/>
    <mergeCell ref="Y249:Y251"/>
    <mergeCell ref="Y254:Y256"/>
    <mergeCell ref="Y259:Y261"/>
    <mergeCell ref="Y264:Y266"/>
    <mergeCell ref="Y269:Y271"/>
    <mergeCell ref="Y274:Y276"/>
    <mergeCell ref="Y279:Y281"/>
    <mergeCell ref="Y284:Y286"/>
    <mergeCell ref="Y289:Y291"/>
    <mergeCell ref="Y294:Y296"/>
    <mergeCell ref="Y299:Y301"/>
    <mergeCell ref="Y304:Y306"/>
    <mergeCell ref="Y309:Y311"/>
    <mergeCell ref="Y314:Y316"/>
    <mergeCell ref="Y319:Y321"/>
    <mergeCell ref="Y324:Y326"/>
    <mergeCell ref="Y329:Y331"/>
    <mergeCell ref="Y334:Y336"/>
    <mergeCell ref="Y339:Y341"/>
    <mergeCell ref="Y344:Y346"/>
    <mergeCell ref="Y349:Y351"/>
    <mergeCell ref="Y354:Y356"/>
    <mergeCell ref="Y359:Y361"/>
    <mergeCell ref="Y364:Y367"/>
    <mergeCell ref="AF9:AF12"/>
    <mergeCell ref="AF15:AF19"/>
    <mergeCell ref="AF20:AF24"/>
    <mergeCell ref="AF25:AF29"/>
    <mergeCell ref="AF30:AF34"/>
    <mergeCell ref="AF35:AF39"/>
    <mergeCell ref="AF40:AF44"/>
    <mergeCell ref="AF45:AF49"/>
    <mergeCell ref="AF50:AF54"/>
    <mergeCell ref="AF55:AF59"/>
    <mergeCell ref="AF60:AF64"/>
    <mergeCell ref="AF65:AF69"/>
    <mergeCell ref="AF70:AF74"/>
    <mergeCell ref="AF75:AF79"/>
    <mergeCell ref="AF80:AF84"/>
    <mergeCell ref="AF85:AF89"/>
    <mergeCell ref="AF90:AF94"/>
    <mergeCell ref="AF95:AF99"/>
    <mergeCell ref="AF100:AF104"/>
    <mergeCell ref="AF105:AF109"/>
    <mergeCell ref="AF110:AF114"/>
    <mergeCell ref="AF115:AF119"/>
    <mergeCell ref="AF120:AF124"/>
    <mergeCell ref="AF125:AF129"/>
    <mergeCell ref="AF130:AF134"/>
    <mergeCell ref="AF135:AF139"/>
    <mergeCell ref="AF140:AF144"/>
    <mergeCell ref="AF145:AF149"/>
    <mergeCell ref="AF150:AF154"/>
    <mergeCell ref="AF155:AF159"/>
    <mergeCell ref="AF160:AF164"/>
    <mergeCell ref="AF165:AF169"/>
    <mergeCell ref="AF170:AF174"/>
    <mergeCell ref="AF175:AF179"/>
    <mergeCell ref="AF180:AF184"/>
    <mergeCell ref="AF185:AF189"/>
    <mergeCell ref="AF190:AF194"/>
    <mergeCell ref="AF195:AF199"/>
    <mergeCell ref="AF200:AF204"/>
    <mergeCell ref="AF205:AF210"/>
    <mergeCell ref="AF211:AF215"/>
    <mergeCell ref="AF216:AF220"/>
    <mergeCell ref="AF221:AF225"/>
    <mergeCell ref="AF228:AF232"/>
    <mergeCell ref="AF233:AF237"/>
    <mergeCell ref="AF238:AF242"/>
    <mergeCell ref="AF243:AF247"/>
    <mergeCell ref="AF248:AF252"/>
    <mergeCell ref="AF253:AF257"/>
    <mergeCell ref="AF258:AF262"/>
    <mergeCell ref="AF263:AF267"/>
    <mergeCell ref="AF268:AF272"/>
    <mergeCell ref="AF273:AF277"/>
    <mergeCell ref="AF278:AF282"/>
    <mergeCell ref="AF283:AF287"/>
    <mergeCell ref="AF288:AF292"/>
    <mergeCell ref="AF293:AF297"/>
    <mergeCell ref="AF298:AF302"/>
    <mergeCell ref="AF303:AF307"/>
    <mergeCell ref="AF308:AF312"/>
    <mergeCell ref="AF313:AF317"/>
    <mergeCell ref="AF318:AF322"/>
    <mergeCell ref="AF323:AF327"/>
    <mergeCell ref="AF328:AF332"/>
    <mergeCell ref="AF333:AF337"/>
    <mergeCell ref="AF338:AF342"/>
    <mergeCell ref="AF343:AF347"/>
    <mergeCell ref="AF348:AF352"/>
    <mergeCell ref="AF353:AF357"/>
    <mergeCell ref="AF358:AF362"/>
    <mergeCell ref="AF363:AF368"/>
    <mergeCell ref="AG15:AG19"/>
    <mergeCell ref="AG20:AG24"/>
    <mergeCell ref="AG25:AG29"/>
    <mergeCell ref="AG30:AG34"/>
    <mergeCell ref="AG35:AG39"/>
    <mergeCell ref="AG40:AG44"/>
    <mergeCell ref="AG45:AG49"/>
    <mergeCell ref="AG50:AG54"/>
    <mergeCell ref="AG55:AG59"/>
    <mergeCell ref="AG60:AG64"/>
    <mergeCell ref="AG65:AG69"/>
    <mergeCell ref="AG70:AG74"/>
    <mergeCell ref="AG75:AG79"/>
    <mergeCell ref="AG80:AG84"/>
    <mergeCell ref="AG85:AG89"/>
    <mergeCell ref="AG90:AG94"/>
    <mergeCell ref="AG95:AG99"/>
    <mergeCell ref="AG100:AG104"/>
    <mergeCell ref="AG105:AG109"/>
    <mergeCell ref="AG110:AG114"/>
    <mergeCell ref="AG115:AG119"/>
    <mergeCell ref="AG120:AG124"/>
    <mergeCell ref="AG125:AG129"/>
    <mergeCell ref="AG130:AG134"/>
    <mergeCell ref="AG135:AG139"/>
    <mergeCell ref="AG140:AG144"/>
    <mergeCell ref="AG145:AG149"/>
    <mergeCell ref="AG150:AG154"/>
    <mergeCell ref="AG155:AG159"/>
    <mergeCell ref="AG160:AG164"/>
    <mergeCell ref="AG165:AG169"/>
    <mergeCell ref="AG170:AG174"/>
    <mergeCell ref="AG175:AG179"/>
    <mergeCell ref="AG180:AG184"/>
    <mergeCell ref="AG185:AG189"/>
    <mergeCell ref="AG190:AG194"/>
    <mergeCell ref="AG195:AG199"/>
    <mergeCell ref="AG200:AG204"/>
    <mergeCell ref="AG205:AG210"/>
    <mergeCell ref="AG211:AG215"/>
    <mergeCell ref="AG216:AG220"/>
    <mergeCell ref="AG221:AG225"/>
    <mergeCell ref="AG228:AG232"/>
    <mergeCell ref="AG233:AG237"/>
    <mergeCell ref="AG238:AG242"/>
    <mergeCell ref="AG243:AG247"/>
    <mergeCell ref="AG248:AG252"/>
    <mergeCell ref="AG253:AG257"/>
    <mergeCell ref="AG258:AG262"/>
    <mergeCell ref="AG263:AG267"/>
    <mergeCell ref="AG268:AG272"/>
    <mergeCell ref="AG273:AG277"/>
    <mergeCell ref="AG278:AG282"/>
    <mergeCell ref="AG283:AG287"/>
    <mergeCell ref="AG288:AG292"/>
    <mergeCell ref="AG293:AG297"/>
    <mergeCell ref="AG298:AG302"/>
    <mergeCell ref="AG303:AG307"/>
    <mergeCell ref="AG308:AG312"/>
    <mergeCell ref="AG313:AG317"/>
    <mergeCell ref="AG318:AG322"/>
    <mergeCell ref="AG323:AG327"/>
    <mergeCell ref="AG328:AG332"/>
    <mergeCell ref="AG333:AG337"/>
    <mergeCell ref="AG338:AG342"/>
    <mergeCell ref="AG343:AG347"/>
    <mergeCell ref="AG348:AG352"/>
    <mergeCell ref="AG353:AG357"/>
    <mergeCell ref="AG358:AG362"/>
    <mergeCell ref="AG363:AG368"/>
    <mergeCell ref="AH15:AH19"/>
    <mergeCell ref="AH20:AH24"/>
    <mergeCell ref="AH25:AH29"/>
    <mergeCell ref="AH30:AH34"/>
    <mergeCell ref="AH35:AH39"/>
    <mergeCell ref="AH40:AH44"/>
    <mergeCell ref="AH45:AH49"/>
    <mergeCell ref="AH50:AH54"/>
    <mergeCell ref="AH55:AH59"/>
    <mergeCell ref="AH60:AH64"/>
    <mergeCell ref="AH65:AH69"/>
    <mergeCell ref="AH70:AH74"/>
    <mergeCell ref="AH75:AH79"/>
    <mergeCell ref="AH80:AH84"/>
    <mergeCell ref="AH85:AH89"/>
    <mergeCell ref="AH90:AH94"/>
    <mergeCell ref="AH95:AH99"/>
    <mergeCell ref="AH100:AH104"/>
    <mergeCell ref="AH105:AH109"/>
    <mergeCell ref="AH110:AH114"/>
    <mergeCell ref="AH115:AH119"/>
    <mergeCell ref="AH120:AH124"/>
    <mergeCell ref="AH125:AH129"/>
    <mergeCell ref="AH130:AH134"/>
    <mergeCell ref="AH135:AH139"/>
    <mergeCell ref="AH140:AH144"/>
    <mergeCell ref="AH145:AH149"/>
    <mergeCell ref="AH150:AH154"/>
    <mergeCell ref="AH155:AH159"/>
    <mergeCell ref="AH160:AH164"/>
    <mergeCell ref="AH165:AH169"/>
    <mergeCell ref="AH170:AH174"/>
    <mergeCell ref="AH175:AH179"/>
    <mergeCell ref="AH180:AH184"/>
    <mergeCell ref="AH185:AH189"/>
    <mergeCell ref="AH190:AH194"/>
    <mergeCell ref="AH195:AH199"/>
    <mergeCell ref="AH200:AH204"/>
    <mergeCell ref="AH205:AH210"/>
    <mergeCell ref="AH211:AH215"/>
    <mergeCell ref="AH216:AH220"/>
    <mergeCell ref="AH221:AH225"/>
    <mergeCell ref="AH228:AH232"/>
    <mergeCell ref="AH233:AH237"/>
    <mergeCell ref="AH238:AH242"/>
    <mergeCell ref="AH243:AH247"/>
    <mergeCell ref="AH248:AH252"/>
    <mergeCell ref="AH253:AH257"/>
    <mergeCell ref="AH258:AH262"/>
    <mergeCell ref="AH263:AH267"/>
    <mergeCell ref="AH268:AH272"/>
    <mergeCell ref="AH273:AH277"/>
    <mergeCell ref="AH278:AH282"/>
    <mergeCell ref="AH283:AH287"/>
    <mergeCell ref="AH288:AH292"/>
    <mergeCell ref="AH293:AH297"/>
    <mergeCell ref="AH298:AH302"/>
    <mergeCell ref="AH303:AH307"/>
    <mergeCell ref="AH308:AH312"/>
    <mergeCell ref="AH313:AH317"/>
    <mergeCell ref="AH318:AH322"/>
    <mergeCell ref="AH323:AH327"/>
    <mergeCell ref="AH328:AH332"/>
    <mergeCell ref="AH333:AH337"/>
    <mergeCell ref="AH338:AH342"/>
    <mergeCell ref="AH343:AH347"/>
    <mergeCell ref="AH348:AH352"/>
    <mergeCell ref="AH353:AH357"/>
    <mergeCell ref="AH358:AH362"/>
    <mergeCell ref="AH363:AH368"/>
    <mergeCell ref="AI9:AI12"/>
    <mergeCell ref="AI15:AI19"/>
    <mergeCell ref="AI20:AI24"/>
    <mergeCell ref="AI25:AI29"/>
    <mergeCell ref="AI30:AI34"/>
    <mergeCell ref="AI35:AI39"/>
    <mergeCell ref="AI40:AI44"/>
    <mergeCell ref="AI45:AI49"/>
    <mergeCell ref="AI50:AI54"/>
    <mergeCell ref="AI55:AI59"/>
    <mergeCell ref="AI60:AI64"/>
    <mergeCell ref="AI65:AI69"/>
    <mergeCell ref="AI70:AI74"/>
    <mergeCell ref="AI75:AI79"/>
    <mergeCell ref="AI80:AI84"/>
    <mergeCell ref="AI85:AI89"/>
    <mergeCell ref="AI90:AI94"/>
    <mergeCell ref="AI95:AI99"/>
    <mergeCell ref="AI100:AI104"/>
    <mergeCell ref="AI105:AI109"/>
    <mergeCell ref="AI110:AI114"/>
    <mergeCell ref="AI115:AI119"/>
    <mergeCell ref="AI120:AI124"/>
    <mergeCell ref="AI125:AI129"/>
    <mergeCell ref="AI130:AI134"/>
    <mergeCell ref="AI135:AI139"/>
    <mergeCell ref="AI140:AI144"/>
    <mergeCell ref="AI145:AI149"/>
    <mergeCell ref="AI150:AI154"/>
    <mergeCell ref="AI155:AI159"/>
    <mergeCell ref="AI160:AI164"/>
    <mergeCell ref="AI165:AI169"/>
    <mergeCell ref="AI170:AI174"/>
    <mergeCell ref="AI175:AI179"/>
    <mergeCell ref="AI180:AI184"/>
    <mergeCell ref="AI185:AI189"/>
    <mergeCell ref="AI190:AI194"/>
    <mergeCell ref="AI195:AI199"/>
    <mergeCell ref="AI200:AI204"/>
    <mergeCell ref="AI205:AI210"/>
    <mergeCell ref="AI211:AI215"/>
    <mergeCell ref="AI216:AI220"/>
    <mergeCell ref="AI221:AI225"/>
    <mergeCell ref="AI228:AI232"/>
    <mergeCell ref="AI233:AI237"/>
    <mergeCell ref="AI238:AI242"/>
    <mergeCell ref="AI243:AI247"/>
    <mergeCell ref="AI248:AI252"/>
    <mergeCell ref="AI253:AI257"/>
    <mergeCell ref="AI258:AI262"/>
    <mergeCell ref="AI263:AI267"/>
    <mergeCell ref="AI268:AI272"/>
    <mergeCell ref="AI273:AI277"/>
    <mergeCell ref="AI278:AI282"/>
    <mergeCell ref="AI283:AI287"/>
    <mergeCell ref="AI288:AI292"/>
    <mergeCell ref="AI293:AI297"/>
    <mergeCell ref="AI298:AI302"/>
    <mergeCell ref="AI303:AI307"/>
    <mergeCell ref="AI308:AI312"/>
    <mergeCell ref="AI313:AI317"/>
    <mergeCell ref="AI318:AI322"/>
    <mergeCell ref="AI323:AI327"/>
    <mergeCell ref="AI328:AI332"/>
    <mergeCell ref="AI333:AI337"/>
    <mergeCell ref="AI338:AI342"/>
    <mergeCell ref="AI343:AI347"/>
    <mergeCell ref="AI348:AI352"/>
    <mergeCell ref="AI353:AI357"/>
    <mergeCell ref="AI358:AI362"/>
    <mergeCell ref="AI363:AI368"/>
    <mergeCell ref="AJ15:AJ19"/>
    <mergeCell ref="AJ20:AJ24"/>
    <mergeCell ref="AJ25:AJ29"/>
    <mergeCell ref="AJ30:AJ34"/>
    <mergeCell ref="AJ35:AJ39"/>
    <mergeCell ref="AJ40:AJ44"/>
    <mergeCell ref="AJ45:AJ49"/>
    <mergeCell ref="AJ50:AJ54"/>
    <mergeCell ref="AJ55:AJ59"/>
    <mergeCell ref="AJ60:AJ64"/>
    <mergeCell ref="AJ65:AJ69"/>
    <mergeCell ref="AJ70:AJ74"/>
    <mergeCell ref="AJ75:AJ79"/>
    <mergeCell ref="AJ80:AJ84"/>
    <mergeCell ref="AJ85:AJ89"/>
    <mergeCell ref="AJ90:AJ94"/>
    <mergeCell ref="AJ95:AJ99"/>
    <mergeCell ref="AJ100:AJ104"/>
    <mergeCell ref="AJ105:AJ109"/>
    <mergeCell ref="AJ110:AJ114"/>
    <mergeCell ref="AJ115:AJ119"/>
    <mergeCell ref="AJ120:AJ124"/>
    <mergeCell ref="AJ125:AJ129"/>
    <mergeCell ref="AJ130:AJ134"/>
    <mergeCell ref="AJ135:AJ139"/>
    <mergeCell ref="AJ140:AJ144"/>
    <mergeCell ref="AJ145:AJ149"/>
    <mergeCell ref="AJ150:AJ154"/>
    <mergeCell ref="AJ155:AJ159"/>
    <mergeCell ref="AJ160:AJ164"/>
    <mergeCell ref="AJ165:AJ169"/>
    <mergeCell ref="AJ170:AJ174"/>
    <mergeCell ref="AJ175:AJ179"/>
    <mergeCell ref="AJ180:AJ184"/>
    <mergeCell ref="AJ185:AJ189"/>
    <mergeCell ref="AJ190:AJ194"/>
    <mergeCell ref="AJ195:AJ199"/>
    <mergeCell ref="AJ200:AJ204"/>
    <mergeCell ref="AJ205:AJ210"/>
    <mergeCell ref="AJ211:AJ215"/>
    <mergeCell ref="AJ216:AJ220"/>
    <mergeCell ref="AJ221:AJ225"/>
    <mergeCell ref="AJ228:AJ232"/>
    <mergeCell ref="AJ233:AJ237"/>
    <mergeCell ref="AJ238:AJ242"/>
    <mergeCell ref="AJ243:AJ247"/>
    <mergeCell ref="AJ248:AJ252"/>
    <mergeCell ref="AJ253:AJ257"/>
    <mergeCell ref="AJ258:AJ262"/>
    <mergeCell ref="AJ263:AJ267"/>
    <mergeCell ref="AJ268:AJ272"/>
    <mergeCell ref="AJ273:AJ277"/>
    <mergeCell ref="AJ278:AJ282"/>
    <mergeCell ref="AJ283:AJ287"/>
    <mergeCell ref="AJ288:AJ292"/>
    <mergeCell ref="AJ293:AJ297"/>
    <mergeCell ref="AJ298:AJ302"/>
    <mergeCell ref="AJ303:AJ307"/>
    <mergeCell ref="AJ308:AJ312"/>
    <mergeCell ref="AJ313:AJ317"/>
    <mergeCell ref="AJ318:AJ322"/>
    <mergeCell ref="AJ323:AJ327"/>
    <mergeCell ref="AJ328:AJ332"/>
    <mergeCell ref="AJ333:AJ337"/>
    <mergeCell ref="AJ338:AJ342"/>
    <mergeCell ref="AJ343:AJ347"/>
    <mergeCell ref="AJ348:AJ352"/>
    <mergeCell ref="AJ353:AJ357"/>
    <mergeCell ref="AJ358:AJ362"/>
    <mergeCell ref="AJ363:AJ368"/>
    <mergeCell ref="AK15:AK19"/>
    <mergeCell ref="AK20:AK24"/>
    <mergeCell ref="AK25:AK29"/>
    <mergeCell ref="AK30:AK34"/>
    <mergeCell ref="AK35:AK39"/>
    <mergeCell ref="AK40:AK44"/>
    <mergeCell ref="AK45:AK49"/>
    <mergeCell ref="AK50:AK54"/>
    <mergeCell ref="AK55:AK59"/>
    <mergeCell ref="AK60:AK64"/>
    <mergeCell ref="AK65:AK69"/>
    <mergeCell ref="AK70:AK74"/>
    <mergeCell ref="AK75:AK79"/>
    <mergeCell ref="AK80:AK84"/>
    <mergeCell ref="AK85:AK89"/>
    <mergeCell ref="AK90:AK94"/>
    <mergeCell ref="AK95:AK99"/>
    <mergeCell ref="AK100:AK104"/>
    <mergeCell ref="AK105:AK109"/>
    <mergeCell ref="AK110:AK114"/>
    <mergeCell ref="AK115:AK119"/>
    <mergeCell ref="AK120:AK124"/>
    <mergeCell ref="AK125:AK129"/>
    <mergeCell ref="AK130:AK134"/>
    <mergeCell ref="AK135:AK139"/>
    <mergeCell ref="AK140:AK144"/>
    <mergeCell ref="AK145:AK149"/>
    <mergeCell ref="AK150:AK154"/>
    <mergeCell ref="AK155:AK159"/>
    <mergeCell ref="AK160:AK164"/>
    <mergeCell ref="AK165:AK169"/>
    <mergeCell ref="AK170:AK174"/>
    <mergeCell ref="AK175:AK179"/>
    <mergeCell ref="AK180:AK184"/>
    <mergeCell ref="AK185:AK189"/>
    <mergeCell ref="AK190:AK194"/>
    <mergeCell ref="AK195:AK199"/>
    <mergeCell ref="AK200:AK204"/>
    <mergeCell ref="AK205:AK210"/>
    <mergeCell ref="AK211:AK215"/>
    <mergeCell ref="AK216:AK220"/>
    <mergeCell ref="AK221:AK225"/>
    <mergeCell ref="AK228:AK232"/>
    <mergeCell ref="AK233:AK237"/>
    <mergeCell ref="AK238:AK242"/>
    <mergeCell ref="AK243:AK247"/>
    <mergeCell ref="AK248:AK252"/>
    <mergeCell ref="AK253:AK257"/>
    <mergeCell ref="AK258:AK262"/>
    <mergeCell ref="AK263:AK267"/>
    <mergeCell ref="AK268:AK272"/>
    <mergeCell ref="AK273:AK277"/>
    <mergeCell ref="AK278:AK282"/>
    <mergeCell ref="AK283:AK287"/>
    <mergeCell ref="AK288:AK292"/>
    <mergeCell ref="AK293:AK297"/>
    <mergeCell ref="AK298:AK302"/>
    <mergeCell ref="AK303:AK307"/>
    <mergeCell ref="AK308:AK312"/>
    <mergeCell ref="AK313:AK317"/>
    <mergeCell ref="AK318:AK322"/>
    <mergeCell ref="AK323:AK327"/>
    <mergeCell ref="AK328:AK332"/>
    <mergeCell ref="AK333:AK337"/>
    <mergeCell ref="AK338:AK342"/>
    <mergeCell ref="AK343:AK347"/>
    <mergeCell ref="AK348:AK352"/>
    <mergeCell ref="AK353:AK357"/>
    <mergeCell ref="AK358:AK362"/>
    <mergeCell ref="AK363:AK368"/>
    <mergeCell ref="I9:J11"/>
    <mergeCell ref="AG9:AH11"/>
    <mergeCell ref="G9:H12"/>
    <mergeCell ref="Z9:AA12"/>
    <mergeCell ref="AJ9:AK11"/>
    <mergeCell ref="AB9:AE10"/>
    <mergeCell ref="N11:O12"/>
  </mergeCells>
  <dataValidations count="4">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J15 I16 J16 I17 J17 I18 J18 I20 J20 I21 J21 I22 J22 I23 J23 I25 J25 I26 J26 I27 J27 I28 J28 I30 J30 I31 J31 I32 J32 I33 J33 I35 J35 I36 J36 I37 J37 I38 J38 I40 J40 I41 J41 I42 J42 I43 J43 I45 J45 I46 J46 I47 J47 I48 J48 I50 J50 I51 J51 I52 J52 I53 J53 I55 J55 I56 J56 I57 J57 I58 J58 I60 J60 I61 J61 I62 J62 I63 J63 I65 J65 I66 J66 I67 J67 I68 J68 I70 J70 I71 J71 I72 J72 I73 J73 I75 J75 I76 J76 I77 J77 I78 J78 I80 J80 I81 J81 I82 J82 I83 J83 I85 J85 I86 J86 I87 J87 I88 J88 I90 J90 I91 J91 I92 J92 I93 J93 I95 J95 I96 J96 I97 J97 I98 J98 I100 J100 I101 J101 I102 J102 I103 J103 I105 J105 I106 J106 I107 J107 I108 J108 I110 J110 I111 J111 I112 J112 I113 J113 I115 J115 I116 J116 I117 J117 I118 J118 I120 J120 I121 J121 I122 J122 I123 J123 I125 J125 I126 J126 I127 J127 I128 J128 I130 J130 I131 J131 I132 J132 I133 J133 I135 J135 I136 J136 I137 J137 I138 J138 I140 J140 I141 J141 I142 J142 I143 J143 I145 J145 I146 J146 I147 J147 I148 J148 I150 J150 I151 J151 I152 J152 I153 J153 I155 J155 I156 J156 I157 J157 I158 J158 I160 J160 I161 J161 I162 J162 I163 J163 I165 J165 I166 J166 I167 J167 I168 J168 I170 J170 I171 J171 I172 J172 I173 J173 I175 J175 I176 J176 I177 J177 I178 J178 I180 J180 I181 J181 I182 J182 I183 J183 I185 J185 I186 J186 I187 J187 I188 J188 I190 J190 I191 J191 I192 J192 I193 J193 I195 J195 I196 J196 I197 J197 I198 J198 I200 J200 I201 J201 I202 J202 I203 J203 I205 J205 I206 J206 I207 J207 I208 J208 I209 J209 I211 J211 I212 J212 I213 J213 I214 J214 I216 J216 I217 J217 I218 J218 I219 J219 I221 J221 I222 J222 I223 J223 I224 J224 I228 J228 I229 J229 I230 J230 I231 J231 I233 J233 I234 J234 I235 J235 I236 J236 I238 J238 I239 J239 I240 J240 I241 J241 I243 J243 I244 J244 I245 J245 I246 J246 I248 J248 I249 J249 I250 J250 I251 J251 I253 J253 I254 J254 I255 J255 I256 J256 I258 J258 I259 J259 I260 J260 I261 J261 I263 J263 I264 J264 I265 J265 I266 J266 I268 J268 I269 J269 I270 J270 I271 J271 I273 J273 I274 J274 I275 J275 I276 J276 I278 J278 I279 J279 I280 J280 I281 J281 I283 J283 I284 J284 I285 J285 I286 J286 I288 J288 I289 J289 I290 J290 I291 J291 I293 J293 I294 J294 I295 J295 I296 J296 I298 J298 I299 J299 I300 J300 I301 J301 I303 J303 I304 J304 I305 J305 I306 J306 I308 J308 I309 J309 I310 J310 I311 J311 I313 J313 I314 J314 I315 J315 I316 J316 I318 J318 I319 J319 I320 J320 I321 J321 I323 J323 I324 J324 I325 J325 I326 J326 I328 J328 I329 J329 I330 J330 I331 J331 I333 J333 I334 J334 I335 J335 I336 J336 I338 J338 I339 J339 I340 J340 I341 J341 I343 J343 I344 J344 I345 J345 I346 J346 I348 J348 I349 J349 I350 J350 I351 J351 I353 J353 I354 J354 I355 J355 I356 J356 I358 J358 I359 J359 I360 J360 I361 J361 I363 J363 I364 J364 I365 J365 I366 J366 I367 J367" showDropDown="1">
      <formula1>"a"</formula1>
    </dataValidation>
    <dataValidation type="textLength" operator="lessThanOrEqual" allowBlank="1" showInputMessage="1" showErrorMessage="1" errorTitle="Ошибка" error="Допускается ввод не более 900 символов!" sqref="K15 M15 K16 K17 K18 K20 M20 K21 K22 K23 K25 M25 K26 K27 K28 K30 M30 K31 K32 K33 K35 M35 K36 K37 K38 K40 M40 K41 K42 K43 K45 M45 K46 K47 K48 K50 M50 K51 K52 K53 K55 M55 K56 K57 K58 K60 M60 K61 K62 K63 K65 M65 K66 K67 K68 K70 M70 K71 K72 K73 K75 M75 K76 K77 K78 K80 M80 K81 K82 K83 K85 M85 K86 K87 K88 K90 M90 K91 K92 K93 K95 M95 K96 K97 K98 K100 M100 K101 K102 K103 K105 M105 K106 K107 K108 K110 M110 K111 K112 K113 K115 M115 K116 K117 K118 K120 M120 K121 K122 K123 K125 M125 K126 K127 K128 K130 M130 K131 K132 K133 K135 M135 K136 K137 K138 K140 M140 K141 K142 K143 K145 M145 K146 K147 K148 K150 M150 K151 K152 K153 K155 M155 K156 K157 K158 K160 M160 K161 K162 K163 K165 M165 K166 K167 K168 K170 M170 K171 K172 K173 K175 M175 K176 K177 K178 K180 M180 K181 K182 K183 K185 M185 K186 K187 K188 K190 M190 K191 K192 K193 K195 M195 K196 K197 K198 K200 M200 K201 K202 K203 K205 M205 K206 K207 K208 K209 K211 M211 K212 K213 K214 K216 M216 K217 K218 K219 K221 M221 K222 K223 K224 K228 M228 K229 K230 K231 K233 M233 K234 K235 K236 K238 M238 K239 K240 K241 K243 M243 K244 K245 K246 K248 M248 K249 K250 K251 K253 M253 K254 K255 K256 K258 M258 K259 K260 K261 K263 M263 K264 K265 K266 K268 M268 K269 K270 K271 K273 M273 K274 K275 K276 K278 M278 K279 K280 K281 K283 M283 K284 K285 K286 K288 M288 K289 K290 K291 K293 M293 K294 K295 K296 K298 M298 K299 K300 K301 K303 M303 K304 K305 K306 K308 M308 K309 K310 K311 K313 M313 K314 K315 K316 K318 M318 K319 K320 K321 K323 M323 K324 K325 K326 K328 M328 K329 K330 K331 K333 M333 K334 K335 K336 K338 M338 K339 K340 K341 K343 M343 K344 K345 K346 K348 M348 K349 K350 K351 K353 M353 K354 K355 K356 K358 M358 K359 K360 K361 K363 M363 K364 K365 K366 K367">
      <formula1>900</formula1>
    </dataValidation>
    <dataValidation type="whole" operator="between" allowBlank="1" showErrorMessage="1" errorTitle="Ошибка" error="Допускается ввод только неотрицательных целых чисел!" sqref="AF15 AI15 AF16 AI16 AF17 AI17 AF18 AI18 AF19 AI19 AF20 AI20 AF21 AI21 AF22 AI22 AF23 AI23 AF24 AI24 AF25 AI25 AF26 AI26 AF27 AI27 AF28 AI28 AF29 AI29 AF30 AI30 AF31 AI31 AF32 AI32 AF33 AI33 AF34 AI34 AF35 AI35 AF36 AI36 AF37 AI37 AF38 AI38 AF39 AI39 AF40 AI40 AF41 AI41 AF42 AI42 AF43 AI43 AF44 AI44 AF45 AI45 AF46 AI46 AF47 AI47 AF48 AI48 AF49 AI49 AF50 AI50 AF51 AI51 AF52 AI52 AF53 AI53 AF54 AI54 AF55 AI55 AF56 AI56 AF57 AI57 AF58 AI58 AF59 AI59 AF60 AI60 AF61 AI61 AF62 AI62 AF63 AI63 AF64 AI64 AF65 AI65 AF66 AI66 AF67 AI67 AF68 AI68 AF69 AI69 AF70 AI70 AF71 AI71 AF72 AI72 AF73 AI73 AF74 AI74 AF75 AI75 AF76 AI76 AF77 AI77 AF78 AI78 AF79 AI79 AF80 AI80 AF81 AI81 AF82 AI82 AF83 AI83 AF84 AI84 AF85 AI85 AF86 AI86 AF87 AI87 AF88 AI88 AF89 AI89 AF90 AI90 AF91 AI91 AF92 AI92 AF93 AI93 AF94 AI94 AF95 AI95 AF96 AI96 AF97 AI97 AF98 AI98 AF99 AI99 AF100 AI100 AF101 AI101 AF102 AI102 AF103 AI103 AF104 AI104 AF105 AI105 AF106 AI106 AF107 AI107 AF108 AI108 AF109 AI109 AF110 AI110 AF111 AI111 AF112 AI112 AF113 AI113 AF114 AI114 AF115 AI115 AF116 AI116 AF117 AI117 AF118 AI118 AF119 AI119 AF120 AI120 AF121 AI121 AF122 AI122 AF123 AI123 AF124 AI124 AF125 AI125 AF126 AI126 AF127 AI127 AF128 AI128 AF129 AI129 AF130 AI130 AF131 AI131 AF132 AI132 AF133 AI133 AF134 AI134 AF135 AI135 AF136 AI136 AF137 AI137 AF138 AI138 AF139 AI139 AF140 AI140 AF141 AI141 AF142 AI142 AF143 AI143 AF144 AI144 AF145 AI145 AF146 AI146 AF147 AI147 AF148 AI148 AF149 AI149 AF150 AI150 AF151 AI151 AF152 AI152 AF153 AI153 AF154 AI154 AF155 AI155 AF156 AI156 AF157 AI157 AF158 AI158 AF159 AI159 AF160 AI160 AF161 AI161 AF162 AI162 AF163 AI163 AF164 AI164 AF165 AI165 AF166 AI166 AF167 AI167 AF168 AI168 AF169 AI169 AF170 AI170 AF171 AI171 AF172 AI172 AF173 AI173 AF174 AI174 AF175 AI175 AF176 AI176 AF177 AI177 AF178 AI178 AF179 AI179 AF180 AI180 AF181 AI181 AF182 AI182 AF183 AI183 AF184 AI184 AF185 AI185 AF186 AI186 AF187 AI187 AF188 AI188 AF189 AI189 AF190 AI190 AF191 AI191 AF192 AI192 AF193 AI193 AF194 AI194 AF195 AI195 AF196 AI196 AF197 AI197 AF198 AI198 AF199 AI199 AF200 AI200 AF201 AI201 AF202 AI202 AF203 AI203 AF204 AI204 AF205 AI205 AF206 AI206 AF207 AI207 AF208 AI208 AF209 AI209 AF210 AI210 AF211 AI211 AF212 AI212 AF213 AI213 AF214 AI214 AF215 AI215 AF216 AI216 AF217 AI217 AF218 AI218 AF219 AI219 AF220 AI220 AF221 AI221 AF222 AI222 AF223 AI223 AF224 AI224 AF225 AI225 AF228 AI228 AF229 AI229 AF230 AI230 AF231 AI231 AF232 AI232 AF233 AI233 AF234 AI234 AF235 AI235 AF236 AI236 AF237 AI237 AF238 AI238 AF239 AI239 AF240 AI240 AF241 AI241 AF242 AI242 AF243 AI243 AF244 AI244 AF245 AI245 AF246 AI246 AF247 AI247 AF248 AI248 AF249 AI249 AF250 AI250 AF251 AI251 AF252 AI252 AF253 AI253 AF254 AI254 AF255 AI255 AF256 AI256 AF257 AI257 AF258 AI258 AF259 AI259 AF260 AI260 AF261 AI261 AF262 AI262 AF263 AI263 AF264 AI264 AF265 AI265 AF266 AI266 AF267 AI267 AF268 AI268 AF269 AI269 AF270 AI270 AF271 AI271 AF272 AI272 AF273 AI273 AF274 AI274 AF275 AI275 AF276 AI276 AF277 AI277 AF278 AI278 AF279 AI279 AF280 AI280 AF281 AI281 AF282 AI282 AF283 AI283 AF284 AI284 AF285 AI285 AF286 AI286 AF287 AI287 AF288 AI288 AF289 AI289 AF290 AI290 AF291 AI291 AF292 AI292 AF293 AI293 AF294 AI294 AF295 AI295 AF296 AI296 AF297 AI297 AF298 AI298 AF299 AI299 AF300 AI300 AF301 AI301 AF302 AI302 AF303 AI303 AF304 AI304 AF305 AI305 AF306 AI306 AF307 AI307 AF308 AI308 AF309 AI309 AF310 AI310 AF311 AI311 AF312 AI312 AF313 AI313 AF314 AI314 AF315 AI315 AF316 AI316 AF317 AI317 AF318 AI318 AF319 AI319 AF320 AI320 AF321 AI321 AF322 AI322 AF323 AI323 AF324 AI324 AF325 AI325 AF326 AI326 AF327 AI327 AF328 AI328 AF329 AI329 AF330 AI330 AF331 AI331 AF332 AI332 AF333 AI333 AF334 AI334 AF335 AI335 AF336 AI336 AF337 AI337 AF338 AI338 AF339 AI339 AF340 AI340 AF341 AI341 AF342 AI342 AF343 AI343 AF344 AI344 AF345 AI345 AF346 AI346 AF347 AI347 AF348 AI348 AF349 AI349 AF350 AI350 AF351 AI351 AF352 AI352 AF353 AI353 AF354 AI354 AF355 AI355 AF356 AI356 AF357 AI357 AF358 AI358 AF359 AI359 AF360 AI360 AF361 AI361 AF362 AI362 AF363 AI363 AF364 AI364 AF365 AI365 AF366 AI366 AF367 AI367 AF368 AI368">
      <formula1>0</formula1>
      <formula2>9.99999999999999E+23</formula2>
    </dataValidation>
    <dataValidation type="decimal" operator="between" allowBlank="1" showErrorMessage="1" errorTitle="Ошибка" error="Допускается ввод только неотрицательных чисел!" sqref="AC17 AE17 AC22 AE22 AC27 AE27 AC32 AE32 AC37 AE37 AC42 AE42 AC47 AE47 AC52 AE52 AC57 AE57 AC62 AE62 AC67 AE67 AC72 AE72 AC77 AE77 AC82 AE82 AC87 AE87 AC92 AE92 AC97 AE97 AC102 AE102 AC107 AE107 AC112 AE112 AC117 AE117 AC122 AE122 AC127 AE127 AC132 AE132 AC137 AE137 AC142 AE142 AC147 AE147 AC152 AE152 AC157 AE157 AC162 AE162 AC167 AE167 AC172 AE172 AC177 AE177 AC182 AE182 AC187 AE187 AC192 AE192 AC197 AE197 AC202 AE202 AC207 AE207 AC208 AE208 AC213 AE213 AC218 AE218 AC223 AE223 AC230 AE230 AC235 AE235 AC240 AE240 AC245 AE245 AC250 AE250 AC255 AE255 AC260 AE260 AC265 AE265 AC270 AE270 AC275 AE275 AC280 AE280 AC285 AE285 AC290 AE290 AC295 AE295 AC300 AE300 AC305 AE305 AC310 AE310 AC315 AE315 AC320 AE320 AC325 AE325 AC330 AE330 AC335 AE335 AC340 AE340 AC345 AE345 AC350 AE350 AC355 AE355 AC360 AE360 AC365 AE365 AC366 AE366">
      <formula1>0</formula1>
      <formula2>9.99999999999999E+23</formula2>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C59"/>
  <sheetViews>
    <sheetView showGridLines="0" zoomScale="85" zoomScaleNormal="85" workbookViewId="0">
      <pane xSplit="9" ySplit="13" topLeftCell="J14" activePane="bottomRight" state="frozen"/>
      <selection/>
      <selection pane="topRight"/>
      <selection pane="bottomLeft"/>
      <selection pane="bottomRight" activeCell="N1" sqref="N1:P59"/>
    </sheetView>
  </sheetViews>
  <sheetFormatPr defaultColWidth="9.14285714285714" defaultRowHeight="10.5" customHeight="1"/>
  <cols>
    <col min="1" max="3" width="4.14285714285714" style="297" hidden="1" customWidth="1"/>
    <col min="4" max="4" width="4.14285714285714" style="38" hidden="1" customWidth="1"/>
    <col min="5" max="5" width="3" style="43" customWidth="1"/>
    <col min="6" max="6" width="6" style="43" customWidth="1"/>
    <col min="7" max="7" width="60" style="43" customWidth="1"/>
    <col min="8" max="9" width="21.7142857142857" style="43" hidden="1" customWidth="1"/>
    <col min="10" max="10" width="0.142857142857143" style="43" customWidth="1"/>
    <col min="11" max="12" width="21.7142857142857" style="43" hidden="1" customWidth="1"/>
    <col min="13" max="13" width="0.142857142857143" style="43" customWidth="1"/>
    <col min="14" max="15" width="21.7142857142857" style="43" hidden="1" customWidth="1"/>
    <col min="16" max="16" width="0.142857142857143" style="43" customWidth="1"/>
    <col min="17" max="17" width="1" style="43" customWidth="1"/>
    <col min="18" max="28" width="8" style="43" customWidth="1"/>
    <col min="29" max="29" width="9.14285714285714" style="43" hidden="1"/>
  </cols>
  <sheetData>
    <row r="1" s="38" customFormat="1" hidden="1" customHeight="1" spans="1:29">
      <c r="A1" s="297"/>
      <c r="B1" s="297"/>
      <c r="C1" s="297"/>
      <c r="AC1" s="38" t="s">
        <v>14</v>
      </c>
    </row>
    <row r="2" hidden="1" customHeight="1" spans="29:29">
      <c r="AC2" s="43">
        <v>0</v>
      </c>
    </row>
    <row r="3" s="575" customFormat="1" hidden="1" customHeight="1" spans="1:29">
      <c r="A3" s="297"/>
      <c r="B3" s="297"/>
      <c r="C3" s="297"/>
      <c r="D3" s="38"/>
      <c r="AC3" s="575">
        <v>0</v>
      </c>
    </row>
    <row r="4" ht="3" customHeight="1" spans="29:29">
      <c r="AC4" s="43">
        <v>3</v>
      </c>
    </row>
    <row r="5" ht="27.3" customHeight="1" spans="6:29">
      <c r="F5" s="75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755"/>
      <c r="H5" s="755"/>
      <c r="I5" s="755"/>
      <c r="J5" s="755"/>
      <c r="K5" s="755"/>
      <c r="L5" s="755"/>
      <c r="M5" s="755"/>
      <c r="N5" s="755"/>
      <c r="O5" s="755"/>
      <c r="P5" s="755"/>
      <c r="AC5" s="43">
        <v>26</v>
      </c>
    </row>
    <row r="6" customHeight="1" spans="6:29">
      <c r="F6" s="660" t="str">
        <f>IF(org=0,"Не определено",org)</f>
        <v>АО "Теплокоммунэнерго"</v>
      </c>
      <c r="G6" s="660"/>
      <c r="H6" s="660"/>
      <c r="I6" s="660"/>
      <c r="J6" s="660"/>
      <c r="K6" s="660"/>
      <c r="L6" s="660"/>
      <c r="M6" s="660"/>
      <c r="N6" s="660"/>
      <c r="O6" s="660"/>
      <c r="P6" s="660"/>
      <c r="AC6" s="43">
        <v>10</v>
      </c>
    </row>
    <row r="7" ht="11.55" customHeight="1" spans="5:29">
      <c r="E7" s="53"/>
      <c r="F7" s="879"/>
      <c r="G7" s="879"/>
      <c r="H7" s="879"/>
      <c r="I7" s="879"/>
      <c r="J7" s="879"/>
      <c r="K7" s="879" t="s">
        <v>22</v>
      </c>
      <c r="L7" s="879"/>
      <c r="M7" s="879"/>
      <c r="N7" s="879" t="s">
        <v>22</v>
      </c>
      <c r="O7" s="879"/>
      <c r="P7" s="879"/>
      <c r="Q7" s="81"/>
      <c r="R7" s="81"/>
      <c r="S7" s="81"/>
      <c r="T7" s="81"/>
      <c r="U7" s="81"/>
      <c r="V7" s="81"/>
      <c r="W7" s="81"/>
      <c r="X7" s="81"/>
      <c r="Y7" s="81"/>
      <c r="Z7" s="81"/>
      <c r="AA7" s="81"/>
      <c r="AB7" s="81"/>
      <c r="AC7" s="43">
        <v>11</v>
      </c>
    </row>
    <row r="8" s="44" customFormat="1" ht="4.2" customHeight="1" spans="1:29">
      <c r="A8" s="307"/>
      <c r="B8" s="307"/>
      <c r="C8" s="307"/>
      <c r="E8" s="152"/>
      <c r="F8" s="880"/>
      <c r="G8" s="880"/>
      <c r="H8" s="880"/>
      <c r="I8" s="880"/>
      <c r="J8" s="880"/>
      <c r="K8" s="880" t="s">
        <v>1004</v>
      </c>
      <c r="L8" s="880"/>
      <c r="M8" s="880"/>
      <c r="N8" s="880" t="s">
        <v>1008</v>
      </c>
      <c r="O8" s="880"/>
      <c r="P8" s="880"/>
      <c r="Q8" s="152"/>
      <c r="R8" s="152"/>
      <c r="S8" s="152"/>
      <c r="T8" s="152"/>
      <c r="U8" s="152"/>
      <c r="V8" s="152"/>
      <c r="W8" s="152"/>
      <c r="X8" s="152"/>
      <c r="Y8" s="152"/>
      <c r="Z8" s="152"/>
      <c r="AA8" s="152"/>
      <c r="AB8" s="152"/>
      <c r="AC8" s="44">
        <v>4</v>
      </c>
    </row>
    <row r="9" customHeight="1" spans="5:29">
      <c r="E9" s="53"/>
      <c r="F9" s="881" t="s">
        <v>296</v>
      </c>
      <c r="G9" s="882"/>
      <c r="H9" s="882"/>
      <c r="I9" s="882"/>
      <c r="J9" s="882"/>
      <c r="K9" s="882"/>
      <c r="L9" s="882"/>
      <c r="M9" s="882"/>
      <c r="N9" s="882"/>
      <c r="O9" s="882"/>
      <c r="P9" s="882"/>
      <c r="Q9" s="893"/>
      <c r="R9" s="81"/>
      <c r="S9" s="81"/>
      <c r="T9" s="81"/>
      <c r="U9" s="81"/>
      <c r="V9" s="81"/>
      <c r="W9" s="81"/>
      <c r="X9" s="81"/>
      <c r="Y9" s="81"/>
      <c r="Z9" s="81"/>
      <c r="AA9" s="81"/>
      <c r="AB9" s="81"/>
      <c r="AC9" s="43">
        <v>10</v>
      </c>
    </row>
    <row r="10" ht="25.2" customHeight="1" spans="5:29">
      <c r="E10" s="81"/>
      <c r="F10" s="883" t="s">
        <v>89</v>
      </c>
      <c r="G10" s="468" t="s">
        <v>1218</v>
      </c>
      <c r="H10" s="260" t="s">
        <v>1219</v>
      </c>
      <c r="I10" s="260"/>
      <c r="J10" s="260"/>
      <c r="K10" s="260" t="s">
        <v>1219</v>
      </c>
      <c r="L10" s="260"/>
      <c r="M10" s="260"/>
      <c r="N10" s="260" t="s">
        <v>1219</v>
      </c>
      <c r="O10" s="260"/>
      <c r="P10" s="260"/>
      <c r="Q10" s="894"/>
      <c r="R10" s="81"/>
      <c r="S10" s="81"/>
      <c r="T10" s="81"/>
      <c r="U10" s="81"/>
      <c r="V10" s="81"/>
      <c r="W10" s="81"/>
      <c r="X10" s="81"/>
      <c r="Y10" s="81"/>
      <c r="Z10" s="81"/>
      <c r="AA10" s="81"/>
      <c r="AB10" s="81"/>
      <c r="AC10" s="43">
        <v>24</v>
      </c>
    </row>
    <row r="11" ht="25.5" customHeight="1" spans="5:29">
      <c r="E11" s="81"/>
      <c r="F11" s="884"/>
      <c r="G11" s="468"/>
      <c r="H11" s="790" t="e">
        <f>INDEX(IP_MAIN_LIST_NAME_IP,MATCH(H8,IP_MAIN_LIST_IP_ID,0))&amp;" ("&amp;INDEX(IP_MAIN_START_DATE,MATCH(H8,IP_MAIN_LIST_IP_ID,0))&amp;"-"&amp;INDEX(IP_MAIN_END_DATE,MATCH(H8,IP_MAIN_LIST_IP_ID,0))&amp;")"</f>
        <v>#N/A</v>
      </c>
      <c r="I11" s="790"/>
      <c r="J11" s="790"/>
      <c r="K11" s="790" t="str">
        <f>INDEX(IP_MAIN_LIST_NAME_IP,MATCH(K8,IP_MAIN_LIST_IP_ID,0))&amp;" ("&amp;INDEX(IP_MAIN_START_DATE,MATCH(K8,IP_MAIN_LIST_IP_ID,0))&amp;"-"&amp;INDEX(IP_MAIN_END_DATE,MATCH(K8,IP_MAIN_LIST_IP_ID,0))&amp;")"</f>
        <v>Инвестиционная программа № 147 от 30.10.2025 АО "ТЕПЛОКОММУНЭНЕРГО" в сфере теплоснабжения по строительству, реконструкции и модернизации систем теплоснабжения, на территории городского округа Ростов-на-Дону на 2026 год (01.01.2026-31.12.2026)</v>
      </c>
      <c r="L11" s="790"/>
      <c r="M11" s="790"/>
      <c r="N11" s="790" t="str">
        <f>INDEX(IP_MAIN_LIST_NAME_IP,MATCH(N8,IP_MAIN_LIST_IP_ID,0))&amp;" ("&amp;INDEX(IP_MAIN_START_DATE,MATCH(N8,IP_MAIN_LIST_IP_ID,0))&amp;"-"&amp;INDEX(IP_MAIN_END_DATE,MATCH(N8,IP_MAIN_LIST_IP_ID,0))&amp;")"</f>
        <v>Инвестиционная программа № 148 от 30.10.2025 АО "ТЕПЛОКОММУНЭНЕРГО"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Ростов-на-Дону на 2026 год (01.01.2026-31.12.2026)</v>
      </c>
      <c r="O11" s="790"/>
      <c r="P11" s="790"/>
      <c r="Q11" s="894"/>
      <c r="R11" s="81"/>
      <c r="S11" s="81"/>
      <c r="T11" s="81"/>
      <c r="U11" s="81"/>
      <c r="V11" s="81"/>
      <c r="W11" s="81"/>
      <c r="X11" s="81"/>
      <c r="Y11" s="81"/>
      <c r="Z11" s="81"/>
      <c r="AA11" s="81"/>
      <c r="AB11" s="81"/>
      <c r="AC11" s="43">
        <v>24</v>
      </c>
    </row>
    <row r="12" customHeight="1" spans="6:29">
      <c r="F12" s="885"/>
      <c r="G12" s="468"/>
      <c r="H12" s="468" t="s">
        <v>1220</v>
      </c>
      <c r="I12" s="891"/>
      <c r="J12" s="468"/>
      <c r="K12" s="468" t="s">
        <v>1220</v>
      </c>
      <c r="L12" s="891">
        <v>2026</v>
      </c>
      <c r="M12" s="468"/>
      <c r="N12" s="468" t="s">
        <v>1220</v>
      </c>
      <c r="O12" s="891">
        <v>2026</v>
      </c>
      <c r="P12" s="468"/>
      <c r="Q12" s="429"/>
      <c r="AC12" s="43">
        <v>10</v>
      </c>
    </row>
    <row r="13" hidden="1" customHeight="1" spans="6:29">
      <c r="F13" s="468">
        <v>1</v>
      </c>
      <c r="G13" s="468">
        <v>2</v>
      </c>
      <c r="H13" s="468">
        <v>3</v>
      </c>
      <c r="I13" s="468">
        <v>4</v>
      </c>
      <c r="J13" s="468">
        <v>5</v>
      </c>
      <c r="K13" s="468">
        <v>3</v>
      </c>
      <c r="L13" s="468">
        <v>4</v>
      </c>
      <c r="M13" s="468">
        <v>5</v>
      </c>
      <c r="N13" s="468">
        <v>3</v>
      </c>
      <c r="O13" s="468">
        <v>4</v>
      </c>
      <c r="P13" s="468">
        <v>5</v>
      </c>
      <c r="Q13" s="429"/>
      <c r="AC13" s="43">
        <v>0</v>
      </c>
    </row>
    <row r="14" ht="11.55" customHeight="1" spans="6:29">
      <c r="F14" s="260" t="s">
        <v>1221</v>
      </c>
      <c r="G14" s="886" t="s">
        <v>1222</v>
      </c>
      <c r="H14" s="886"/>
      <c r="I14" s="886"/>
      <c r="J14" s="886"/>
      <c r="K14" s="886"/>
      <c r="L14" s="886"/>
      <c r="M14" s="886"/>
      <c r="N14" s="886"/>
      <c r="O14" s="886"/>
      <c r="P14" s="886"/>
      <c r="Q14" s="429"/>
      <c r="AC14" s="43">
        <v>11</v>
      </c>
    </row>
    <row r="15" ht="11.55" customHeight="1" spans="6:29">
      <c r="F15" s="468">
        <v>1</v>
      </c>
      <c r="G15" s="887" t="s">
        <v>1223</v>
      </c>
      <c r="H15" s="491">
        <f t="shared" ref="H15:H36" si="0">SUM(I15:J15)</f>
        <v>0</v>
      </c>
      <c r="I15" s="491">
        <f>SUM(I16:I27)</f>
        <v>0</v>
      </c>
      <c r="J15" s="260"/>
      <c r="K15" s="491">
        <f t="shared" ref="K15:K36" si="1">SUM(L15:M15)</f>
        <v>0</v>
      </c>
      <c r="L15" s="491">
        <f>SUM(L16:L27)</f>
        <v>0</v>
      </c>
      <c r="M15" s="260"/>
      <c r="N15" s="491">
        <f t="shared" ref="N15:N36" si="2">SUM(O15:P15)</f>
        <v>0</v>
      </c>
      <c r="O15" s="491">
        <f>SUM(O16:O27)</f>
        <v>0</v>
      </c>
      <c r="P15" s="260"/>
      <c r="Q15" s="429"/>
      <c r="AC15" s="43">
        <v>11</v>
      </c>
    </row>
    <row r="16" ht="24" customHeight="1" spans="6:29">
      <c r="F16" s="468" t="s">
        <v>1224</v>
      </c>
      <c r="G16" s="888" t="s">
        <v>1225</v>
      </c>
      <c r="H16" s="491">
        <f t="shared" si="0"/>
        <v>0</v>
      </c>
      <c r="I16" s="892"/>
      <c r="J16" s="260"/>
      <c r="K16" s="491">
        <f t="shared" si="1"/>
        <v>0</v>
      </c>
      <c r="L16" s="892"/>
      <c r="M16" s="260"/>
      <c r="N16" s="491">
        <f t="shared" si="2"/>
        <v>0</v>
      </c>
      <c r="O16" s="892"/>
      <c r="P16" s="260"/>
      <c r="Q16" s="429"/>
      <c r="AC16" s="43">
        <v>23</v>
      </c>
    </row>
    <row r="17" ht="24" customHeight="1" spans="6:29">
      <c r="F17" s="468" t="s">
        <v>1226</v>
      </c>
      <c r="G17" s="888" t="s">
        <v>1227</v>
      </c>
      <c r="H17" s="491">
        <f t="shared" si="0"/>
        <v>0</v>
      </c>
      <c r="I17" s="892"/>
      <c r="J17" s="260"/>
      <c r="K17" s="491">
        <f t="shared" si="1"/>
        <v>0</v>
      </c>
      <c r="L17" s="892"/>
      <c r="M17" s="260"/>
      <c r="N17" s="491">
        <f t="shared" si="2"/>
        <v>0</v>
      </c>
      <c r="O17" s="892"/>
      <c r="P17" s="260"/>
      <c r="Q17" s="429"/>
      <c r="AC17" s="43">
        <v>23</v>
      </c>
    </row>
    <row r="18" ht="35.7" customHeight="1" spans="6:29">
      <c r="F18" s="468" t="s">
        <v>1228</v>
      </c>
      <c r="G18" s="888" t="s">
        <v>1229</v>
      </c>
      <c r="H18" s="491">
        <f t="shared" si="0"/>
        <v>0</v>
      </c>
      <c r="I18" s="892"/>
      <c r="J18" s="260"/>
      <c r="K18" s="491">
        <f t="shared" si="1"/>
        <v>0</v>
      </c>
      <c r="L18" s="892"/>
      <c r="M18" s="260"/>
      <c r="N18" s="491">
        <f t="shared" si="2"/>
        <v>0</v>
      </c>
      <c r="O18" s="892"/>
      <c r="P18" s="260"/>
      <c r="Q18" s="429"/>
      <c r="AC18" s="43">
        <v>34</v>
      </c>
    </row>
    <row r="19" ht="35.7" customHeight="1" spans="6:29">
      <c r="F19" s="468" t="s">
        <v>1230</v>
      </c>
      <c r="G19" s="888" t="s">
        <v>1231</v>
      </c>
      <c r="H19" s="491">
        <f t="shared" si="0"/>
        <v>0</v>
      </c>
      <c r="I19" s="892"/>
      <c r="J19" s="260"/>
      <c r="K19" s="491">
        <f t="shared" si="1"/>
        <v>0</v>
      </c>
      <c r="L19" s="892"/>
      <c r="M19" s="260"/>
      <c r="N19" s="491">
        <f t="shared" si="2"/>
        <v>0</v>
      </c>
      <c r="O19" s="892"/>
      <c r="P19" s="260"/>
      <c r="Q19" s="429"/>
      <c r="AC19" s="43">
        <v>34</v>
      </c>
    </row>
    <row r="20" ht="48.3" customHeight="1" spans="6:29">
      <c r="F20" s="468" t="s">
        <v>1232</v>
      </c>
      <c r="G20" s="888" t="s">
        <v>1233</v>
      </c>
      <c r="H20" s="491">
        <f t="shared" si="0"/>
        <v>0</v>
      </c>
      <c r="I20" s="892"/>
      <c r="J20" s="260"/>
      <c r="K20" s="491">
        <f t="shared" si="1"/>
        <v>0</v>
      </c>
      <c r="L20" s="892"/>
      <c r="M20" s="260"/>
      <c r="N20" s="491">
        <f t="shared" si="2"/>
        <v>0</v>
      </c>
      <c r="O20" s="892"/>
      <c r="P20" s="260"/>
      <c r="Q20" s="429"/>
      <c r="AC20" s="43">
        <v>46</v>
      </c>
    </row>
    <row r="21" ht="35.7" customHeight="1" spans="6:29">
      <c r="F21" s="468" t="s">
        <v>1234</v>
      </c>
      <c r="G21" s="888" t="s">
        <v>1235</v>
      </c>
      <c r="H21" s="491">
        <f t="shared" si="0"/>
        <v>0</v>
      </c>
      <c r="I21" s="892"/>
      <c r="J21" s="260"/>
      <c r="K21" s="491">
        <f t="shared" si="1"/>
        <v>0</v>
      </c>
      <c r="L21" s="892"/>
      <c r="M21" s="260"/>
      <c r="N21" s="491">
        <f t="shared" si="2"/>
        <v>0</v>
      </c>
      <c r="O21" s="892"/>
      <c r="P21" s="260"/>
      <c r="Q21" s="429"/>
      <c r="AC21" s="43">
        <v>34</v>
      </c>
    </row>
    <row r="22" ht="35.7" customHeight="1" spans="6:29">
      <c r="F22" s="468" t="s">
        <v>1236</v>
      </c>
      <c r="G22" s="888" t="s">
        <v>1237</v>
      </c>
      <c r="H22" s="491">
        <f t="shared" si="0"/>
        <v>0</v>
      </c>
      <c r="I22" s="892"/>
      <c r="J22" s="260"/>
      <c r="K22" s="491">
        <f t="shared" si="1"/>
        <v>0</v>
      </c>
      <c r="L22" s="892"/>
      <c r="M22" s="260"/>
      <c r="N22" s="491">
        <f t="shared" si="2"/>
        <v>0</v>
      </c>
      <c r="O22" s="892"/>
      <c r="P22" s="260"/>
      <c r="Q22" s="429"/>
      <c r="AC22" s="43">
        <v>34</v>
      </c>
    </row>
    <row r="23" ht="24" customHeight="1" spans="6:29">
      <c r="F23" s="468" t="s">
        <v>1238</v>
      </c>
      <c r="G23" s="888" t="s">
        <v>1239</v>
      </c>
      <c r="H23" s="491">
        <f t="shared" si="0"/>
        <v>0</v>
      </c>
      <c r="I23" s="892"/>
      <c r="J23" s="260"/>
      <c r="K23" s="491">
        <f t="shared" si="1"/>
        <v>0</v>
      </c>
      <c r="L23" s="892"/>
      <c r="M23" s="260"/>
      <c r="N23" s="491">
        <f t="shared" si="2"/>
        <v>0</v>
      </c>
      <c r="O23" s="892"/>
      <c r="P23" s="260"/>
      <c r="Q23" s="429"/>
      <c r="AC23" s="43">
        <v>23</v>
      </c>
    </row>
    <row r="24" ht="24" customHeight="1" spans="6:29">
      <c r="F24" s="468" t="s">
        <v>1240</v>
      </c>
      <c r="G24" s="888" t="s">
        <v>1241</v>
      </c>
      <c r="H24" s="491">
        <f t="shared" si="0"/>
        <v>0</v>
      </c>
      <c r="I24" s="892"/>
      <c r="J24" s="260"/>
      <c r="K24" s="491">
        <f t="shared" si="1"/>
        <v>0</v>
      </c>
      <c r="L24" s="892"/>
      <c r="M24" s="260"/>
      <c r="N24" s="491">
        <f t="shared" si="2"/>
        <v>0</v>
      </c>
      <c r="O24" s="892"/>
      <c r="P24" s="260"/>
      <c r="Q24" s="429"/>
      <c r="AC24" s="43">
        <v>23</v>
      </c>
    </row>
    <row r="25" ht="35.7" customHeight="1" spans="6:29">
      <c r="F25" s="468" t="s">
        <v>1242</v>
      </c>
      <c r="G25" s="888" t="s">
        <v>1243</v>
      </c>
      <c r="H25" s="491">
        <f t="shared" si="0"/>
        <v>0</v>
      </c>
      <c r="I25" s="892"/>
      <c r="J25" s="260"/>
      <c r="K25" s="491">
        <f t="shared" si="1"/>
        <v>0</v>
      </c>
      <c r="L25" s="892"/>
      <c r="M25" s="260"/>
      <c r="N25" s="491">
        <f t="shared" si="2"/>
        <v>0</v>
      </c>
      <c r="O25" s="892"/>
      <c r="P25" s="260"/>
      <c r="Q25" s="429"/>
      <c r="AC25" s="43">
        <v>34</v>
      </c>
    </row>
    <row r="26" ht="35.7" customHeight="1" spans="6:29">
      <c r="F26" s="468" t="s">
        <v>1244</v>
      </c>
      <c r="G26" s="888" t="s">
        <v>1245</v>
      </c>
      <c r="H26" s="491">
        <f t="shared" si="0"/>
        <v>0</v>
      </c>
      <c r="I26" s="892"/>
      <c r="J26" s="260"/>
      <c r="K26" s="491">
        <f t="shared" si="1"/>
        <v>0</v>
      </c>
      <c r="L26" s="892"/>
      <c r="M26" s="260"/>
      <c r="N26" s="491">
        <f t="shared" si="2"/>
        <v>0</v>
      </c>
      <c r="O26" s="892"/>
      <c r="P26" s="260"/>
      <c r="Q26" s="429"/>
      <c r="AC26" s="43">
        <v>34</v>
      </c>
    </row>
    <row r="27" ht="11.55" customHeight="1" spans="6:29">
      <c r="F27" s="468" t="s">
        <v>1246</v>
      </c>
      <c r="G27" s="888" t="s">
        <v>1247</v>
      </c>
      <c r="H27" s="491">
        <f t="shared" si="0"/>
        <v>0</v>
      </c>
      <c r="I27" s="892"/>
      <c r="J27" s="260"/>
      <c r="K27" s="491">
        <f t="shared" si="1"/>
        <v>0</v>
      </c>
      <c r="L27" s="892"/>
      <c r="M27" s="260"/>
      <c r="N27" s="491">
        <f t="shared" si="2"/>
        <v>0</v>
      </c>
      <c r="O27" s="892"/>
      <c r="P27" s="260"/>
      <c r="Q27" s="429"/>
      <c r="AC27" s="43">
        <v>11</v>
      </c>
    </row>
    <row r="28" ht="11.55" customHeight="1" spans="6:29">
      <c r="F28" s="468">
        <v>2</v>
      </c>
      <c r="G28" s="887" t="s">
        <v>1248</v>
      </c>
      <c r="H28" s="491">
        <f t="shared" si="0"/>
        <v>0</v>
      </c>
      <c r="I28" s="491">
        <f>SUM(I29:I31)</f>
        <v>0</v>
      </c>
      <c r="J28" s="260"/>
      <c r="K28" s="491">
        <f t="shared" si="1"/>
        <v>0</v>
      </c>
      <c r="L28" s="491">
        <f>SUM(L29:L31)</f>
        <v>0</v>
      </c>
      <c r="M28" s="260"/>
      <c r="N28" s="491">
        <f t="shared" si="2"/>
        <v>0</v>
      </c>
      <c r="O28" s="491">
        <f>SUM(O29:O31)</f>
        <v>0</v>
      </c>
      <c r="P28" s="260"/>
      <c r="Q28" s="429"/>
      <c r="AC28" s="43">
        <v>11</v>
      </c>
    </row>
    <row r="29" ht="11.55" customHeight="1" spans="6:29">
      <c r="F29" s="468" t="s">
        <v>703</v>
      </c>
      <c r="G29" s="888" t="s">
        <v>1249</v>
      </c>
      <c r="H29" s="491">
        <f t="shared" si="0"/>
        <v>0</v>
      </c>
      <c r="I29" s="892"/>
      <c r="J29" s="260"/>
      <c r="K29" s="491">
        <f t="shared" si="1"/>
        <v>0</v>
      </c>
      <c r="L29" s="892"/>
      <c r="M29" s="260"/>
      <c r="N29" s="491">
        <f t="shared" si="2"/>
        <v>0</v>
      </c>
      <c r="O29" s="892"/>
      <c r="P29" s="260"/>
      <c r="Q29" s="429"/>
      <c r="AC29" s="43">
        <v>11</v>
      </c>
    </row>
    <row r="30" ht="11.55" customHeight="1" spans="6:29">
      <c r="F30" s="468" t="s">
        <v>303</v>
      </c>
      <c r="G30" s="888" t="s">
        <v>1250</v>
      </c>
      <c r="H30" s="491">
        <f t="shared" si="0"/>
        <v>0</v>
      </c>
      <c r="I30" s="892"/>
      <c r="J30" s="260"/>
      <c r="K30" s="491">
        <f t="shared" si="1"/>
        <v>0</v>
      </c>
      <c r="L30" s="892"/>
      <c r="M30" s="260"/>
      <c r="N30" s="491">
        <f t="shared" si="2"/>
        <v>0</v>
      </c>
      <c r="O30" s="892"/>
      <c r="P30" s="260"/>
      <c r="Q30" s="429"/>
      <c r="AC30" s="43">
        <v>11</v>
      </c>
    </row>
    <row r="31" ht="11.55" customHeight="1" spans="6:29">
      <c r="F31" s="468" t="s">
        <v>306</v>
      </c>
      <c r="G31" s="888" t="s">
        <v>1251</v>
      </c>
      <c r="H31" s="491">
        <f t="shared" si="0"/>
        <v>0</v>
      </c>
      <c r="I31" s="892"/>
      <c r="J31" s="260"/>
      <c r="K31" s="491">
        <f t="shared" si="1"/>
        <v>0</v>
      </c>
      <c r="L31" s="892"/>
      <c r="M31" s="260"/>
      <c r="N31" s="491">
        <f t="shared" si="2"/>
        <v>0</v>
      </c>
      <c r="O31" s="892"/>
      <c r="P31" s="260"/>
      <c r="Q31" s="429"/>
      <c r="AC31" s="43">
        <v>11</v>
      </c>
    </row>
    <row r="32" ht="11.55" customHeight="1" spans="6:29">
      <c r="F32" s="468">
        <v>3</v>
      </c>
      <c r="G32" s="887" t="s">
        <v>1252</v>
      </c>
      <c r="H32" s="491">
        <f t="shared" si="0"/>
        <v>0</v>
      </c>
      <c r="I32" s="491">
        <f>SUM(I33:I34)</f>
        <v>0</v>
      </c>
      <c r="J32" s="260"/>
      <c r="K32" s="491">
        <f t="shared" si="1"/>
        <v>0</v>
      </c>
      <c r="L32" s="491">
        <f>SUM(L33:L34)</f>
        <v>0</v>
      </c>
      <c r="M32" s="260"/>
      <c r="N32" s="491">
        <f t="shared" si="2"/>
        <v>0</v>
      </c>
      <c r="O32" s="491">
        <f>SUM(O33:O34)</f>
        <v>0</v>
      </c>
      <c r="P32" s="260"/>
      <c r="Q32" s="429"/>
      <c r="AC32" s="43">
        <v>11</v>
      </c>
    </row>
    <row r="33" ht="48.3" customHeight="1" spans="6:29">
      <c r="F33" s="468" t="s">
        <v>320</v>
      </c>
      <c r="G33" s="888" t="s">
        <v>1253</v>
      </c>
      <c r="H33" s="491">
        <f t="shared" si="0"/>
        <v>0</v>
      </c>
      <c r="I33" s="892"/>
      <c r="J33" s="260"/>
      <c r="K33" s="491">
        <f t="shared" si="1"/>
        <v>0</v>
      </c>
      <c r="L33" s="892"/>
      <c r="M33" s="260"/>
      <c r="N33" s="491">
        <f t="shared" si="2"/>
        <v>0</v>
      </c>
      <c r="O33" s="892"/>
      <c r="P33" s="260"/>
      <c r="Q33" s="429"/>
      <c r="AC33" s="43">
        <v>46</v>
      </c>
    </row>
    <row r="34" ht="11.55" customHeight="1" spans="6:29">
      <c r="F34" s="468" t="s">
        <v>328</v>
      </c>
      <c r="G34" s="888" t="s">
        <v>1254</v>
      </c>
      <c r="H34" s="491">
        <f t="shared" si="0"/>
        <v>0</v>
      </c>
      <c r="I34" s="892"/>
      <c r="J34" s="260"/>
      <c r="K34" s="491">
        <f t="shared" si="1"/>
        <v>0</v>
      </c>
      <c r="L34" s="892"/>
      <c r="M34" s="260"/>
      <c r="N34" s="491">
        <f t="shared" si="2"/>
        <v>0</v>
      </c>
      <c r="O34" s="892"/>
      <c r="P34" s="260"/>
      <c r="Q34" s="429"/>
      <c r="AC34" s="43">
        <v>11</v>
      </c>
    </row>
    <row r="35" ht="11.55" customHeight="1" spans="6:29">
      <c r="F35" s="468">
        <v>4</v>
      </c>
      <c r="G35" s="887" t="s">
        <v>1255</v>
      </c>
      <c r="H35" s="491">
        <f t="shared" si="0"/>
        <v>0</v>
      </c>
      <c r="I35" s="892"/>
      <c r="J35" s="260"/>
      <c r="K35" s="491">
        <f t="shared" si="1"/>
        <v>0</v>
      </c>
      <c r="L35" s="892"/>
      <c r="M35" s="260"/>
      <c r="N35" s="491">
        <f t="shared" si="2"/>
        <v>0</v>
      </c>
      <c r="O35" s="892"/>
      <c r="P35" s="260"/>
      <c r="Q35" s="429"/>
      <c r="AC35" s="43">
        <v>11</v>
      </c>
    </row>
    <row r="36" ht="11.55" customHeight="1" spans="6:29">
      <c r="F36" s="468"/>
      <c r="G36" s="886" t="s">
        <v>1256</v>
      </c>
      <c r="H36" s="491">
        <f t="shared" si="0"/>
        <v>0</v>
      </c>
      <c r="I36" s="491">
        <f>SUM(I15,I28,I32,I35)</f>
        <v>0</v>
      </c>
      <c r="J36" s="260"/>
      <c r="K36" s="491">
        <f t="shared" si="1"/>
        <v>0</v>
      </c>
      <c r="L36" s="491">
        <f>SUM(L15,L28,L32,L35)</f>
        <v>0</v>
      </c>
      <c r="M36" s="260"/>
      <c r="N36" s="491">
        <f t="shared" si="2"/>
        <v>0</v>
      </c>
      <c r="O36" s="491">
        <f>SUM(O15,O28,O32,O35)</f>
        <v>0</v>
      </c>
      <c r="P36" s="260"/>
      <c r="Q36" s="429"/>
      <c r="AC36" s="43">
        <v>11</v>
      </c>
    </row>
    <row r="37" ht="29.25" customHeight="1" spans="6:29">
      <c r="F37" s="260" t="s">
        <v>1257</v>
      </c>
      <c r="G37" s="889" t="s">
        <v>1258</v>
      </c>
      <c r="H37" s="889"/>
      <c r="I37" s="889"/>
      <c r="J37" s="889"/>
      <c r="K37" s="889"/>
      <c r="L37" s="889"/>
      <c r="M37" s="889"/>
      <c r="N37" s="889"/>
      <c r="O37" s="889"/>
      <c r="P37" s="889"/>
      <c r="Q37" s="429"/>
      <c r="AC37" s="43">
        <v>28</v>
      </c>
    </row>
    <row r="38" ht="24" customHeight="1" spans="6:29">
      <c r="F38" s="468" t="s">
        <v>107</v>
      </c>
      <c r="G38" s="887" t="s">
        <v>1259</v>
      </c>
      <c r="H38" s="491">
        <f t="shared" ref="H38:H58" si="3">SUM(I38:J38)</f>
        <v>0</v>
      </c>
      <c r="I38" s="491">
        <f>SUM(I39,I44,I47)</f>
        <v>0</v>
      </c>
      <c r="J38" s="260"/>
      <c r="K38" s="491">
        <f t="shared" ref="K38:K58" si="4">SUM(L38:M38)</f>
        <v>0</v>
      </c>
      <c r="L38" s="491">
        <f>SUM(L39,L44,L47)</f>
        <v>0</v>
      </c>
      <c r="M38" s="260"/>
      <c r="N38" s="491">
        <f t="shared" ref="N38:N58" si="5">SUM(O38:P38)</f>
        <v>0</v>
      </c>
      <c r="O38" s="491">
        <f>SUM(O39,O44,O47)</f>
        <v>0</v>
      </c>
      <c r="P38" s="260"/>
      <c r="Q38" s="429"/>
      <c r="AC38" s="43">
        <v>23</v>
      </c>
    </row>
    <row r="39" ht="11.55" customHeight="1" spans="6:29">
      <c r="F39" s="468" t="s">
        <v>1224</v>
      </c>
      <c r="G39" s="888" t="s">
        <v>1223</v>
      </c>
      <c r="H39" s="491">
        <f t="shared" si="3"/>
        <v>0</v>
      </c>
      <c r="I39" s="491">
        <f>SUM(I40:I43)</f>
        <v>0</v>
      </c>
      <c r="J39" s="260"/>
      <c r="K39" s="491">
        <f t="shared" si="4"/>
        <v>0</v>
      </c>
      <c r="L39" s="491">
        <f>SUM(L40:L43)</f>
        <v>0</v>
      </c>
      <c r="M39" s="260"/>
      <c r="N39" s="491">
        <f t="shared" si="5"/>
        <v>0</v>
      </c>
      <c r="O39" s="491">
        <f>SUM(O40:O43)</f>
        <v>0</v>
      </c>
      <c r="P39" s="260"/>
      <c r="Q39" s="429"/>
      <c r="AC39" s="43">
        <v>11</v>
      </c>
    </row>
    <row r="40" ht="24" customHeight="1" spans="6:29">
      <c r="F40" s="468" t="s">
        <v>1260</v>
      </c>
      <c r="G40" s="890" t="s">
        <v>1261</v>
      </c>
      <c r="H40" s="491">
        <f t="shared" si="3"/>
        <v>0</v>
      </c>
      <c r="I40" s="892"/>
      <c r="J40" s="260"/>
      <c r="K40" s="491">
        <f t="shared" si="4"/>
        <v>0</v>
      </c>
      <c r="L40" s="892"/>
      <c r="M40" s="260"/>
      <c r="N40" s="491">
        <f t="shared" si="5"/>
        <v>0</v>
      </c>
      <c r="O40" s="892"/>
      <c r="P40" s="260"/>
      <c r="Q40" s="429"/>
      <c r="AC40" s="43">
        <v>23</v>
      </c>
    </row>
    <row r="41" ht="11.55" customHeight="1" spans="6:29">
      <c r="F41" s="468" t="s">
        <v>1262</v>
      </c>
      <c r="G41" s="890" t="s">
        <v>1263</v>
      </c>
      <c r="H41" s="491">
        <f t="shared" si="3"/>
        <v>0</v>
      </c>
      <c r="I41" s="892"/>
      <c r="J41" s="260"/>
      <c r="K41" s="491">
        <f t="shared" si="4"/>
        <v>0</v>
      </c>
      <c r="L41" s="892"/>
      <c r="M41" s="260"/>
      <c r="N41" s="491">
        <f t="shared" si="5"/>
        <v>0</v>
      </c>
      <c r="O41" s="892"/>
      <c r="P41" s="260"/>
      <c r="Q41" s="429"/>
      <c r="AC41" s="43">
        <v>11</v>
      </c>
    </row>
    <row r="42" ht="11.55" customHeight="1" spans="6:29">
      <c r="F42" s="468" t="s">
        <v>1264</v>
      </c>
      <c r="G42" s="890" t="s">
        <v>1265</v>
      </c>
      <c r="H42" s="491">
        <f t="shared" si="3"/>
        <v>0</v>
      </c>
      <c r="I42" s="892"/>
      <c r="J42" s="260"/>
      <c r="K42" s="491">
        <f t="shared" si="4"/>
        <v>0</v>
      </c>
      <c r="L42" s="892"/>
      <c r="M42" s="260"/>
      <c r="N42" s="491">
        <f t="shared" si="5"/>
        <v>0</v>
      </c>
      <c r="O42" s="892"/>
      <c r="P42" s="260"/>
      <c r="Q42" s="429"/>
      <c r="AC42" s="43">
        <v>11</v>
      </c>
    </row>
    <row r="43" ht="35.7" customHeight="1" spans="6:29">
      <c r="F43" s="468" t="s">
        <v>1266</v>
      </c>
      <c r="G43" s="890" t="s">
        <v>1267</v>
      </c>
      <c r="H43" s="491">
        <f t="shared" si="3"/>
        <v>0</v>
      </c>
      <c r="I43" s="892"/>
      <c r="J43" s="260"/>
      <c r="K43" s="491">
        <f t="shared" si="4"/>
        <v>0</v>
      </c>
      <c r="L43" s="892"/>
      <c r="M43" s="260"/>
      <c r="N43" s="491">
        <f t="shared" si="5"/>
        <v>0</v>
      </c>
      <c r="O43" s="892"/>
      <c r="P43" s="260"/>
      <c r="Q43" s="429"/>
      <c r="AC43" s="43">
        <v>34</v>
      </c>
    </row>
    <row r="44" ht="11.55" customHeight="1" spans="6:29">
      <c r="F44" s="468" t="s">
        <v>1226</v>
      </c>
      <c r="G44" s="888" t="s">
        <v>1252</v>
      </c>
      <c r="H44" s="491">
        <f t="shared" si="3"/>
        <v>0</v>
      </c>
      <c r="I44" s="491">
        <f>SUM(I45:I46)</f>
        <v>0</v>
      </c>
      <c r="J44" s="260"/>
      <c r="K44" s="491">
        <f t="shared" si="4"/>
        <v>0</v>
      </c>
      <c r="L44" s="491">
        <f>SUM(L45:L46)</f>
        <v>0</v>
      </c>
      <c r="M44" s="260"/>
      <c r="N44" s="491">
        <f t="shared" si="5"/>
        <v>0</v>
      </c>
      <c r="O44" s="491">
        <f>SUM(O45:O46)</f>
        <v>0</v>
      </c>
      <c r="P44" s="260"/>
      <c r="Q44" s="429"/>
      <c r="AC44" s="43">
        <v>11</v>
      </c>
    </row>
    <row r="45" ht="48.3" customHeight="1" spans="6:29">
      <c r="F45" s="468" t="s">
        <v>1268</v>
      </c>
      <c r="G45" s="890" t="s">
        <v>1253</v>
      </c>
      <c r="H45" s="491">
        <f t="shared" si="3"/>
        <v>0</v>
      </c>
      <c r="I45" s="892"/>
      <c r="J45" s="260"/>
      <c r="K45" s="491">
        <f t="shared" si="4"/>
        <v>0</v>
      </c>
      <c r="L45" s="892"/>
      <c r="M45" s="260"/>
      <c r="N45" s="491">
        <f t="shared" si="5"/>
        <v>0</v>
      </c>
      <c r="O45" s="892"/>
      <c r="P45" s="260"/>
      <c r="Q45" s="429"/>
      <c r="AC45" s="43">
        <v>46</v>
      </c>
    </row>
    <row r="46" ht="11.55" customHeight="1" spans="6:29">
      <c r="F46" s="468" t="s">
        <v>1269</v>
      </c>
      <c r="G46" s="890" t="s">
        <v>1254</v>
      </c>
      <c r="H46" s="491">
        <f t="shared" si="3"/>
        <v>0</v>
      </c>
      <c r="I46" s="892"/>
      <c r="J46" s="260"/>
      <c r="K46" s="491">
        <f t="shared" si="4"/>
        <v>0</v>
      </c>
      <c r="L46" s="892"/>
      <c r="M46" s="260"/>
      <c r="N46" s="491">
        <f t="shared" si="5"/>
        <v>0</v>
      </c>
      <c r="O46" s="892"/>
      <c r="P46" s="260"/>
      <c r="Q46" s="429"/>
      <c r="AC46" s="43">
        <v>11</v>
      </c>
    </row>
    <row r="47" ht="11.55" customHeight="1" spans="6:29">
      <c r="F47" s="468" t="s">
        <v>1228</v>
      </c>
      <c r="G47" s="888" t="s">
        <v>1270</v>
      </c>
      <c r="H47" s="491">
        <f t="shared" si="3"/>
        <v>0</v>
      </c>
      <c r="I47" s="892"/>
      <c r="J47" s="260"/>
      <c r="K47" s="491">
        <f t="shared" si="4"/>
        <v>0</v>
      </c>
      <c r="L47" s="892"/>
      <c r="M47" s="260"/>
      <c r="N47" s="491">
        <f t="shared" si="5"/>
        <v>0</v>
      </c>
      <c r="O47" s="892"/>
      <c r="P47" s="260"/>
      <c r="Q47" s="429"/>
      <c r="AC47" s="43">
        <v>11</v>
      </c>
    </row>
    <row r="48" ht="24" customHeight="1" spans="6:29">
      <c r="F48" s="468" t="s">
        <v>108</v>
      </c>
      <c r="G48" s="887" t="s">
        <v>1271</v>
      </c>
      <c r="H48" s="491">
        <f t="shared" si="3"/>
        <v>0</v>
      </c>
      <c r="I48" s="491">
        <f>SUM(I49,I54,I57)</f>
        <v>0</v>
      </c>
      <c r="J48" s="260"/>
      <c r="K48" s="491">
        <f t="shared" si="4"/>
        <v>0</v>
      </c>
      <c r="L48" s="491">
        <f>SUM(L49,L54,L57)</f>
        <v>0</v>
      </c>
      <c r="M48" s="260"/>
      <c r="N48" s="491">
        <f t="shared" si="5"/>
        <v>0</v>
      </c>
      <c r="O48" s="491">
        <f>SUM(O49,O54,O57)</f>
        <v>0</v>
      </c>
      <c r="P48" s="260"/>
      <c r="Q48" s="429"/>
      <c r="AC48" s="43">
        <v>23</v>
      </c>
    </row>
    <row r="49" ht="11.55" customHeight="1" spans="6:29">
      <c r="F49" s="468" t="s">
        <v>703</v>
      </c>
      <c r="G49" s="888" t="s">
        <v>1223</v>
      </c>
      <c r="H49" s="491">
        <f t="shared" si="3"/>
        <v>0</v>
      </c>
      <c r="I49" s="491">
        <f>SUM(I50:I53)</f>
        <v>0</v>
      </c>
      <c r="J49" s="260"/>
      <c r="K49" s="491">
        <f t="shared" si="4"/>
        <v>0</v>
      </c>
      <c r="L49" s="491">
        <f>SUM(L50:L53)</f>
        <v>0</v>
      </c>
      <c r="M49" s="260"/>
      <c r="N49" s="491">
        <f t="shared" si="5"/>
        <v>0</v>
      </c>
      <c r="O49" s="491">
        <f>SUM(O50:O53)</f>
        <v>0</v>
      </c>
      <c r="P49" s="260"/>
      <c r="Q49" s="429"/>
      <c r="AC49" s="43">
        <v>11</v>
      </c>
    </row>
    <row r="50" ht="24" customHeight="1" spans="6:29">
      <c r="F50" s="468" t="s">
        <v>706</v>
      </c>
      <c r="G50" s="890" t="s">
        <v>1261</v>
      </c>
      <c r="H50" s="491">
        <f t="shared" si="3"/>
        <v>0</v>
      </c>
      <c r="I50" s="892"/>
      <c r="J50" s="260"/>
      <c r="K50" s="491">
        <f t="shared" si="4"/>
        <v>0</v>
      </c>
      <c r="L50" s="892"/>
      <c r="M50" s="260"/>
      <c r="N50" s="491">
        <f t="shared" si="5"/>
        <v>0</v>
      </c>
      <c r="O50" s="892"/>
      <c r="P50" s="260"/>
      <c r="Q50" s="429"/>
      <c r="AC50" s="43">
        <v>23</v>
      </c>
    </row>
    <row r="51" ht="11.55" customHeight="1" spans="6:29">
      <c r="F51" s="468" t="s">
        <v>709</v>
      </c>
      <c r="G51" s="890" t="s">
        <v>1263</v>
      </c>
      <c r="H51" s="491">
        <f t="shared" si="3"/>
        <v>0</v>
      </c>
      <c r="I51" s="892"/>
      <c r="J51" s="260"/>
      <c r="K51" s="491">
        <f t="shared" si="4"/>
        <v>0</v>
      </c>
      <c r="L51" s="892"/>
      <c r="M51" s="260"/>
      <c r="N51" s="491">
        <f t="shared" si="5"/>
        <v>0</v>
      </c>
      <c r="O51" s="892"/>
      <c r="P51" s="260"/>
      <c r="Q51" s="429"/>
      <c r="AC51" s="43">
        <v>11</v>
      </c>
    </row>
    <row r="52" ht="11.55" customHeight="1" spans="6:29">
      <c r="F52" s="468" t="s">
        <v>1272</v>
      </c>
      <c r="G52" s="890" t="s">
        <v>1265</v>
      </c>
      <c r="H52" s="491">
        <f t="shared" si="3"/>
        <v>0</v>
      </c>
      <c r="I52" s="892"/>
      <c r="J52" s="260"/>
      <c r="K52" s="491">
        <f t="shared" si="4"/>
        <v>0</v>
      </c>
      <c r="L52" s="892"/>
      <c r="M52" s="260"/>
      <c r="N52" s="491">
        <f t="shared" si="5"/>
        <v>0</v>
      </c>
      <c r="O52" s="892"/>
      <c r="P52" s="260"/>
      <c r="Q52" s="429"/>
      <c r="AC52" s="43">
        <v>11</v>
      </c>
    </row>
    <row r="53" ht="35.7" customHeight="1" spans="6:29">
      <c r="F53" s="468" t="s">
        <v>1273</v>
      </c>
      <c r="G53" s="890" t="s">
        <v>1267</v>
      </c>
      <c r="H53" s="491">
        <f t="shared" si="3"/>
        <v>0</v>
      </c>
      <c r="I53" s="892"/>
      <c r="J53" s="260"/>
      <c r="K53" s="491">
        <f t="shared" si="4"/>
        <v>0</v>
      </c>
      <c r="L53" s="892"/>
      <c r="M53" s="260"/>
      <c r="N53" s="491">
        <f t="shared" si="5"/>
        <v>0</v>
      </c>
      <c r="O53" s="892"/>
      <c r="P53" s="260"/>
      <c r="Q53" s="429"/>
      <c r="AC53" s="43">
        <v>34</v>
      </c>
    </row>
    <row r="54" ht="11.55" customHeight="1" spans="6:29">
      <c r="F54" s="468" t="s">
        <v>303</v>
      </c>
      <c r="G54" s="888" t="s">
        <v>1252</v>
      </c>
      <c r="H54" s="491">
        <f t="shared" si="3"/>
        <v>0</v>
      </c>
      <c r="I54" s="491">
        <f>SUM(I55:I56)</f>
        <v>0</v>
      </c>
      <c r="J54" s="260"/>
      <c r="K54" s="491">
        <f t="shared" si="4"/>
        <v>0</v>
      </c>
      <c r="L54" s="491">
        <f>SUM(L55:L56)</f>
        <v>0</v>
      </c>
      <c r="M54" s="260"/>
      <c r="N54" s="491">
        <f t="shared" si="5"/>
        <v>0</v>
      </c>
      <c r="O54" s="491">
        <f>SUM(O55:O56)</f>
        <v>0</v>
      </c>
      <c r="P54" s="260"/>
      <c r="Q54" s="429"/>
      <c r="AC54" s="43">
        <v>11</v>
      </c>
    </row>
    <row r="55" ht="48.3" customHeight="1" spans="6:29">
      <c r="F55" s="468" t="s">
        <v>713</v>
      </c>
      <c r="G55" s="890" t="s">
        <v>1253</v>
      </c>
      <c r="H55" s="491">
        <f t="shared" si="3"/>
        <v>0</v>
      </c>
      <c r="I55" s="892"/>
      <c r="J55" s="260"/>
      <c r="K55" s="491">
        <f t="shared" si="4"/>
        <v>0</v>
      </c>
      <c r="L55" s="892"/>
      <c r="M55" s="260"/>
      <c r="N55" s="491">
        <f t="shared" si="5"/>
        <v>0</v>
      </c>
      <c r="O55" s="892"/>
      <c r="P55" s="260"/>
      <c r="Q55" s="429"/>
      <c r="AC55" s="43">
        <v>46</v>
      </c>
    </row>
    <row r="56" ht="11.55" customHeight="1" spans="6:29">
      <c r="F56" s="468" t="s">
        <v>715</v>
      </c>
      <c r="G56" s="890" t="s">
        <v>1254</v>
      </c>
      <c r="H56" s="491">
        <f t="shared" si="3"/>
        <v>0</v>
      </c>
      <c r="I56" s="892"/>
      <c r="J56" s="260"/>
      <c r="K56" s="491">
        <f t="shared" si="4"/>
        <v>0</v>
      </c>
      <c r="L56" s="892"/>
      <c r="M56" s="260"/>
      <c r="N56" s="491">
        <f t="shared" si="5"/>
        <v>0</v>
      </c>
      <c r="O56" s="892"/>
      <c r="P56" s="260"/>
      <c r="Q56" s="429"/>
      <c r="AC56" s="43">
        <v>11</v>
      </c>
    </row>
    <row r="57" ht="11.55" customHeight="1" spans="6:29">
      <c r="F57" s="468" t="s">
        <v>306</v>
      </c>
      <c r="G57" s="888" t="s">
        <v>1270</v>
      </c>
      <c r="H57" s="491">
        <f t="shared" si="3"/>
        <v>0</v>
      </c>
      <c r="I57" s="892"/>
      <c r="J57" s="260"/>
      <c r="K57" s="491">
        <f t="shared" si="4"/>
        <v>0</v>
      </c>
      <c r="L57" s="892"/>
      <c r="M57" s="260"/>
      <c r="N57" s="491">
        <f t="shared" si="5"/>
        <v>0</v>
      </c>
      <c r="O57" s="892"/>
      <c r="P57" s="260"/>
      <c r="Q57" s="429"/>
      <c r="AC57" s="43">
        <v>11</v>
      </c>
    </row>
    <row r="58" ht="11.55" customHeight="1" spans="6:29">
      <c r="F58" s="468"/>
      <c r="G58" s="889" t="s">
        <v>1256</v>
      </c>
      <c r="H58" s="491">
        <f t="shared" si="3"/>
        <v>0</v>
      </c>
      <c r="I58" s="491">
        <f>SUM(I38,I48)</f>
        <v>0</v>
      </c>
      <c r="J58" s="260"/>
      <c r="K58" s="491">
        <f t="shared" si="4"/>
        <v>0</v>
      </c>
      <c r="L58" s="491">
        <f>SUM(L38,L48)</f>
        <v>0</v>
      </c>
      <c r="M58" s="260"/>
      <c r="N58" s="491">
        <f t="shared" si="5"/>
        <v>0</v>
      </c>
      <c r="O58" s="491">
        <f>SUM(O38,O48)</f>
        <v>0</v>
      </c>
      <c r="P58" s="260"/>
      <c r="Q58" s="429"/>
      <c r="AC58" s="43">
        <v>11</v>
      </c>
    </row>
    <row r="59" hidden="1" customHeight="1" spans="1:29">
      <c r="A59" s="297" t="s">
        <v>83</v>
      </c>
      <c r="B59" s="297">
        <v>0</v>
      </c>
      <c r="C59" s="297">
        <v>0</v>
      </c>
      <c r="D59" s="38">
        <v>0</v>
      </c>
      <c r="E59" s="43">
        <v>3</v>
      </c>
      <c r="F59" s="43">
        <v>6</v>
      </c>
      <c r="G59" s="43">
        <v>60</v>
      </c>
      <c r="H59" s="43">
        <v>0</v>
      </c>
      <c r="I59" s="43">
        <v>0</v>
      </c>
      <c r="J59" s="43">
        <v>0</v>
      </c>
      <c r="K59" s="43">
        <v>0</v>
      </c>
      <c r="L59" s="43">
        <v>0</v>
      </c>
      <c r="M59" s="43">
        <v>0</v>
      </c>
      <c r="N59" s="43">
        <v>0</v>
      </c>
      <c r="O59" s="43">
        <v>0</v>
      </c>
      <c r="P59" s="43">
        <v>0</v>
      </c>
      <c r="Q59" s="43">
        <v>1</v>
      </c>
      <c r="R59" s="43">
        <v>8</v>
      </c>
      <c r="S59" s="43">
        <v>8</v>
      </c>
      <c r="T59" s="43">
        <v>8</v>
      </c>
      <c r="U59" s="43">
        <v>8</v>
      </c>
      <c r="V59" s="43">
        <v>8</v>
      </c>
      <c r="W59" s="43">
        <v>8</v>
      </c>
      <c r="X59" s="43">
        <v>8</v>
      </c>
      <c r="Y59" s="43">
        <v>8</v>
      </c>
      <c r="Z59" s="43">
        <v>8</v>
      </c>
      <c r="AA59" s="43">
        <v>8</v>
      </c>
      <c r="AB59" s="43">
        <v>8</v>
      </c>
      <c r="AC59" s="43">
        <v>10</v>
      </c>
    </row>
  </sheetData>
  <sheetProtection formatColumns="0" formatRows="0" insertRows="0" deleteColumns="0" deleteRows="0" sort="0" autoFilter="0"/>
  <mergeCells count="13">
    <mergeCell ref="F5:J5"/>
    <mergeCell ref="F6:J6"/>
    <mergeCell ref="F9:J9"/>
    <mergeCell ref="H10:J10"/>
    <mergeCell ref="K10:M10"/>
    <mergeCell ref="N10:P10"/>
    <mergeCell ref="H11:J11"/>
    <mergeCell ref="K11:M11"/>
    <mergeCell ref="N11:P11"/>
    <mergeCell ref="G14:J14"/>
    <mergeCell ref="G37:J37"/>
    <mergeCell ref="F10:F12"/>
    <mergeCell ref="G10:G12"/>
  </mergeCells>
  <dataValidations count="1">
    <dataValidation type="decimal" operator="between" allowBlank="1" showErrorMessage="1" errorTitle="Ошибка" error="Допускается ввод только неотрицательных чисел!" sqref="I16:I27 I29:I31 I33:I35 I40:I43 I45:I47 I50:I53 I55:I57 L16:L27 L29:L31 L33:L35 L40:L43 L45:L47 L50:L53 L55:L57 O16:O27 O29:O31 O33:O35 O40:O43 O45:O47 O50:O53 O55:O57">
      <formula1>0</formula1>
      <formula2>9.99999999999999E+23</formula2>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GC31"/>
  <sheetViews>
    <sheetView showGridLines="0" zoomScale="90" zoomScaleNormal="90" workbookViewId="0">
      <pane xSplit="14" ySplit="17" topLeftCell="S21" activePane="bottomRight" state="frozen"/>
      <selection/>
      <selection pane="topRight"/>
      <selection pane="bottomLeft"/>
      <selection pane="bottomRight" activeCell="S22" sqref="S22"/>
    </sheetView>
  </sheetViews>
  <sheetFormatPr defaultColWidth="9.14285714285714" defaultRowHeight="12" customHeight="1"/>
  <cols>
    <col min="1" max="1" width="4.71428571428571" style="836" hidden="1" customWidth="1"/>
    <col min="2" max="2" width="4.71428571428571" style="837" hidden="1" customWidth="1"/>
    <col min="3" max="4" width="4.71428571428571" style="836" hidden="1" customWidth="1"/>
    <col min="5" max="5" width="3" style="836" customWidth="1"/>
    <col min="6" max="6" width="6" style="836" customWidth="1"/>
    <col min="7" max="7" width="26.2857142857143" style="836" customWidth="1"/>
    <col min="8" max="8" width="27" style="836" customWidth="1"/>
    <col min="9" max="9" width="18" style="836" customWidth="1"/>
    <col min="10" max="14" width="0.847619047619048" style="836" hidden="1" customWidth="1"/>
    <col min="15" max="28" width="21.7142857142857" style="836" customWidth="1"/>
    <col min="29" max="71" width="0.847619047619048" style="836" customWidth="1"/>
    <col min="72" max="79" width="21.7142857142857" style="836" hidden="1" customWidth="1"/>
    <col min="80" max="81" width="29.1428571428571" style="836" hidden="1" customWidth="1"/>
    <col min="82" max="89" width="21.7142857142857" style="836" hidden="1" customWidth="1"/>
    <col min="90" max="102" width="0.714285714285714" style="836" hidden="1" customWidth="1"/>
    <col min="103" max="114" width="21.7142857142857" style="836" hidden="1" customWidth="1"/>
    <col min="115" max="178" width="0.714285714285714" style="836" hidden="1" customWidth="1"/>
    <col min="179" max="179" width="0.142857142857143" style="836" customWidth="1"/>
    <col min="180" max="184" width="8" style="836" customWidth="1"/>
    <col min="185" max="185" width="9.14285714285714" style="836" hidden="1"/>
  </cols>
  <sheetData>
    <row r="1" s="209" customFormat="1" hidden="1" customHeight="1" spans="2:185">
      <c r="B1" s="315"/>
      <c r="GC1" s="209" t="s">
        <v>14</v>
      </c>
    </row>
    <row r="2" s="209" customFormat="1" hidden="1" customHeight="1" spans="2:185">
      <c r="B2" s="315"/>
      <c r="GC2" s="209">
        <v>0</v>
      </c>
    </row>
    <row r="3" s="209" customFormat="1" hidden="1" customHeight="1" spans="2:185">
      <c r="B3" s="315"/>
      <c r="GC3" s="209">
        <v>0</v>
      </c>
    </row>
    <row r="4" ht="10.5" customHeight="1" spans="8:185">
      <c r="H4" s="440"/>
      <c r="I4" s="440"/>
      <c r="J4" s="440"/>
      <c r="K4" s="440"/>
      <c r="L4" s="440"/>
      <c r="GC4" s="836">
        <v>10</v>
      </c>
    </row>
    <row r="5" s="834" customFormat="1" ht="27.3" customHeight="1" spans="2:185">
      <c r="B5" s="838"/>
      <c r="E5" s="839"/>
      <c r="F5" s="63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583"/>
      <c r="H5" s="583"/>
      <c r="I5" s="583"/>
      <c r="J5" s="583"/>
      <c r="K5" s="583"/>
      <c r="L5" s="583"/>
      <c r="M5" s="583"/>
      <c r="N5" s="583"/>
      <c r="O5" s="583"/>
      <c r="P5" s="583"/>
      <c r="Q5" s="583"/>
      <c r="R5" s="583"/>
      <c r="S5" s="583"/>
      <c r="T5" s="583"/>
      <c r="U5" s="583"/>
      <c r="V5" s="583"/>
      <c r="W5" s="583"/>
      <c r="X5" s="583"/>
      <c r="Y5" s="583"/>
      <c r="Z5" s="583"/>
      <c r="AA5" s="583"/>
      <c r="AB5" s="583"/>
      <c r="AC5" s="583"/>
      <c r="AD5" s="583"/>
      <c r="AE5" s="583"/>
      <c r="AF5" s="583"/>
      <c r="AG5" s="583"/>
      <c r="AH5" s="583"/>
      <c r="AI5" s="583"/>
      <c r="AJ5" s="583"/>
      <c r="AK5" s="583"/>
      <c r="AL5" s="583"/>
      <c r="AM5" s="583"/>
      <c r="AN5" s="583"/>
      <c r="AO5" s="583"/>
      <c r="AP5" s="583"/>
      <c r="AQ5" s="583"/>
      <c r="AR5" s="583"/>
      <c r="AS5" s="583"/>
      <c r="AT5" s="583"/>
      <c r="AU5" s="583"/>
      <c r="AV5" s="583"/>
      <c r="AW5" s="583"/>
      <c r="AX5" s="583"/>
      <c r="AY5" s="583"/>
      <c r="AZ5" s="583"/>
      <c r="BA5" s="583"/>
      <c r="BB5" s="583"/>
      <c r="BC5" s="583"/>
      <c r="BD5" s="583"/>
      <c r="BE5" s="583"/>
      <c r="BF5" s="583"/>
      <c r="BG5" s="583"/>
      <c r="BH5" s="583"/>
      <c r="BI5" s="583"/>
      <c r="BJ5" s="583"/>
      <c r="BK5" s="583"/>
      <c r="BL5" s="583"/>
      <c r="BM5" s="583"/>
      <c r="BN5" s="583"/>
      <c r="BO5" s="583"/>
      <c r="BP5" s="583"/>
      <c r="BQ5" s="583"/>
      <c r="BR5" s="583"/>
      <c r="BS5" s="583"/>
      <c r="GC5" s="834">
        <v>26</v>
      </c>
    </row>
    <row r="6" s="522" customFormat="1" ht="18.75" customHeight="1" spans="2:185">
      <c r="B6" s="840"/>
      <c r="E6" s="240"/>
      <c r="F6" s="775" t="str">
        <f>IF(org=0,"Не определено",org)</f>
        <v>АО "Теплокоммунэнерго"</v>
      </c>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c r="BQ6" s="624"/>
      <c r="BR6" s="624"/>
      <c r="BS6" s="624"/>
      <c r="GC6" s="522">
        <v>18</v>
      </c>
    </row>
    <row r="7" s="835" customFormat="1" ht="10.5" customHeight="1" spans="2:185">
      <c r="B7" s="841"/>
      <c r="G7" s="842"/>
      <c r="H7" s="440"/>
      <c r="I7" s="440"/>
      <c r="J7" s="440"/>
      <c r="K7" s="440"/>
      <c r="L7" s="440"/>
      <c r="GC7" s="835">
        <v>10</v>
      </c>
    </row>
    <row r="8" s="835" customFormat="1" ht="11.25" hidden="1" customHeight="1" spans="2:185">
      <c r="B8" s="841"/>
      <c r="F8" s="522"/>
      <c r="G8" s="86"/>
      <c r="H8" s="81"/>
      <c r="I8" s="81"/>
      <c r="J8" s="81"/>
      <c r="K8" s="81"/>
      <c r="L8" s="81"/>
      <c r="M8" s="522"/>
      <c r="N8" s="522"/>
      <c r="O8" s="850" t="s">
        <v>1274</v>
      </c>
      <c r="P8" s="851"/>
      <c r="Q8" s="851"/>
      <c r="R8" s="851"/>
      <c r="S8" s="851"/>
      <c r="T8" s="851"/>
      <c r="U8" s="851"/>
      <c r="V8" s="851"/>
      <c r="W8" s="851"/>
      <c r="X8" s="851"/>
      <c r="Y8" s="851"/>
      <c r="Z8" s="851"/>
      <c r="AA8" s="851"/>
      <c r="AB8" s="851"/>
      <c r="AC8" s="851"/>
      <c r="AD8" s="851"/>
      <c r="AE8" s="851"/>
      <c r="AF8" s="851"/>
      <c r="AG8" s="851"/>
      <c r="AH8" s="851"/>
      <c r="AI8" s="851"/>
      <c r="AJ8" s="851"/>
      <c r="AK8" s="851"/>
      <c r="AL8" s="851"/>
      <c r="AM8" s="851"/>
      <c r="AN8" s="851"/>
      <c r="AO8" s="851"/>
      <c r="AP8" s="851"/>
      <c r="AQ8" s="851"/>
      <c r="AR8" s="851"/>
      <c r="AS8" s="851"/>
      <c r="AT8" s="851"/>
      <c r="AU8" s="851"/>
      <c r="AV8" s="851"/>
      <c r="AW8" s="851"/>
      <c r="AX8" s="851"/>
      <c r="AY8" s="851"/>
      <c r="AZ8" s="851"/>
      <c r="BA8" s="851"/>
      <c r="BB8" s="851"/>
      <c r="BC8" s="851"/>
      <c r="BD8" s="851"/>
      <c r="BE8" s="851"/>
      <c r="BF8" s="851"/>
      <c r="BG8" s="851"/>
      <c r="BH8" s="851"/>
      <c r="BI8" s="851"/>
      <c r="BJ8" s="851"/>
      <c r="BK8" s="851"/>
      <c r="BL8" s="851"/>
      <c r="BM8" s="851"/>
      <c r="BN8" s="851"/>
      <c r="BO8" s="851"/>
      <c r="BP8" s="851"/>
      <c r="BQ8" s="851"/>
      <c r="BR8" s="851"/>
      <c r="BS8" s="863"/>
      <c r="BT8" s="864"/>
      <c r="BU8" s="868"/>
      <c r="BV8" s="868"/>
      <c r="BW8" s="868"/>
      <c r="BX8" s="868"/>
      <c r="BY8" s="868"/>
      <c r="BZ8" s="868"/>
      <c r="CA8" s="868"/>
      <c r="CB8" s="868"/>
      <c r="CC8" s="868"/>
      <c r="CD8" s="868"/>
      <c r="CE8" s="868"/>
      <c r="CF8" s="868"/>
      <c r="CG8" s="868"/>
      <c r="CH8" s="868"/>
      <c r="CI8" s="868"/>
      <c r="CJ8" s="868"/>
      <c r="CK8" s="868"/>
      <c r="CL8" s="868"/>
      <c r="CM8" s="868"/>
      <c r="CN8" s="868"/>
      <c r="CO8" s="868"/>
      <c r="CP8" s="868"/>
      <c r="CQ8" s="868"/>
      <c r="CR8" s="868"/>
      <c r="CS8" s="868"/>
      <c r="CT8" s="868"/>
      <c r="CU8" s="868"/>
      <c r="CV8" s="868"/>
      <c r="CW8" s="868"/>
      <c r="CX8" s="870"/>
      <c r="CY8" s="871"/>
      <c r="CZ8" s="872"/>
      <c r="DA8" s="872"/>
      <c r="DB8" s="872"/>
      <c r="DC8" s="872"/>
      <c r="DD8" s="872"/>
      <c r="DE8" s="872"/>
      <c r="DF8" s="872"/>
      <c r="DG8" s="872"/>
      <c r="DH8" s="872"/>
      <c r="DI8" s="872"/>
      <c r="DJ8" s="872"/>
      <c r="DK8" s="872"/>
      <c r="DL8" s="872"/>
      <c r="DM8" s="872"/>
      <c r="DN8" s="872"/>
      <c r="DO8" s="872"/>
      <c r="DP8" s="872"/>
      <c r="DQ8" s="872"/>
      <c r="DR8" s="872"/>
      <c r="DS8" s="872"/>
      <c r="DT8" s="872"/>
      <c r="DU8" s="872"/>
      <c r="DV8" s="872"/>
      <c r="DW8" s="872"/>
      <c r="DX8" s="873"/>
      <c r="DY8" s="874" t="s">
        <v>1275</v>
      </c>
      <c r="DZ8" s="875"/>
      <c r="EA8" s="875"/>
      <c r="EB8" s="875"/>
      <c r="EC8" s="875"/>
      <c r="ED8" s="875"/>
      <c r="EE8" s="875"/>
      <c r="EF8" s="875"/>
      <c r="EG8" s="875"/>
      <c r="EH8" s="875"/>
      <c r="EI8" s="875"/>
      <c r="EJ8" s="875"/>
      <c r="EK8" s="875"/>
      <c r="EL8" s="875"/>
      <c r="EM8" s="875"/>
      <c r="EN8" s="875"/>
      <c r="EO8" s="875"/>
      <c r="EP8" s="875"/>
      <c r="EQ8" s="875"/>
      <c r="ER8" s="875"/>
      <c r="ES8" s="875"/>
      <c r="ET8" s="875"/>
      <c r="EU8" s="875"/>
      <c r="EV8" s="875"/>
      <c r="EW8" s="875"/>
      <c r="EX8" s="875"/>
      <c r="EY8" s="875"/>
      <c r="EZ8" s="875"/>
      <c r="FA8" s="875"/>
      <c r="FB8" s="875"/>
      <c r="FC8" s="875"/>
      <c r="FD8" s="875"/>
      <c r="FE8" s="875"/>
      <c r="FF8" s="875"/>
      <c r="FG8" s="875"/>
      <c r="FH8" s="875"/>
      <c r="FI8" s="875"/>
      <c r="FJ8" s="875"/>
      <c r="FK8" s="875"/>
      <c r="FL8" s="875"/>
      <c r="FM8" s="875"/>
      <c r="FN8" s="875"/>
      <c r="FO8" s="875"/>
      <c r="FP8" s="875"/>
      <c r="FQ8" s="875"/>
      <c r="FR8" s="875"/>
      <c r="FS8" s="875"/>
      <c r="FT8" s="875"/>
      <c r="FU8" s="875"/>
      <c r="FV8" s="875"/>
      <c r="FW8" s="876"/>
      <c r="FX8" s="522"/>
      <c r="GC8" s="835">
        <v>0</v>
      </c>
    </row>
    <row r="9" s="835" customFormat="1" ht="11.25" hidden="1" customHeight="1" spans="2:185">
      <c r="B9" s="841"/>
      <c r="F9" s="522"/>
      <c r="G9" s="86"/>
      <c r="H9" s="81"/>
      <c r="I9" s="81"/>
      <c r="J9" s="81"/>
      <c r="K9" s="81"/>
      <c r="L9" s="81"/>
      <c r="M9" s="522"/>
      <c r="N9" s="522"/>
      <c r="O9" s="522"/>
      <c r="P9" s="522"/>
      <c r="Q9" s="522"/>
      <c r="R9" s="522"/>
      <c r="S9" s="522"/>
      <c r="T9" s="522"/>
      <c r="U9" s="522"/>
      <c r="V9" s="522"/>
      <c r="W9" s="522"/>
      <c r="X9" s="522"/>
      <c r="Y9" s="522"/>
      <c r="Z9" s="522"/>
      <c r="AA9" s="522"/>
      <c r="AB9" s="522"/>
      <c r="AC9" s="522"/>
      <c r="AD9" s="522"/>
      <c r="AE9" s="522"/>
      <c r="AF9" s="522"/>
      <c r="AG9" s="522"/>
      <c r="AH9" s="522"/>
      <c r="AI9" s="522"/>
      <c r="AJ9" s="522"/>
      <c r="AK9" s="522"/>
      <c r="AL9" s="522"/>
      <c r="AM9" s="522"/>
      <c r="AN9" s="522"/>
      <c r="AO9" s="522"/>
      <c r="AP9" s="522"/>
      <c r="AQ9" s="522"/>
      <c r="AR9" s="522"/>
      <c r="AS9" s="522"/>
      <c r="AT9" s="522"/>
      <c r="AU9" s="522"/>
      <c r="AV9" s="522"/>
      <c r="AW9" s="522"/>
      <c r="AX9" s="522"/>
      <c r="AY9" s="522"/>
      <c r="AZ9" s="522"/>
      <c r="BA9" s="522"/>
      <c r="BB9" s="522"/>
      <c r="BC9" s="522"/>
      <c r="BD9" s="522"/>
      <c r="BE9" s="522"/>
      <c r="BF9" s="522"/>
      <c r="BG9" s="522"/>
      <c r="BH9" s="522"/>
      <c r="BI9" s="522"/>
      <c r="BJ9" s="522"/>
      <c r="BK9" s="522"/>
      <c r="BL9" s="522"/>
      <c r="BM9" s="522"/>
      <c r="BN9" s="522"/>
      <c r="BO9" s="522"/>
      <c r="BP9" s="522"/>
      <c r="BQ9" s="522"/>
      <c r="BR9" s="522"/>
      <c r="BS9" s="522"/>
      <c r="BT9" s="522"/>
      <c r="BU9" s="522"/>
      <c r="BV9" s="522"/>
      <c r="BW9" s="522"/>
      <c r="BX9" s="522"/>
      <c r="BY9" s="522"/>
      <c r="BZ9" s="522"/>
      <c r="CA9" s="522"/>
      <c r="CB9" s="522"/>
      <c r="CC9" s="522"/>
      <c r="CD9" s="522"/>
      <c r="CE9" s="522"/>
      <c r="CF9" s="522"/>
      <c r="CG9" s="522"/>
      <c r="CH9" s="522"/>
      <c r="CI9" s="522"/>
      <c r="CJ9" s="522"/>
      <c r="CK9" s="522"/>
      <c r="CL9" s="522"/>
      <c r="CM9" s="522"/>
      <c r="CN9" s="522"/>
      <c r="CO9" s="522"/>
      <c r="CP9" s="522"/>
      <c r="CQ9" s="522"/>
      <c r="CR9" s="522"/>
      <c r="CS9" s="522"/>
      <c r="CT9" s="522"/>
      <c r="CU9" s="522"/>
      <c r="CV9" s="522"/>
      <c r="CW9" s="522"/>
      <c r="CX9" s="522"/>
      <c r="CY9" s="522"/>
      <c r="CZ9" s="522"/>
      <c r="DA9" s="522"/>
      <c r="DB9" s="522"/>
      <c r="DC9" s="522"/>
      <c r="DD9" s="522"/>
      <c r="DE9" s="522"/>
      <c r="DF9" s="522"/>
      <c r="DG9" s="522"/>
      <c r="DH9" s="522"/>
      <c r="DI9" s="522"/>
      <c r="DJ9" s="522"/>
      <c r="DK9" s="522"/>
      <c r="DL9" s="522"/>
      <c r="DM9" s="522"/>
      <c r="DN9" s="522"/>
      <c r="DO9" s="522"/>
      <c r="DP9" s="522"/>
      <c r="DQ9" s="522"/>
      <c r="DR9" s="522"/>
      <c r="DS9" s="522"/>
      <c r="DT9" s="522"/>
      <c r="DU9" s="522"/>
      <c r="DV9" s="522"/>
      <c r="DW9" s="522"/>
      <c r="DX9" s="522"/>
      <c r="DY9" s="522"/>
      <c r="DZ9" s="522"/>
      <c r="EA9" s="522"/>
      <c r="EB9" s="522"/>
      <c r="EC9" s="522"/>
      <c r="ED9" s="522"/>
      <c r="EE9" s="522"/>
      <c r="EF9" s="522"/>
      <c r="EG9" s="522"/>
      <c r="EH9" s="522"/>
      <c r="EI9" s="522"/>
      <c r="EJ9" s="522"/>
      <c r="EK9" s="522"/>
      <c r="EL9" s="522"/>
      <c r="EM9" s="522"/>
      <c r="EN9" s="522"/>
      <c r="EO9" s="522"/>
      <c r="EP9" s="522"/>
      <c r="EQ9" s="522"/>
      <c r="ER9" s="522"/>
      <c r="ES9" s="522"/>
      <c r="ET9" s="522"/>
      <c r="EU9" s="522"/>
      <c r="EV9" s="522"/>
      <c r="EW9" s="522"/>
      <c r="EX9" s="522"/>
      <c r="EY9" s="522"/>
      <c r="EZ9" s="522"/>
      <c r="FA9" s="522"/>
      <c r="FB9" s="522"/>
      <c r="FC9" s="522"/>
      <c r="FD9" s="522"/>
      <c r="FE9" s="522"/>
      <c r="FF9" s="522"/>
      <c r="FG9" s="522"/>
      <c r="FH9" s="522"/>
      <c r="FI9" s="522"/>
      <c r="FJ9" s="522"/>
      <c r="FK9" s="522"/>
      <c r="FL9" s="522"/>
      <c r="FM9" s="522"/>
      <c r="FN9" s="522"/>
      <c r="FO9" s="522"/>
      <c r="FP9" s="522"/>
      <c r="FQ9" s="522"/>
      <c r="FR9" s="522"/>
      <c r="FS9" s="522"/>
      <c r="FT9" s="522"/>
      <c r="FU9" s="522"/>
      <c r="FV9" s="522"/>
      <c r="FW9" s="877"/>
      <c r="FX9" s="522"/>
      <c r="GC9" s="835">
        <v>0</v>
      </c>
    </row>
    <row r="10" s="835" customFormat="1" ht="11.55" customHeight="1" spans="2:185">
      <c r="B10" s="841"/>
      <c r="F10" s="843" t="s">
        <v>296</v>
      </c>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4"/>
      <c r="AQ10" s="844"/>
      <c r="AR10" s="844"/>
      <c r="AS10" s="844"/>
      <c r="AT10" s="844"/>
      <c r="AU10" s="844"/>
      <c r="AV10" s="844"/>
      <c r="AW10" s="844"/>
      <c r="AX10" s="844"/>
      <c r="AY10" s="844"/>
      <c r="AZ10" s="844"/>
      <c r="BA10" s="844"/>
      <c r="BB10" s="844"/>
      <c r="BC10" s="844"/>
      <c r="BD10" s="844"/>
      <c r="BE10" s="844"/>
      <c r="BF10" s="844"/>
      <c r="BG10" s="844"/>
      <c r="BH10" s="844"/>
      <c r="BI10" s="844"/>
      <c r="BJ10" s="844"/>
      <c r="BK10" s="844"/>
      <c r="BL10" s="844"/>
      <c r="BM10" s="844"/>
      <c r="BN10" s="844"/>
      <c r="BO10" s="844"/>
      <c r="BP10" s="844"/>
      <c r="BQ10" s="844"/>
      <c r="BR10" s="844"/>
      <c r="BS10" s="844"/>
      <c r="BT10" s="844"/>
      <c r="BU10" s="844"/>
      <c r="BV10" s="844"/>
      <c r="BW10" s="844"/>
      <c r="BX10" s="844"/>
      <c r="BY10" s="844"/>
      <c r="BZ10" s="844"/>
      <c r="CA10" s="844"/>
      <c r="CB10" s="844"/>
      <c r="CC10" s="844"/>
      <c r="CD10" s="844"/>
      <c r="CE10" s="844"/>
      <c r="CF10" s="844"/>
      <c r="CG10" s="844"/>
      <c r="CH10" s="844"/>
      <c r="CI10" s="844"/>
      <c r="CJ10" s="844"/>
      <c r="CK10" s="844"/>
      <c r="CL10" s="844"/>
      <c r="CM10" s="844"/>
      <c r="CN10" s="844"/>
      <c r="CO10" s="844"/>
      <c r="CP10" s="844"/>
      <c r="CQ10" s="844"/>
      <c r="CR10" s="844"/>
      <c r="CS10" s="844"/>
      <c r="CT10" s="844"/>
      <c r="CU10" s="844"/>
      <c r="CV10" s="844"/>
      <c r="CW10" s="844"/>
      <c r="CX10" s="844"/>
      <c r="CY10" s="844"/>
      <c r="CZ10" s="844"/>
      <c r="DA10" s="844"/>
      <c r="DB10" s="844"/>
      <c r="DC10" s="844"/>
      <c r="DD10" s="844"/>
      <c r="DE10" s="844"/>
      <c r="DF10" s="844"/>
      <c r="DG10" s="844"/>
      <c r="DH10" s="844"/>
      <c r="DI10" s="844"/>
      <c r="DJ10" s="844"/>
      <c r="DK10" s="844"/>
      <c r="DL10" s="844"/>
      <c r="DM10" s="844"/>
      <c r="DN10" s="844"/>
      <c r="DO10" s="844"/>
      <c r="DP10" s="844"/>
      <c r="DQ10" s="844"/>
      <c r="DR10" s="844"/>
      <c r="DS10" s="844"/>
      <c r="DT10" s="844"/>
      <c r="DU10" s="844"/>
      <c r="DV10" s="844"/>
      <c r="DW10" s="844"/>
      <c r="DX10" s="844"/>
      <c r="DY10" s="844"/>
      <c r="DZ10" s="844"/>
      <c r="EA10" s="844"/>
      <c r="EB10" s="844"/>
      <c r="EC10" s="844"/>
      <c r="ED10" s="844"/>
      <c r="EE10" s="844"/>
      <c r="EF10" s="844"/>
      <c r="EG10" s="844"/>
      <c r="EH10" s="844"/>
      <c r="EI10" s="844"/>
      <c r="EJ10" s="844"/>
      <c r="EK10" s="844"/>
      <c r="EL10" s="844"/>
      <c r="EM10" s="844"/>
      <c r="EN10" s="844"/>
      <c r="EO10" s="844"/>
      <c r="EP10" s="844"/>
      <c r="EQ10" s="844"/>
      <c r="ER10" s="844"/>
      <c r="ES10" s="844"/>
      <c r="ET10" s="844"/>
      <c r="EU10" s="844"/>
      <c r="EV10" s="844"/>
      <c r="EW10" s="844"/>
      <c r="EX10" s="844"/>
      <c r="EY10" s="844"/>
      <c r="EZ10" s="844"/>
      <c r="FA10" s="844"/>
      <c r="FB10" s="844"/>
      <c r="FC10" s="844"/>
      <c r="FD10" s="844"/>
      <c r="FE10" s="844"/>
      <c r="FF10" s="844"/>
      <c r="FG10" s="844"/>
      <c r="FH10" s="844"/>
      <c r="FI10" s="844"/>
      <c r="FJ10" s="844"/>
      <c r="FK10" s="844"/>
      <c r="FL10" s="844"/>
      <c r="FM10" s="844"/>
      <c r="FN10" s="844"/>
      <c r="FO10" s="844"/>
      <c r="FP10" s="844"/>
      <c r="FQ10" s="844"/>
      <c r="FR10" s="844"/>
      <c r="FS10" s="844"/>
      <c r="FT10" s="844"/>
      <c r="FU10" s="844"/>
      <c r="FV10" s="278"/>
      <c r="FW10" s="877"/>
      <c r="FX10" s="522"/>
      <c r="GC10" s="835">
        <v>11</v>
      </c>
    </row>
    <row r="11" ht="12.75" customHeight="1" spans="5:185">
      <c r="E11" s="845"/>
      <c r="F11" s="664" t="s">
        <v>89</v>
      </c>
      <c r="G11" s="664" t="s">
        <v>1276</v>
      </c>
      <c r="H11" s="664" t="s">
        <v>1277</v>
      </c>
      <c r="I11" s="664" t="s">
        <v>1278</v>
      </c>
      <c r="J11" s="852"/>
      <c r="K11" s="852"/>
      <c r="L11" s="852"/>
      <c r="M11" s="852"/>
      <c r="N11" s="852"/>
      <c r="O11" s="66" t="s">
        <v>1279</v>
      </c>
      <c r="P11" s="66"/>
      <c r="Q11" s="66"/>
      <c r="R11" s="66"/>
      <c r="S11" s="66"/>
      <c r="T11" s="66"/>
      <c r="U11" s="66"/>
      <c r="V11" s="66"/>
      <c r="W11" s="66"/>
      <c r="X11" s="66"/>
      <c r="Y11" s="66"/>
      <c r="Z11" s="66"/>
      <c r="AA11" s="66"/>
      <c r="AB11" s="66"/>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5"/>
      <c r="BT11" s="257" t="s">
        <v>1279</v>
      </c>
      <c r="BU11" s="807"/>
      <c r="BV11" s="807"/>
      <c r="BW11" s="807"/>
      <c r="BX11" s="807"/>
      <c r="BY11" s="807"/>
      <c r="BZ11" s="807"/>
      <c r="CA11" s="807"/>
      <c r="CB11" s="807"/>
      <c r="CC11" s="807"/>
      <c r="CD11" s="807"/>
      <c r="CE11" s="807"/>
      <c r="CF11" s="807"/>
      <c r="CG11" s="807"/>
      <c r="CH11" s="807"/>
      <c r="CI11" s="807"/>
      <c r="CJ11" s="807"/>
      <c r="CK11" s="808"/>
      <c r="CL11" s="869"/>
      <c r="CM11" s="862"/>
      <c r="CN11" s="862"/>
      <c r="CO11" s="862"/>
      <c r="CP11" s="862"/>
      <c r="CQ11" s="862"/>
      <c r="CR11" s="862"/>
      <c r="CS11" s="862"/>
      <c r="CT11" s="862"/>
      <c r="CU11" s="862"/>
      <c r="CV11" s="862"/>
      <c r="CW11" s="862"/>
      <c r="CX11" s="865"/>
      <c r="CY11" s="257" t="s">
        <v>1279</v>
      </c>
      <c r="CZ11" s="807"/>
      <c r="DA11" s="807"/>
      <c r="DB11" s="807"/>
      <c r="DC11" s="807"/>
      <c r="DD11" s="807"/>
      <c r="DE11" s="807"/>
      <c r="DF11" s="807"/>
      <c r="DG11" s="807"/>
      <c r="DH11" s="807"/>
      <c r="DI11" s="807"/>
      <c r="DJ11" s="808"/>
      <c r="DK11" s="869"/>
      <c r="DL11" s="862"/>
      <c r="DM11" s="862"/>
      <c r="DN11" s="862"/>
      <c r="DO11" s="862"/>
      <c r="DP11" s="862"/>
      <c r="DQ11" s="862"/>
      <c r="DR11" s="862"/>
      <c r="DS11" s="862"/>
      <c r="DT11" s="862"/>
      <c r="DU11" s="862"/>
      <c r="DV11" s="862"/>
      <c r="DW11" s="862"/>
      <c r="DX11" s="862"/>
      <c r="DY11" s="862"/>
      <c r="DZ11" s="862"/>
      <c r="EA11" s="862"/>
      <c r="EB11" s="862"/>
      <c r="EC11" s="862"/>
      <c r="ED11" s="862"/>
      <c r="EE11" s="862"/>
      <c r="EF11" s="862"/>
      <c r="EG11" s="862"/>
      <c r="EH11" s="862"/>
      <c r="EI11" s="862"/>
      <c r="EJ11" s="862"/>
      <c r="EK11" s="862"/>
      <c r="EL11" s="862"/>
      <c r="EM11" s="862"/>
      <c r="EN11" s="862"/>
      <c r="EO11" s="862"/>
      <c r="EP11" s="862"/>
      <c r="EQ11" s="862"/>
      <c r="ER11" s="862"/>
      <c r="ES11" s="862"/>
      <c r="ET11" s="862"/>
      <c r="EU11" s="862"/>
      <c r="EV11" s="862"/>
      <c r="EW11" s="862"/>
      <c r="EX11" s="862"/>
      <c r="EY11" s="862"/>
      <c r="EZ11" s="862"/>
      <c r="FA11" s="862"/>
      <c r="FB11" s="862"/>
      <c r="FC11" s="862"/>
      <c r="FD11" s="862"/>
      <c r="FE11" s="862"/>
      <c r="FF11" s="862"/>
      <c r="FG11" s="862"/>
      <c r="FH11" s="862"/>
      <c r="FI11" s="862"/>
      <c r="FJ11" s="862"/>
      <c r="FK11" s="862"/>
      <c r="FL11" s="862"/>
      <c r="FM11" s="862"/>
      <c r="FN11" s="862"/>
      <c r="FO11" s="862"/>
      <c r="FP11" s="862"/>
      <c r="FQ11" s="862"/>
      <c r="FR11" s="862"/>
      <c r="FS11" s="862"/>
      <c r="FT11" s="862"/>
      <c r="FU11" s="862"/>
      <c r="FV11" s="862"/>
      <c r="FW11" s="877"/>
      <c r="FX11" s="40"/>
      <c r="GC11" s="836">
        <v>12</v>
      </c>
    </row>
    <row r="12" ht="12.75" customHeight="1" spans="4:185">
      <c r="D12" s="440"/>
      <c r="E12" s="845"/>
      <c r="F12" s="664"/>
      <c r="G12" s="664"/>
      <c r="H12" s="664"/>
      <c r="I12" s="664"/>
      <c r="J12" s="852"/>
      <c r="K12" s="852"/>
      <c r="L12" s="852"/>
      <c r="M12" s="852"/>
      <c r="N12" s="852"/>
      <c r="O12" s="66" t="s">
        <v>1280</v>
      </c>
      <c r="P12" s="66"/>
      <c r="Q12" s="66"/>
      <c r="R12" s="66"/>
      <c r="S12" s="66" t="s">
        <v>1281</v>
      </c>
      <c r="T12" s="66"/>
      <c r="U12" s="66"/>
      <c r="V12" s="66"/>
      <c r="W12" s="66"/>
      <c r="X12" s="66"/>
      <c r="Y12" s="66"/>
      <c r="Z12" s="66"/>
      <c r="AA12" s="66"/>
      <c r="AB12" s="66"/>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c r="BD12" s="862"/>
      <c r="BE12" s="862"/>
      <c r="BF12" s="862"/>
      <c r="BG12" s="862"/>
      <c r="BH12" s="862"/>
      <c r="BI12" s="862"/>
      <c r="BJ12" s="862"/>
      <c r="BK12" s="862"/>
      <c r="BL12" s="862"/>
      <c r="BM12" s="862"/>
      <c r="BN12" s="862"/>
      <c r="BO12" s="862"/>
      <c r="BP12" s="862"/>
      <c r="BQ12" s="862"/>
      <c r="BR12" s="862"/>
      <c r="BS12" s="865"/>
      <c r="BT12" s="257" t="s">
        <v>1282</v>
      </c>
      <c r="BU12" s="807"/>
      <c r="BV12" s="807"/>
      <c r="BW12" s="808"/>
      <c r="BX12" s="257" t="s">
        <v>1283</v>
      </c>
      <c r="BY12" s="807"/>
      <c r="BZ12" s="807"/>
      <c r="CA12" s="808"/>
      <c r="CB12" s="257" t="s">
        <v>1284</v>
      </c>
      <c r="CC12" s="808"/>
      <c r="CD12" s="257" t="s">
        <v>1285</v>
      </c>
      <c r="CE12" s="807"/>
      <c r="CF12" s="807"/>
      <c r="CG12" s="807"/>
      <c r="CH12" s="807"/>
      <c r="CI12" s="807"/>
      <c r="CJ12" s="807"/>
      <c r="CK12" s="808"/>
      <c r="CL12" s="869"/>
      <c r="CM12" s="862"/>
      <c r="CN12" s="862"/>
      <c r="CO12" s="862"/>
      <c r="CP12" s="862"/>
      <c r="CQ12" s="862"/>
      <c r="CR12" s="862"/>
      <c r="CS12" s="862"/>
      <c r="CT12" s="862"/>
      <c r="CU12" s="862"/>
      <c r="CV12" s="862"/>
      <c r="CW12" s="862"/>
      <c r="CX12" s="865"/>
      <c r="CY12" s="257" t="s">
        <v>1286</v>
      </c>
      <c r="CZ12" s="807"/>
      <c r="DA12" s="807"/>
      <c r="DB12" s="807"/>
      <c r="DC12" s="807"/>
      <c r="DD12" s="808"/>
      <c r="DE12" s="257" t="s">
        <v>1287</v>
      </c>
      <c r="DF12" s="808"/>
      <c r="DG12" s="257" t="s">
        <v>1285</v>
      </c>
      <c r="DH12" s="807"/>
      <c r="DI12" s="807"/>
      <c r="DJ12" s="808"/>
      <c r="DK12" s="869"/>
      <c r="DL12" s="862"/>
      <c r="DM12" s="862"/>
      <c r="DN12" s="862"/>
      <c r="DO12" s="862"/>
      <c r="DP12" s="862"/>
      <c r="DQ12" s="862"/>
      <c r="DR12" s="862"/>
      <c r="DS12" s="862"/>
      <c r="DT12" s="862"/>
      <c r="DU12" s="862"/>
      <c r="DV12" s="862"/>
      <c r="DW12" s="862"/>
      <c r="DX12" s="862"/>
      <c r="DY12" s="862"/>
      <c r="DZ12" s="862"/>
      <c r="EA12" s="862"/>
      <c r="EB12" s="862"/>
      <c r="EC12" s="862"/>
      <c r="ED12" s="862"/>
      <c r="EE12" s="862"/>
      <c r="EF12" s="862"/>
      <c r="EG12" s="862"/>
      <c r="EH12" s="862"/>
      <c r="EI12" s="862"/>
      <c r="EJ12" s="862"/>
      <c r="EK12" s="862"/>
      <c r="EL12" s="862"/>
      <c r="EM12" s="862"/>
      <c r="EN12" s="862"/>
      <c r="EO12" s="862"/>
      <c r="EP12" s="862"/>
      <c r="EQ12" s="862"/>
      <c r="ER12" s="862"/>
      <c r="ES12" s="862"/>
      <c r="ET12" s="862"/>
      <c r="EU12" s="862"/>
      <c r="EV12" s="862"/>
      <c r="EW12" s="862"/>
      <c r="EX12" s="862"/>
      <c r="EY12" s="862"/>
      <c r="EZ12" s="862"/>
      <c r="FA12" s="862"/>
      <c r="FB12" s="862"/>
      <c r="FC12" s="862"/>
      <c r="FD12" s="862"/>
      <c r="FE12" s="862"/>
      <c r="FF12" s="862"/>
      <c r="FG12" s="862"/>
      <c r="FH12" s="862"/>
      <c r="FI12" s="862"/>
      <c r="FJ12" s="862"/>
      <c r="FK12" s="862"/>
      <c r="FL12" s="862"/>
      <c r="FM12" s="862"/>
      <c r="FN12" s="862"/>
      <c r="FO12" s="862"/>
      <c r="FP12" s="862"/>
      <c r="FQ12" s="862"/>
      <c r="FR12" s="862"/>
      <c r="FS12" s="862"/>
      <c r="FT12" s="862"/>
      <c r="FU12" s="862"/>
      <c r="FV12" s="862"/>
      <c r="FW12" s="877"/>
      <c r="FX12" s="40"/>
      <c r="GC12" s="836">
        <v>12</v>
      </c>
    </row>
    <row r="13" ht="37.8" customHeight="1" spans="4:185">
      <c r="D13" s="440"/>
      <c r="E13" s="845"/>
      <c r="F13" s="664"/>
      <c r="G13" s="664"/>
      <c r="H13" s="664"/>
      <c r="I13" s="664"/>
      <c r="J13" s="852"/>
      <c r="K13" s="852"/>
      <c r="L13" s="852"/>
      <c r="M13" s="852"/>
      <c r="N13" s="852"/>
      <c r="O13" s="66" t="s">
        <v>1288</v>
      </c>
      <c r="P13" s="66"/>
      <c r="Q13" s="66"/>
      <c r="R13" s="66"/>
      <c r="S13" s="853" t="s">
        <v>1289</v>
      </c>
      <c r="T13" s="854"/>
      <c r="U13" s="64" t="s">
        <v>1290</v>
      </c>
      <c r="V13" s="64"/>
      <c r="W13" s="64"/>
      <c r="X13" s="64"/>
      <c r="Y13" s="64" t="s">
        <v>1291</v>
      </c>
      <c r="Z13" s="64"/>
      <c r="AA13" s="64"/>
      <c r="AB13" s="64"/>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5"/>
      <c r="BT13" s="853" t="s">
        <v>1292</v>
      </c>
      <c r="BU13" s="854"/>
      <c r="BV13" s="853" t="s">
        <v>1293</v>
      </c>
      <c r="BW13" s="854"/>
      <c r="BX13" s="853" t="s">
        <v>1294</v>
      </c>
      <c r="BY13" s="854"/>
      <c r="BZ13" s="853" t="s">
        <v>1295</v>
      </c>
      <c r="CA13" s="854"/>
      <c r="CB13" s="853" t="s">
        <v>1296</v>
      </c>
      <c r="CC13" s="854"/>
      <c r="CD13" s="853" t="s">
        <v>1297</v>
      </c>
      <c r="CE13" s="854"/>
      <c r="CF13" s="853" t="s">
        <v>1298</v>
      </c>
      <c r="CG13" s="854"/>
      <c r="CH13" s="257" t="s">
        <v>1299</v>
      </c>
      <c r="CI13" s="807"/>
      <c r="CJ13" s="807"/>
      <c r="CK13" s="808"/>
      <c r="CL13" s="869"/>
      <c r="CM13" s="862"/>
      <c r="CN13" s="862"/>
      <c r="CO13" s="862"/>
      <c r="CP13" s="862"/>
      <c r="CQ13" s="862"/>
      <c r="CR13" s="862"/>
      <c r="CS13" s="862"/>
      <c r="CT13" s="862"/>
      <c r="CU13" s="862"/>
      <c r="CV13" s="862"/>
      <c r="CW13" s="862"/>
      <c r="CX13" s="865"/>
      <c r="CY13" s="853" t="s">
        <v>1300</v>
      </c>
      <c r="CZ13" s="854"/>
      <c r="DA13" s="853" t="s">
        <v>1301</v>
      </c>
      <c r="DB13" s="854"/>
      <c r="DC13" s="853" t="s">
        <v>1302</v>
      </c>
      <c r="DD13" s="854"/>
      <c r="DE13" s="853" t="s">
        <v>1303</v>
      </c>
      <c r="DF13" s="854"/>
      <c r="DG13" s="257" t="s">
        <v>1304</v>
      </c>
      <c r="DH13" s="807"/>
      <c r="DI13" s="807"/>
      <c r="DJ13" s="808"/>
      <c r="DK13" s="869"/>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77"/>
      <c r="FX13" s="40"/>
      <c r="GC13" s="836">
        <v>36</v>
      </c>
    </row>
    <row r="14" ht="37.8" customHeight="1" spans="4:185">
      <c r="D14" s="440"/>
      <c r="E14" s="845"/>
      <c r="F14" s="664"/>
      <c r="G14" s="664"/>
      <c r="H14" s="664"/>
      <c r="I14" s="664"/>
      <c r="J14" s="852"/>
      <c r="K14" s="852"/>
      <c r="L14" s="852"/>
      <c r="M14" s="852"/>
      <c r="N14" s="852"/>
      <c r="O14" s="853" t="s">
        <v>1305</v>
      </c>
      <c r="P14" s="854"/>
      <c r="Q14" s="853" t="s">
        <v>1306</v>
      </c>
      <c r="R14" s="854"/>
      <c r="S14" s="858"/>
      <c r="T14" s="248"/>
      <c r="U14" s="853" t="s">
        <v>848</v>
      </c>
      <c r="V14" s="854"/>
      <c r="W14" s="853" t="s">
        <v>851</v>
      </c>
      <c r="X14" s="854"/>
      <c r="Y14" s="853" t="s">
        <v>848</v>
      </c>
      <c r="Z14" s="854"/>
      <c r="AA14" s="853" t="s">
        <v>858</v>
      </c>
      <c r="AB14" s="854"/>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c r="BK14" s="862"/>
      <c r="BL14" s="862"/>
      <c r="BM14" s="862"/>
      <c r="BN14" s="862"/>
      <c r="BO14" s="862"/>
      <c r="BP14" s="862"/>
      <c r="BQ14" s="862"/>
      <c r="BR14" s="862"/>
      <c r="BS14" s="865"/>
      <c r="BT14" s="858"/>
      <c r="BU14" s="248"/>
      <c r="BV14" s="858"/>
      <c r="BW14" s="248"/>
      <c r="BX14" s="858"/>
      <c r="BY14" s="248"/>
      <c r="BZ14" s="858"/>
      <c r="CA14" s="248"/>
      <c r="CB14" s="858"/>
      <c r="CC14" s="248"/>
      <c r="CD14" s="858"/>
      <c r="CE14" s="248"/>
      <c r="CF14" s="858"/>
      <c r="CG14" s="248"/>
      <c r="CH14" s="853" t="s">
        <v>1307</v>
      </c>
      <c r="CI14" s="854"/>
      <c r="CJ14" s="853" t="s">
        <v>1308</v>
      </c>
      <c r="CK14" s="854"/>
      <c r="CL14" s="869"/>
      <c r="CM14" s="862"/>
      <c r="CN14" s="862"/>
      <c r="CO14" s="862"/>
      <c r="CP14" s="862"/>
      <c r="CQ14" s="862"/>
      <c r="CR14" s="862"/>
      <c r="CS14" s="862"/>
      <c r="CT14" s="862"/>
      <c r="CU14" s="862"/>
      <c r="CV14" s="862"/>
      <c r="CW14" s="862"/>
      <c r="CX14" s="865"/>
      <c r="CY14" s="858"/>
      <c r="CZ14" s="248"/>
      <c r="DA14" s="858"/>
      <c r="DB14" s="248"/>
      <c r="DC14" s="858"/>
      <c r="DD14" s="248"/>
      <c r="DE14" s="858"/>
      <c r="DF14" s="248"/>
      <c r="DG14" s="853" t="s">
        <v>1309</v>
      </c>
      <c r="DH14" s="854"/>
      <c r="DI14" s="853" t="s">
        <v>1310</v>
      </c>
      <c r="DJ14" s="854"/>
      <c r="DK14" s="869"/>
      <c r="DL14" s="862"/>
      <c r="DM14" s="862"/>
      <c r="DN14" s="862"/>
      <c r="DO14" s="862"/>
      <c r="DP14" s="862"/>
      <c r="DQ14" s="862"/>
      <c r="DR14" s="862"/>
      <c r="DS14" s="862"/>
      <c r="DT14" s="862"/>
      <c r="DU14" s="862"/>
      <c r="DV14" s="862"/>
      <c r="DW14" s="862"/>
      <c r="DX14" s="862"/>
      <c r="DY14" s="862"/>
      <c r="DZ14" s="862"/>
      <c r="EA14" s="862"/>
      <c r="EB14" s="862"/>
      <c r="EC14" s="862"/>
      <c r="ED14" s="862"/>
      <c r="EE14" s="862"/>
      <c r="EF14" s="862"/>
      <c r="EG14" s="862"/>
      <c r="EH14" s="862"/>
      <c r="EI14" s="862"/>
      <c r="EJ14" s="862"/>
      <c r="EK14" s="862"/>
      <c r="EL14" s="862"/>
      <c r="EM14" s="862"/>
      <c r="EN14" s="862"/>
      <c r="EO14" s="862"/>
      <c r="EP14" s="862"/>
      <c r="EQ14" s="862"/>
      <c r="ER14" s="862"/>
      <c r="ES14" s="862"/>
      <c r="ET14" s="862"/>
      <c r="EU14" s="862"/>
      <c r="EV14" s="862"/>
      <c r="EW14" s="862"/>
      <c r="EX14" s="862"/>
      <c r="EY14" s="862"/>
      <c r="EZ14" s="862"/>
      <c r="FA14" s="862"/>
      <c r="FB14" s="862"/>
      <c r="FC14" s="862"/>
      <c r="FD14" s="862"/>
      <c r="FE14" s="862"/>
      <c r="FF14" s="862"/>
      <c r="FG14" s="862"/>
      <c r="FH14" s="862"/>
      <c r="FI14" s="862"/>
      <c r="FJ14" s="862"/>
      <c r="FK14" s="862"/>
      <c r="FL14" s="862"/>
      <c r="FM14" s="862"/>
      <c r="FN14" s="862"/>
      <c r="FO14" s="862"/>
      <c r="FP14" s="862"/>
      <c r="FQ14" s="862"/>
      <c r="FR14" s="862"/>
      <c r="FS14" s="862"/>
      <c r="FT14" s="862"/>
      <c r="FU14" s="862"/>
      <c r="FV14" s="862"/>
      <c r="FW14" s="877"/>
      <c r="FX14" s="40"/>
      <c r="GC14" s="836">
        <v>36</v>
      </c>
    </row>
    <row r="15" ht="37.8" customHeight="1" spans="4:185">
      <c r="D15" s="440"/>
      <c r="E15" s="845"/>
      <c r="F15" s="664"/>
      <c r="G15" s="664"/>
      <c r="H15" s="664"/>
      <c r="I15" s="664"/>
      <c r="J15" s="852"/>
      <c r="K15" s="852"/>
      <c r="L15" s="852"/>
      <c r="M15" s="852"/>
      <c r="N15" s="852"/>
      <c r="O15" s="855"/>
      <c r="P15" s="856"/>
      <c r="Q15" s="855"/>
      <c r="R15" s="856"/>
      <c r="S15" s="855"/>
      <c r="T15" s="856"/>
      <c r="U15" s="855"/>
      <c r="V15" s="856"/>
      <c r="W15" s="855"/>
      <c r="X15" s="856"/>
      <c r="Y15" s="855"/>
      <c r="Z15" s="856"/>
      <c r="AA15" s="855"/>
      <c r="AB15" s="856"/>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c r="BK15" s="862"/>
      <c r="BL15" s="862"/>
      <c r="BM15" s="862"/>
      <c r="BN15" s="862"/>
      <c r="BO15" s="862"/>
      <c r="BP15" s="862"/>
      <c r="BQ15" s="862"/>
      <c r="BR15" s="862"/>
      <c r="BS15" s="865"/>
      <c r="BT15" s="855"/>
      <c r="BU15" s="856"/>
      <c r="BV15" s="855"/>
      <c r="BW15" s="856"/>
      <c r="BX15" s="855"/>
      <c r="BY15" s="856"/>
      <c r="BZ15" s="855"/>
      <c r="CA15" s="856"/>
      <c r="CB15" s="855"/>
      <c r="CC15" s="856"/>
      <c r="CD15" s="855"/>
      <c r="CE15" s="856"/>
      <c r="CF15" s="855"/>
      <c r="CG15" s="856"/>
      <c r="CH15" s="855"/>
      <c r="CI15" s="856"/>
      <c r="CJ15" s="855"/>
      <c r="CK15" s="856"/>
      <c r="CL15" s="869"/>
      <c r="CM15" s="862"/>
      <c r="CN15" s="862"/>
      <c r="CO15" s="862"/>
      <c r="CP15" s="862"/>
      <c r="CQ15" s="862"/>
      <c r="CR15" s="862"/>
      <c r="CS15" s="862"/>
      <c r="CT15" s="862"/>
      <c r="CU15" s="862"/>
      <c r="CV15" s="862"/>
      <c r="CW15" s="862"/>
      <c r="CX15" s="865"/>
      <c r="CY15" s="855"/>
      <c r="CZ15" s="856"/>
      <c r="DA15" s="855"/>
      <c r="DB15" s="856"/>
      <c r="DC15" s="855"/>
      <c r="DD15" s="856"/>
      <c r="DE15" s="855"/>
      <c r="DF15" s="856"/>
      <c r="DG15" s="855"/>
      <c r="DH15" s="856"/>
      <c r="DI15" s="855"/>
      <c r="DJ15" s="856"/>
      <c r="DK15" s="869"/>
      <c r="DL15" s="862"/>
      <c r="DM15" s="862"/>
      <c r="DN15" s="862"/>
      <c r="DO15" s="862"/>
      <c r="DP15" s="862"/>
      <c r="DQ15" s="862"/>
      <c r="DR15" s="862"/>
      <c r="DS15" s="862"/>
      <c r="DT15" s="862"/>
      <c r="DU15" s="862"/>
      <c r="DV15" s="862"/>
      <c r="DW15" s="862"/>
      <c r="DX15" s="862"/>
      <c r="DY15" s="862"/>
      <c r="DZ15" s="862"/>
      <c r="EA15" s="862"/>
      <c r="EB15" s="862"/>
      <c r="EC15" s="862"/>
      <c r="ED15" s="862"/>
      <c r="EE15" s="862"/>
      <c r="EF15" s="862"/>
      <c r="EG15" s="862"/>
      <c r="EH15" s="862"/>
      <c r="EI15" s="862"/>
      <c r="EJ15" s="862"/>
      <c r="EK15" s="862"/>
      <c r="EL15" s="862"/>
      <c r="EM15" s="862"/>
      <c r="EN15" s="862"/>
      <c r="EO15" s="862"/>
      <c r="EP15" s="862"/>
      <c r="EQ15" s="862"/>
      <c r="ER15" s="862"/>
      <c r="ES15" s="862"/>
      <c r="ET15" s="862"/>
      <c r="EU15" s="862"/>
      <c r="EV15" s="862"/>
      <c r="EW15" s="862"/>
      <c r="EX15" s="862"/>
      <c r="EY15" s="862"/>
      <c r="EZ15" s="862"/>
      <c r="FA15" s="862"/>
      <c r="FB15" s="862"/>
      <c r="FC15" s="862"/>
      <c r="FD15" s="862"/>
      <c r="FE15" s="862"/>
      <c r="FF15" s="862"/>
      <c r="FG15" s="862"/>
      <c r="FH15" s="862"/>
      <c r="FI15" s="862"/>
      <c r="FJ15" s="862"/>
      <c r="FK15" s="862"/>
      <c r="FL15" s="862"/>
      <c r="FM15" s="862"/>
      <c r="FN15" s="862"/>
      <c r="FO15" s="862"/>
      <c r="FP15" s="862"/>
      <c r="FQ15" s="862"/>
      <c r="FR15" s="862"/>
      <c r="FS15" s="862"/>
      <c r="FT15" s="862"/>
      <c r="FU15" s="862"/>
      <c r="FV15" s="862"/>
      <c r="FW15" s="877"/>
      <c r="FX15" s="40"/>
      <c r="GC15" s="836">
        <v>36</v>
      </c>
    </row>
    <row r="16" ht="12.75" customHeight="1" spans="4:185">
      <c r="D16" s="440"/>
      <c r="E16" s="845"/>
      <c r="F16" s="664"/>
      <c r="G16" s="664"/>
      <c r="H16" s="664"/>
      <c r="I16" s="664"/>
      <c r="J16" s="852"/>
      <c r="K16" s="852"/>
      <c r="L16" s="852"/>
      <c r="M16" s="852"/>
      <c r="N16" s="852"/>
      <c r="O16" s="257" t="s">
        <v>838</v>
      </c>
      <c r="P16" s="808"/>
      <c r="Q16" s="257" t="s">
        <v>840</v>
      </c>
      <c r="R16" s="808"/>
      <c r="S16" s="257" t="s">
        <v>844</v>
      </c>
      <c r="T16" s="808"/>
      <c r="U16" s="257" t="s">
        <v>849</v>
      </c>
      <c r="V16" s="808"/>
      <c r="W16" s="257" t="s">
        <v>852</v>
      </c>
      <c r="X16" s="808"/>
      <c r="Y16" s="257" t="s">
        <v>856</v>
      </c>
      <c r="Z16" s="808"/>
      <c r="AA16" s="257" t="s">
        <v>859</v>
      </c>
      <c r="AB16" s="808"/>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5"/>
      <c r="BT16" s="257" t="s">
        <v>552</v>
      </c>
      <c r="BU16" s="808"/>
      <c r="BV16" s="257" t="s">
        <v>552</v>
      </c>
      <c r="BW16" s="808"/>
      <c r="BX16" s="257" t="s">
        <v>552</v>
      </c>
      <c r="BY16" s="808"/>
      <c r="BZ16" s="257" t="s">
        <v>552</v>
      </c>
      <c r="CA16" s="808"/>
      <c r="CB16" s="257" t="s">
        <v>1311</v>
      </c>
      <c r="CC16" s="808"/>
      <c r="CD16" s="257" t="s">
        <v>552</v>
      </c>
      <c r="CE16" s="808"/>
      <c r="CF16" s="257" t="s">
        <v>1312</v>
      </c>
      <c r="CG16" s="808"/>
      <c r="CH16" s="257" t="s">
        <v>1313</v>
      </c>
      <c r="CI16" s="808"/>
      <c r="CJ16" s="257" t="s">
        <v>1313</v>
      </c>
      <c r="CK16" s="808"/>
      <c r="CL16" s="869"/>
      <c r="CM16" s="862"/>
      <c r="CN16" s="862"/>
      <c r="CO16" s="862"/>
      <c r="CP16" s="862"/>
      <c r="CQ16" s="862"/>
      <c r="CR16" s="862"/>
      <c r="CS16" s="862"/>
      <c r="CT16" s="862"/>
      <c r="CU16" s="862"/>
      <c r="CV16" s="862"/>
      <c r="CW16" s="862"/>
      <c r="CX16" s="865"/>
      <c r="CY16" s="853" t="s">
        <v>552</v>
      </c>
      <c r="CZ16" s="854"/>
      <c r="DA16" s="853" t="s">
        <v>552</v>
      </c>
      <c r="DB16" s="854"/>
      <c r="DC16" s="853" t="s">
        <v>552</v>
      </c>
      <c r="DD16" s="854"/>
      <c r="DE16" s="257" t="s">
        <v>1311</v>
      </c>
      <c r="DF16" s="808"/>
      <c r="DG16" s="257" t="s">
        <v>1314</v>
      </c>
      <c r="DH16" s="808"/>
      <c r="DI16" s="257" t="s">
        <v>1314</v>
      </c>
      <c r="DJ16" s="808"/>
      <c r="DK16" s="869"/>
      <c r="DL16" s="862"/>
      <c r="DM16" s="862"/>
      <c r="DN16" s="862"/>
      <c r="DO16" s="862"/>
      <c r="DP16" s="862"/>
      <c r="DQ16" s="862"/>
      <c r="DR16" s="862"/>
      <c r="DS16" s="862"/>
      <c r="DT16" s="862"/>
      <c r="DU16" s="862"/>
      <c r="DV16" s="862"/>
      <c r="DW16" s="862"/>
      <c r="DX16" s="862"/>
      <c r="DY16" s="862"/>
      <c r="DZ16" s="862"/>
      <c r="EA16" s="862"/>
      <c r="EB16" s="862"/>
      <c r="EC16" s="862"/>
      <c r="ED16" s="862"/>
      <c r="EE16" s="862"/>
      <c r="EF16" s="862"/>
      <c r="EG16" s="862"/>
      <c r="EH16" s="862"/>
      <c r="EI16" s="862"/>
      <c r="EJ16" s="862"/>
      <c r="EK16" s="862"/>
      <c r="EL16" s="862"/>
      <c r="EM16" s="862"/>
      <c r="EN16" s="862"/>
      <c r="EO16" s="862"/>
      <c r="EP16" s="862"/>
      <c r="EQ16" s="862"/>
      <c r="ER16" s="862"/>
      <c r="ES16" s="862"/>
      <c r="ET16" s="862"/>
      <c r="EU16" s="862"/>
      <c r="EV16" s="862"/>
      <c r="EW16" s="862"/>
      <c r="EX16" s="862"/>
      <c r="EY16" s="862"/>
      <c r="EZ16" s="862"/>
      <c r="FA16" s="862"/>
      <c r="FB16" s="862"/>
      <c r="FC16" s="862"/>
      <c r="FD16" s="862"/>
      <c r="FE16" s="862"/>
      <c r="FF16" s="862"/>
      <c r="FG16" s="862"/>
      <c r="FH16" s="862"/>
      <c r="FI16" s="862"/>
      <c r="FJ16" s="862"/>
      <c r="FK16" s="862"/>
      <c r="FL16" s="862"/>
      <c r="FM16" s="862"/>
      <c r="FN16" s="862"/>
      <c r="FO16" s="862"/>
      <c r="FP16" s="862"/>
      <c r="FQ16" s="862"/>
      <c r="FR16" s="862"/>
      <c r="FS16" s="862"/>
      <c r="FT16" s="862"/>
      <c r="FU16" s="862"/>
      <c r="FV16" s="862"/>
      <c r="FW16" s="877"/>
      <c r="FX16" s="40"/>
      <c r="GC16" s="836">
        <v>12</v>
      </c>
    </row>
    <row r="17" ht="15.75" customHeight="1" spans="5:185">
      <c r="E17" s="845"/>
      <c r="F17" s="664"/>
      <c r="G17" s="664"/>
      <c r="H17" s="664"/>
      <c r="I17" s="664"/>
      <c r="J17" s="852"/>
      <c r="K17" s="852"/>
      <c r="L17" s="852"/>
      <c r="M17" s="852"/>
      <c r="N17" s="852"/>
      <c r="O17" s="66" t="s">
        <v>1315</v>
      </c>
      <c r="P17" s="66" t="s">
        <v>1316</v>
      </c>
      <c r="Q17" s="66" t="s">
        <v>1315</v>
      </c>
      <c r="R17" s="66" t="s">
        <v>1316</v>
      </c>
      <c r="S17" s="66" t="s">
        <v>1315</v>
      </c>
      <c r="T17" s="66" t="s">
        <v>1316</v>
      </c>
      <c r="U17" s="66" t="s">
        <v>1315</v>
      </c>
      <c r="V17" s="66" t="s">
        <v>1316</v>
      </c>
      <c r="W17" s="66" t="s">
        <v>1315</v>
      </c>
      <c r="X17" s="66" t="s">
        <v>1316</v>
      </c>
      <c r="Y17" s="66" t="s">
        <v>1315</v>
      </c>
      <c r="Z17" s="66" t="s">
        <v>1316</v>
      </c>
      <c r="AA17" s="66" t="s">
        <v>1315</v>
      </c>
      <c r="AB17" s="66" t="s">
        <v>1316</v>
      </c>
      <c r="AC17" s="862"/>
      <c r="AD17" s="862"/>
      <c r="AE17" s="862"/>
      <c r="AF17" s="862"/>
      <c r="AG17" s="862"/>
      <c r="AH17" s="862"/>
      <c r="AI17" s="862"/>
      <c r="AJ17" s="862"/>
      <c r="AK17" s="862"/>
      <c r="AL17" s="862"/>
      <c r="AM17" s="862"/>
      <c r="AN17" s="862"/>
      <c r="AO17" s="862"/>
      <c r="AP17" s="862"/>
      <c r="AQ17" s="862"/>
      <c r="AR17" s="862"/>
      <c r="AS17" s="862"/>
      <c r="AT17" s="862"/>
      <c r="AU17" s="862"/>
      <c r="AV17" s="862"/>
      <c r="AW17" s="862"/>
      <c r="AX17" s="862"/>
      <c r="AY17" s="862"/>
      <c r="AZ17" s="862"/>
      <c r="BA17" s="862"/>
      <c r="BB17" s="862"/>
      <c r="BC17" s="862"/>
      <c r="BD17" s="862"/>
      <c r="BE17" s="862"/>
      <c r="BF17" s="862"/>
      <c r="BG17" s="862"/>
      <c r="BH17" s="862"/>
      <c r="BI17" s="862"/>
      <c r="BJ17" s="862"/>
      <c r="BK17" s="862"/>
      <c r="BL17" s="862"/>
      <c r="BM17" s="862"/>
      <c r="BN17" s="862"/>
      <c r="BO17" s="862"/>
      <c r="BP17" s="862"/>
      <c r="BQ17" s="862"/>
      <c r="BR17" s="862"/>
      <c r="BS17" s="865"/>
      <c r="BT17" s="66" t="s">
        <v>1315</v>
      </c>
      <c r="BU17" s="66" t="s">
        <v>1316</v>
      </c>
      <c r="BV17" s="66" t="s">
        <v>1315</v>
      </c>
      <c r="BW17" s="66" t="s">
        <v>1316</v>
      </c>
      <c r="BX17" s="66" t="s">
        <v>1315</v>
      </c>
      <c r="BY17" s="66" t="s">
        <v>1316</v>
      </c>
      <c r="BZ17" s="66" t="s">
        <v>1315</v>
      </c>
      <c r="CA17" s="66" t="s">
        <v>1316</v>
      </c>
      <c r="CB17" s="66" t="s">
        <v>1315</v>
      </c>
      <c r="CC17" s="66" t="s">
        <v>1316</v>
      </c>
      <c r="CD17" s="66" t="s">
        <v>1315</v>
      </c>
      <c r="CE17" s="66" t="s">
        <v>1316</v>
      </c>
      <c r="CF17" s="66" t="s">
        <v>1315</v>
      </c>
      <c r="CG17" s="66" t="s">
        <v>1316</v>
      </c>
      <c r="CH17" s="66" t="s">
        <v>1315</v>
      </c>
      <c r="CI17" s="66" t="s">
        <v>1316</v>
      </c>
      <c r="CJ17" s="66" t="s">
        <v>1315</v>
      </c>
      <c r="CK17" s="66" t="s">
        <v>1316</v>
      </c>
      <c r="CL17" s="869"/>
      <c r="CM17" s="862"/>
      <c r="CN17" s="862"/>
      <c r="CO17" s="862"/>
      <c r="CP17" s="862"/>
      <c r="CQ17" s="862"/>
      <c r="CR17" s="862"/>
      <c r="CS17" s="862"/>
      <c r="CT17" s="862"/>
      <c r="CU17" s="862"/>
      <c r="CV17" s="862"/>
      <c r="CW17" s="862"/>
      <c r="CX17" s="865"/>
      <c r="CY17" s="66" t="s">
        <v>1315</v>
      </c>
      <c r="CZ17" s="66" t="s">
        <v>1316</v>
      </c>
      <c r="DA17" s="66" t="s">
        <v>1315</v>
      </c>
      <c r="DB17" s="66" t="s">
        <v>1316</v>
      </c>
      <c r="DC17" s="66" t="s">
        <v>1315</v>
      </c>
      <c r="DD17" s="66" t="s">
        <v>1316</v>
      </c>
      <c r="DE17" s="66" t="s">
        <v>1315</v>
      </c>
      <c r="DF17" s="66" t="s">
        <v>1316</v>
      </c>
      <c r="DG17" s="66" t="s">
        <v>1315</v>
      </c>
      <c r="DH17" s="66" t="s">
        <v>1316</v>
      </c>
      <c r="DI17" s="66" t="s">
        <v>1315</v>
      </c>
      <c r="DJ17" s="66" t="s">
        <v>1316</v>
      </c>
      <c r="DK17" s="869"/>
      <c r="DL17" s="862"/>
      <c r="DM17" s="862"/>
      <c r="DN17" s="862"/>
      <c r="DO17" s="862"/>
      <c r="DP17" s="862"/>
      <c r="DQ17" s="862"/>
      <c r="DR17" s="862"/>
      <c r="DS17" s="862"/>
      <c r="DT17" s="862"/>
      <c r="DU17" s="862"/>
      <c r="DV17" s="862"/>
      <c r="DW17" s="862"/>
      <c r="DX17" s="862"/>
      <c r="DY17" s="862"/>
      <c r="DZ17" s="862"/>
      <c r="EA17" s="862"/>
      <c r="EB17" s="862"/>
      <c r="EC17" s="862"/>
      <c r="ED17" s="862"/>
      <c r="EE17" s="862"/>
      <c r="EF17" s="862"/>
      <c r="EG17" s="862"/>
      <c r="EH17" s="862"/>
      <c r="EI17" s="862"/>
      <c r="EJ17" s="862"/>
      <c r="EK17" s="862"/>
      <c r="EL17" s="862"/>
      <c r="EM17" s="862"/>
      <c r="EN17" s="862"/>
      <c r="EO17" s="862"/>
      <c r="EP17" s="862"/>
      <c r="EQ17" s="862"/>
      <c r="ER17" s="862"/>
      <c r="ES17" s="862"/>
      <c r="ET17" s="862"/>
      <c r="EU17" s="862"/>
      <c r="EV17" s="862"/>
      <c r="EW17" s="862"/>
      <c r="EX17" s="862"/>
      <c r="EY17" s="862"/>
      <c r="EZ17" s="862"/>
      <c r="FA17" s="862"/>
      <c r="FB17" s="862"/>
      <c r="FC17" s="862"/>
      <c r="FD17" s="862"/>
      <c r="FE17" s="862"/>
      <c r="FF17" s="862"/>
      <c r="FG17" s="862"/>
      <c r="FH17" s="862"/>
      <c r="FI17" s="862"/>
      <c r="FJ17" s="862"/>
      <c r="FK17" s="862"/>
      <c r="FL17" s="862"/>
      <c r="FM17" s="862"/>
      <c r="FN17" s="862"/>
      <c r="FO17" s="862"/>
      <c r="FP17" s="862"/>
      <c r="FQ17" s="862"/>
      <c r="FR17" s="862"/>
      <c r="FS17" s="862"/>
      <c r="FT17" s="862"/>
      <c r="FU17" s="862"/>
      <c r="FV17" s="862"/>
      <c r="FW17" s="878"/>
      <c r="FX17" s="40"/>
      <c r="GC17" s="836">
        <v>15</v>
      </c>
    </row>
    <row r="18" s="209" customFormat="1" hidden="1" customHeight="1" spans="2:185">
      <c r="B18" s="315"/>
      <c r="E18" s="316"/>
      <c r="F18" s="846"/>
      <c r="G18" s="846"/>
      <c r="H18" s="846"/>
      <c r="I18" s="846"/>
      <c r="J18" s="857"/>
      <c r="K18" s="857"/>
      <c r="L18" s="857"/>
      <c r="M18" s="857"/>
      <c r="N18" s="857"/>
      <c r="O18" s="846"/>
      <c r="P18" s="846"/>
      <c r="Q18" s="846"/>
      <c r="R18" s="846"/>
      <c r="S18" s="846"/>
      <c r="T18" s="846"/>
      <c r="U18" s="859"/>
      <c r="V18" s="859"/>
      <c r="W18" s="859"/>
      <c r="X18" s="859"/>
      <c r="Y18" s="859"/>
      <c r="Z18" s="859"/>
      <c r="AA18" s="859"/>
      <c r="AB18" s="846"/>
      <c r="AC18" s="857"/>
      <c r="AD18" s="857"/>
      <c r="AE18" s="857"/>
      <c r="AF18" s="857"/>
      <c r="AG18" s="857"/>
      <c r="AH18" s="857"/>
      <c r="AI18" s="857"/>
      <c r="AJ18" s="857"/>
      <c r="AK18" s="857"/>
      <c r="AL18" s="857"/>
      <c r="AM18" s="857"/>
      <c r="AN18" s="857"/>
      <c r="AO18" s="857"/>
      <c r="AP18" s="857"/>
      <c r="AQ18" s="857"/>
      <c r="AR18" s="857"/>
      <c r="AS18" s="857"/>
      <c r="AT18" s="857"/>
      <c r="AU18" s="857"/>
      <c r="AV18" s="857"/>
      <c r="AW18" s="857"/>
      <c r="AX18" s="857"/>
      <c r="AY18" s="857"/>
      <c r="AZ18" s="857"/>
      <c r="BA18" s="857"/>
      <c r="BB18" s="857"/>
      <c r="BC18" s="857"/>
      <c r="BD18" s="857"/>
      <c r="BE18" s="857"/>
      <c r="BF18" s="857"/>
      <c r="BG18" s="857"/>
      <c r="BH18" s="857"/>
      <c r="BI18" s="857"/>
      <c r="BJ18" s="857"/>
      <c r="BK18" s="857"/>
      <c r="BL18" s="857"/>
      <c r="BM18" s="857"/>
      <c r="BN18" s="857"/>
      <c r="BO18" s="857"/>
      <c r="BP18" s="857"/>
      <c r="BQ18" s="857"/>
      <c r="BR18" s="857"/>
      <c r="BS18" s="857"/>
      <c r="BT18" s="866"/>
      <c r="BU18" s="866"/>
      <c r="BV18" s="866"/>
      <c r="BW18" s="866"/>
      <c r="BX18" s="866"/>
      <c r="BY18" s="866"/>
      <c r="BZ18" s="866"/>
      <c r="CA18" s="866"/>
      <c r="CB18" s="866"/>
      <c r="CC18" s="866"/>
      <c r="CD18" s="866"/>
      <c r="CE18" s="866"/>
      <c r="CF18" s="866"/>
      <c r="CG18" s="866"/>
      <c r="CH18" s="866"/>
      <c r="CI18" s="866"/>
      <c r="CJ18" s="866"/>
      <c r="CK18" s="866"/>
      <c r="CL18" s="857"/>
      <c r="CM18" s="857"/>
      <c r="CN18" s="857"/>
      <c r="CO18" s="857"/>
      <c r="CP18" s="857"/>
      <c r="CQ18" s="857"/>
      <c r="CR18" s="857"/>
      <c r="CS18" s="857"/>
      <c r="CT18" s="857"/>
      <c r="CU18" s="857"/>
      <c r="CV18" s="857"/>
      <c r="CW18" s="857"/>
      <c r="CX18" s="857"/>
      <c r="CY18" s="866"/>
      <c r="CZ18" s="866"/>
      <c r="DA18" s="866"/>
      <c r="DB18" s="866"/>
      <c r="DC18" s="866"/>
      <c r="DD18" s="866"/>
      <c r="DE18" s="866"/>
      <c r="DF18" s="866"/>
      <c r="DG18" s="866"/>
      <c r="DH18" s="866"/>
      <c r="DI18" s="866"/>
      <c r="DJ18" s="866"/>
      <c r="DK18" s="857"/>
      <c r="DL18" s="857"/>
      <c r="DM18" s="857"/>
      <c r="DN18" s="857"/>
      <c r="DO18" s="857"/>
      <c r="DP18" s="857"/>
      <c r="DQ18" s="857"/>
      <c r="DR18" s="857"/>
      <c r="DS18" s="857"/>
      <c r="DT18" s="857"/>
      <c r="DU18" s="857"/>
      <c r="DV18" s="857"/>
      <c r="DW18" s="857"/>
      <c r="DX18" s="857"/>
      <c r="DY18" s="857"/>
      <c r="DZ18" s="857"/>
      <c r="EA18" s="857"/>
      <c r="EB18" s="857"/>
      <c r="EC18" s="857"/>
      <c r="ED18" s="857"/>
      <c r="EE18" s="857"/>
      <c r="EF18" s="857"/>
      <c r="EG18" s="857"/>
      <c r="EH18" s="857"/>
      <c r="EI18" s="857"/>
      <c r="EJ18" s="857"/>
      <c r="EK18" s="857"/>
      <c r="EL18" s="857"/>
      <c r="EM18" s="857"/>
      <c r="EN18" s="857"/>
      <c r="EO18" s="857"/>
      <c r="EP18" s="857"/>
      <c r="EQ18" s="857"/>
      <c r="ER18" s="857"/>
      <c r="ES18" s="857"/>
      <c r="ET18" s="857"/>
      <c r="EU18" s="857"/>
      <c r="EV18" s="857"/>
      <c r="EW18" s="857"/>
      <c r="EX18" s="857"/>
      <c r="EY18" s="857"/>
      <c r="EZ18" s="857"/>
      <c r="FA18" s="857"/>
      <c r="FB18" s="857"/>
      <c r="FC18" s="857"/>
      <c r="FD18" s="857"/>
      <c r="FE18" s="857"/>
      <c r="FF18" s="857"/>
      <c r="FG18" s="857"/>
      <c r="FH18" s="857"/>
      <c r="FI18" s="857"/>
      <c r="FJ18" s="857"/>
      <c r="FK18" s="857"/>
      <c r="FL18" s="857"/>
      <c r="FM18" s="857"/>
      <c r="FN18" s="857"/>
      <c r="FO18" s="857"/>
      <c r="FP18" s="857"/>
      <c r="FQ18" s="857"/>
      <c r="FR18" s="857"/>
      <c r="FS18" s="857"/>
      <c r="FT18" s="857"/>
      <c r="FU18" s="857"/>
      <c r="FV18" s="857"/>
      <c r="FW18" s="846"/>
      <c r="FX18" s="438"/>
      <c r="GC18" s="209">
        <v>0</v>
      </c>
    </row>
    <row r="19" s="209" customFormat="1" ht="11.25" hidden="1" customHeight="1" spans="2:185">
      <c r="B19" s="315"/>
      <c r="E19" s="316"/>
      <c r="F19" s="846"/>
      <c r="G19" s="846"/>
      <c r="H19" s="846"/>
      <c r="I19" s="846"/>
      <c r="J19" s="846"/>
      <c r="K19" s="846"/>
      <c r="L19" s="846"/>
      <c r="M19" s="846"/>
      <c r="N19" s="846"/>
      <c r="O19" s="846"/>
      <c r="P19" s="846"/>
      <c r="Q19" s="846"/>
      <c r="R19" s="846"/>
      <c r="S19" s="846"/>
      <c r="T19" s="846"/>
      <c r="U19" s="859"/>
      <c r="V19" s="859"/>
      <c r="W19" s="859"/>
      <c r="X19" s="859"/>
      <c r="Y19" s="859"/>
      <c r="Z19" s="859"/>
      <c r="AA19" s="859"/>
      <c r="AB19" s="846"/>
      <c r="AC19" s="846"/>
      <c r="AD19" s="846"/>
      <c r="AE19" s="846"/>
      <c r="AF19" s="846"/>
      <c r="AG19" s="846"/>
      <c r="AH19" s="846"/>
      <c r="AI19" s="846"/>
      <c r="AJ19" s="846"/>
      <c r="AK19" s="846"/>
      <c r="AL19" s="846"/>
      <c r="AM19" s="846"/>
      <c r="AN19" s="846"/>
      <c r="AO19" s="846"/>
      <c r="AP19" s="846"/>
      <c r="AQ19" s="846"/>
      <c r="AR19" s="846"/>
      <c r="AS19" s="846"/>
      <c r="AT19" s="846"/>
      <c r="AU19" s="846"/>
      <c r="AV19" s="846"/>
      <c r="AW19" s="846"/>
      <c r="AX19" s="846"/>
      <c r="AY19" s="846"/>
      <c r="AZ19" s="846"/>
      <c r="BA19" s="846"/>
      <c r="BB19" s="846"/>
      <c r="BC19" s="846"/>
      <c r="BD19" s="846"/>
      <c r="BE19" s="846"/>
      <c r="BF19" s="846"/>
      <c r="BG19" s="846"/>
      <c r="BH19" s="846"/>
      <c r="BI19" s="846"/>
      <c r="BJ19" s="846"/>
      <c r="BK19" s="846"/>
      <c r="BL19" s="846"/>
      <c r="BM19" s="846"/>
      <c r="BN19" s="846"/>
      <c r="BO19" s="846"/>
      <c r="BP19" s="846"/>
      <c r="BQ19" s="846"/>
      <c r="BR19" s="846"/>
      <c r="BS19" s="846"/>
      <c r="BT19" s="846"/>
      <c r="BU19" s="846"/>
      <c r="BV19" s="846"/>
      <c r="BW19" s="846"/>
      <c r="BX19" s="846"/>
      <c r="BY19" s="846"/>
      <c r="BZ19" s="846"/>
      <c r="CA19" s="846"/>
      <c r="CB19" s="846"/>
      <c r="CC19" s="846"/>
      <c r="CD19" s="846"/>
      <c r="CE19" s="846"/>
      <c r="CF19" s="846"/>
      <c r="CG19" s="846"/>
      <c r="CH19" s="846"/>
      <c r="CI19" s="846"/>
      <c r="CJ19" s="846"/>
      <c r="CK19" s="846"/>
      <c r="CL19" s="846"/>
      <c r="CM19" s="846"/>
      <c r="CN19" s="846"/>
      <c r="CO19" s="846"/>
      <c r="CP19" s="846"/>
      <c r="CQ19" s="846"/>
      <c r="CR19" s="846"/>
      <c r="CS19" s="846"/>
      <c r="CT19" s="846"/>
      <c r="CU19" s="846"/>
      <c r="CV19" s="846"/>
      <c r="CW19" s="846"/>
      <c r="CX19" s="846"/>
      <c r="CY19" s="846"/>
      <c r="CZ19" s="846"/>
      <c r="DA19" s="846"/>
      <c r="DB19" s="846"/>
      <c r="DC19" s="846"/>
      <c r="DD19" s="846"/>
      <c r="DE19" s="846"/>
      <c r="DF19" s="846"/>
      <c r="DG19" s="846"/>
      <c r="DH19" s="846"/>
      <c r="DI19" s="846"/>
      <c r="DJ19" s="846"/>
      <c r="DK19" s="846"/>
      <c r="DL19" s="846"/>
      <c r="DM19" s="846"/>
      <c r="DN19" s="846"/>
      <c r="DO19" s="846"/>
      <c r="DP19" s="846"/>
      <c r="DQ19" s="846"/>
      <c r="DR19" s="846"/>
      <c r="DS19" s="846"/>
      <c r="DT19" s="846"/>
      <c r="DU19" s="846"/>
      <c r="DV19" s="846"/>
      <c r="DW19" s="846"/>
      <c r="DX19" s="846"/>
      <c r="DY19" s="846"/>
      <c r="DZ19" s="846"/>
      <c r="EA19" s="846"/>
      <c r="EB19" s="846"/>
      <c r="EC19" s="846"/>
      <c r="ED19" s="846"/>
      <c r="EE19" s="846"/>
      <c r="EF19" s="846"/>
      <c r="EG19" s="846"/>
      <c r="EH19" s="846"/>
      <c r="EI19" s="846"/>
      <c r="EJ19" s="846"/>
      <c r="EK19" s="846"/>
      <c r="EL19" s="846"/>
      <c r="EM19" s="846"/>
      <c r="EN19" s="846"/>
      <c r="EO19" s="846"/>
      <c r="EP19" s="846"/>
      <c r="EQ19" s="846"/>
      <c r="ER19" s="846"/>
      <c r="ES19" s="846"/>
      <c r="ET19" s="846"/>
      <c r="EU19" s="846"/>
      <c r="EV19" s="846"/>
      <c r="EW19" s="846"/>
      <c r="EX19" s="846"/>
      <c r="EY19" s="846"/>
      <c r="EZ19" s="846"/>
      <c r="FA19" s="846"/>
      <c r="FB19" s="846"/>
      <c r="FC19" s="846"/>
      <c r="FD19" s="846"/>
      <c r="FE19" s="846"/>
      <c r="FF19" s="846"/>
      <c r="FG19" s="846"/>
      <c r="FH19" s="846"/>
      <c r="FI19" s="846"/>
      <c r="FJ19" s="846"/>
      <c r="FK19" s="846"/>
      <c r="FL19" s="846"/>
      <c r="FM19" s="846"/>
      <c r="FN19" s="846"/>
      <c r="FO19" s="846"/>
      <c r="FP19" s="846"/>
      <c r="FQ19" s="846"/>
      <c r="FR19" s="846"/>
      <c r="FS19" s="846"/>
      <c r="FT19" s="846"/>
      <c r="FU19" s="846"/>
      <c r="FV19" s="846"/>
      <c r="FW19" s="846"/>
      <c r="FX19" s="438"/>
      <c r="GC19" s="209">
        <v>0</v>
      </c>
    </row>
    <row r="20" s="209" customFormat="1" ht="11.25" hidden="1" customHeight="1" spans="2:185">
      <c r="B20" s="315"/>
      <c r="E20" s="316"/>
      <c r="F20" s="847" t="s">
        <v>372</v>
      </c>
      <c r="G20" s="848"/>
      <c r="H20" s="849"/>
      <c r="I20" s="849"/>
      <c r="J20" s="849"/>
      <c r="K20" s="849"/>
      <c r="L20" s="849"/>
      <c r="M20" s="849"/>
      <c r="N20" s="849"/>
      <c r="O20" s="848"/>
      <c r="P20" s="848"/>
      <c r="Q20" s="848"/>
      <c r="R20" s="848"/>
      <c r="S20" s="848"/>
      <c r="T20" s="848"/>
      <c r="U20" s="860"/>
      <c r="V20" s="860"/>
      <c r="W20" s="860"/>
      <c r="X20" s="860"/>
      <c r="Y20" s="860"/>
      <c r="Z20" s="860"/>
      <c r="AA20" s="860"/>
      <c r="AB20" s="848"/>
      <c r="AC20" s="849"/>
      <c r="AD20" s="849"/>
      <c r="AE20" s="849"/>
      <c r="AF20" s="849"/>
      <c r="AG20" s="849"/>
      <c r="AH20" s="849"/>
      <c r="AI20" s="849"/>
      <c r="AJ20" s="849"/>
      <c r="AK20" s="849"/>
      <c r="AL20" s="849"/>
      <c r="AM20" s="849"/>
      <c r="AN20" s="849"/>
      <c r="AO20" s="849"/>
      <c r="AP20" s="849"/>
      <c r="AQ20" s="849"/>
      <c r="AR20" s="849"/>
      <c r="AS20" s="849"/>
      <c r="AT20" s="849"/>
      <c r="AU20" s="849"/>
      <c r="AV20" s="849"/>
      <c r="AW20" s="849"/>
      <c r="AX20" s="849"/>
      <c r="AY20" s="849"/>
      <c r="AZ20" s="849"/>
      <c r="BA20" s="849"/>
      <c r="BB20" s="849"/>
      <c r="BC20" s="849"/>
      <c r="BD20" s="849"/>
      <c r="BE20" s="849"/>
      <c r="BF20" s="849"/>
      <c r="BG20" s="849"/>
      <c r="BH20" s="849"/>
      <c r="BI20" s="849"/>
      <c r="BJ20" s="849"/>
      <c r="BK20" s="849"/>
      <c r="BL20" s="849"/>
      <c r="BM20" s="849"/>
      <c r="BN20" s="849"/>
      <c r="BO20" s="849"/>
      <c r="BP20" s="849"/>
      <c r="BQ20" s="849"/>
      <c r="BR20" s="849"/>
      <c r="BS20" s="849"/>
      <c r="BT20" s="849"/>
      <c r="BU20" s="849"/>
      <c r="BV20" s="849"/>
      <c r="BW20" s="849"/>
      <c r="BX20" s="849"/>
      <c r="BY20" s="849"/>
      <c r="BZ20" s="849"/>
      <c r="CA20" s="849"/>
      <c r="CB20" s="849"/>
      <c r="CC20" s="849"/>
      <c r="CD20" s="849"/>
      <c r="CE20" s="849"/>
      <c r="CF20" s="849"/>
      <c r="CG20" s="849"/>
      <c r="CH20" s="849"/>
      <c r="CI20" s="849"/>
      <c r="CJ20" s="849"/>
      <c r="CK20" s="849"/>
      <c r="CL20" s="437"/>
      <c r="CM20" s="437"/>
      <c r="CN20" s="437"/>
      <c r="CO20" s="437"/>
      <c r="CP20" s="437"/>
      <c r="CQ20" s="437"/>
      <c r="CR20" s="437"/>
      <c r="CS20" s="437"/>
      <c r="CT20" s="437"/>
      <c r="CU20" s="437"/>
      <c r="CV20" s="437"/>
      <c r="CW20" s="437"/>
      <c r="CX20" s="437"/>
      <c r="CY20" s="437"/>
      <c r="CZ20" s="437"/>
      <c r="DA20" s="437"/>
      <c r="DB20" s="437"/>
      <c r="DC20" s="437"/>
      <c r="DD20" s="437"/>
      <c r="DE20" s="437"/>
      <c r="DF20" s="437"/>
      <c r="DG20" s="437"/>
      <c r="DH20" s="437"/>
      <c r="DI20" s="437"/>
      <c r="DJ20" s="437"/>
      <c r="DK20" s="437"/>
      <c r="DL20" s="437"/>
      <c r="DM20" s="437"/>
      <c r="DN20" s="437"/>
      <c r="DO20" s="437"/>
      <c r="DP20" s="437"/>
      <c r="DQ20" s="437"/>
      <c r="DR20" s="437"/>
      <c r="DS20" s="437"/>
      <c r="DT20" s="437"/>
      <c r="DU20" s="437"/>
      <c r="DV20" s="437"/>
      <c r="DW20" s="437"/>
      <c r="DX20" s="437"/>
      <c r="DY20" s="437"/>
      <c r="DZ20" s="437"/>
      <c r="EA20" s="437"/>
      <c r="EB20" s="437"/>
      <c r="EC20" s="437"/>
      <c r="ED20" s="437"/>
      <c r="EE20" s="437"/>
      <c r="EF20" s="437"/>
      <c r="EG20" s="437"/>
      <c r="EH20" s="437"/>
      <c r="EI20" s="437"/>
      <c r="EJ20" s="437"/>
      <c r="EK20" s="437"/>
      <c r="EL20" s="437"/>
      <c r="EM20" s="437"/>
      <c r="EN20" s="437"/>
      <c r="EO20" s="437"/>
      <c r="EP20" s="437"/>
      <c r="EQ20" s="437"/>
      <c r="ER20" s="437"/>
      <c r="ES20" s="437"/>
      <c r="ET20" s="437"/>
      <c r="EU20" s="437"/>
      <c r="EV20" s="437"/>
      <c r="EW20" s="437"/>
      <c r="EX20" s="437"/>
      <c r="EY20" s="437"/>
      <c r="EZ20" s="437"/>
      <c r="FA20" s="437"/>
      <c r="FB20" s="437"/>
      <c r="FC20" s="437"/>
      <c r="FD20" s="437"/>
      <c r="FE20" s="437"/>
      <c r="FF20" s="437"/>
      <c r="FG20" s="437"/>
      <c r="FH20" s="437"/>
      <c r="FI20" s="437"/>
      <c r="FJ20" s="437"/>
      <c r="FK20" s="437"/>
      <c r="FL20" s="437"/>
      <c r="FM20" s="437"/>
      <c r="FN20" s="437"/>
      <c r="FO20" s="437"/>
      <c r="FP20" s="437"/>
      <c r="FQ20" s="437"/>
      <c r="FR20" s="437"/>
      <c r="FS20" s="437"/>
      <c r="FT20" s="437"/>
      <c r="FU20" s="437"/>
      <c r="FV20" s="437"/>
      <c r="FW20" s="437"/>
      <c r="FX20" s="438"/>
      <c r="GC20" s="209">
        <v>0</v>
      </c>
    </row>
    <row r="21" s="209" customFormat="1" ht="21" customHeight="1" spans="1:180">
      <c r="A21" s="307" t="s">
        <v>1004</v>
      </c>
      <c r="B21" s="315"/>
      <c r="E21" s="316" t="s">
        <v>22</v>
      </c>
      <c r="F21" s="317" t="str">
        <f>INDEX(IP_MAIN_LIST_NAME_IP,MATCH(A21,IP_MAIN_LIST_IP_ID,0))&amp;" ("&amp;INDEX(IP_MAIN_START_DATE,MATCH(A21,IP_MAIN_LIST_IP_ID,0))&amp;"-"&amp;INDEX(IP_MAIN_END_DATE,MATCH(A21,IP_MAIN_LIST_IP_ID,0))&amp;")"</f>
        <v>Инвестиционная программа № 147 от 30.10.2025 АО "ТЕПЛОКОММУНЭНЕРГО" в сфере теплоснабжения по строительству, реконструкции и модернизации систем теплоснабжения, на территории городского округа Ростов-на-Дону на 2026 год (01.01.2026-31.12.2026)</v>
      </c>
      <c r="G21" s="318"/>
      <c r="H21" s="319"/>
      <c r="I21" s="319"/>
      <c r="J21" s="319"/>
      <c r="K21" s="319"/>
      <c r="L21" s="319"/>
      <c r="M21" s="319"/>
      <c r="N21" s="319"/>
      <c r="O21" s="318"/>
      <c r="P21" s="318"/>
      <c r="Q21" s="318"/>
      <c r="R21" s="318"/>
      <c r="S21" s="318"/>
      <c r="T21" s="318"/>
      <c r="U21" s="388"/>
      <c r="V21" s="388"/>
      <c r="W21" s="388"/>
      <c r="X21" s="388"/>
      <c r="Y21" s="388"/>
      <c r="Z21" s="388"/>
      <c r="AA21" s="388"/>
      <c r="AB21" s="318"/>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435"/>
      <c r="CM21" s="435"/>
      <c r="CN21" s="435"/>
      <c r="CO21" s="435"/>
      <c r="CP21" s="435"/>
      <c r="CQ21" s="435"/>
      <c r="CR21" s="435"/>
      <c r="CS21" s="435"/>
      <c r="CT21" s="435"/>
      <c r="CU21" s="435"/>
      <c r="CV21" s="435"/>
      <c r="CW21" s="435"/>
      <c r="CX21" s="435"/>
      <c r="CY21" s="435"/>
      <c r="CZ21" s="435"/>
      <c r="DA21" s="435"/>
      <c r="DB21" s="435"/>
      <c r="DC21" s="435"/>
      <c r="DD21" s="435"/>
      <c r="DE21" s="435"/>
      <c r="DF21" s="435"/>
      <c r="DG21" s="435"/>
      <c r="DH21" s="435"/>
      <c r="DI21" s="435"/>
      <c r="DJ21" s="435"/>
      <c r="DK21" s="435"/>
      <c r="DL21" s="435"/>
      <c r="DM21" s="435"/>
      <c r="DN21" s="435"/>
      <c r="DO21" s="435"/>
      <c r="DP21" s="435"/>
      <c r="DQ21" s="435"/>
      <c r="DR21" s="435"/>
      <c r="DS21" s="435"/>
      <c r="DT21" s="435"/>
      <c r="DU21" s="435"/>
      <c r="DV21" s="435"/>
      <c r="DW21" s="435"/>
      <c r="DX21" s="435"/>
      <c r="DY21" s="435"/>
      <c r="DZ21" s="435"/>
      <c r="EA21" s="435"/>
      <c r="EB21" s="435"/>
      <c r="EC21" s="435"/>
      <c r="ED21" s="435"/>
      <c r="EE21" s="435"/>
      <c r="EF21" s="435"/>
      <c r="EG21" s="435"/>
      <c r="EH21" s="435"/>
      <c r="EI21" s="435"/>
      <c r="EJ21" s="435"/>
      <c r="EK21" s="435"/>
      <c r="EL21" s="435"/>
      <c r="EM21" s="435"/>
      <c r="EN21" s="435"/>
      <c r="EO21" s="435"/>
      <c r="EP21" s="435"/>
      <c r="EQ21" s="435"/>
      <c r="ER21" s="435"/>
      <c r="ES21" s="435"/>
      <c r="ET21" s="435"/>
      <c r="EU21" s="435"/>
      <c r="EV21" s="435"/>
      <c r="EW21" s="435"/>
      <c r="EX21" s="435"/>
      <c r="EY21" s="435"/>
      <c r="EZ21" s="435"/>
      <c r="FA21" s="435"/>
      <c r="FB21" s="435"/>
      <c r="FC21" s="435"/>
      <c r="FD21" s="435"/>
      <c r="FE21" s="435"/>
      <c r="FF21" s="435"/>
      <c r="FG21" s="435"/>
      <c r="FH21" s="435"/>
      <c r="FI21" s="435"/>
      <c r="FJ21" s="435"/>
      <c r="FK21" s="435"/>
      <c r="FL21" s="435"/>
      <c r="FM21" s="435"/>
      <c r="FN21" s="435"/>
      <c r="FO21" s="435"/>
      <c r="FP21" s="435"/>
      <c r="FQ21" s="435"/>
      <c r="FR21" s="435"/>
      <c r="FS21" s="435"/>
      <c r="FT21" s="435"/>
      <c r="FU21" s="435"/>
      <c r="FV21" s="436"/>
      <c r="FW21" s="437"/>
      <c r="FX21" s="438"/>
    </row>
    <row r="22" s="209" customFormat="1" ht="64.5" customHeight="1" spans="1:180">
      <c r="A22" s="209" t="s">
        <v>1004</v>
      </c>
      <c r="B22" s="315"/>
      <c r="E22"/>
      <c r="F22" s="212">
        <v>1</v>
      </c>
      <c r="G22" s="277" t="s">
        <v>997</v>
      </c>
      <c r="H22" s="320" t="s">
        <v>1317</v>
      </c>
      <c r="I22" s="382" t="s">
        <v>1318</v>
      </c>
      <c r="J22" s="383"/>
      <c r="K22" s="383"/>
      <c r="L22" s="383"/>
      <c r="M22" s="383"/>
      <c r="N22" s="383"/>
      <c r="O22" s="384">
        <v>2.821</v>
      </c>
      <c r="P22" s="384">
        <v>0</v>
      </c>
      <c r="Q22" s="384">
        <v>0.045</v>
      </c>
      <c r="R22" s="384">
        <v>0</v>
      </c>
      <c r="S22" s="384">
        <v>168.8</v>
      </c>
      <c r="T22" s="384">
        <v>0</v>
      </c>
      <c r="U22" s="384">
        <v>1.84</v>
      </c>
      <c r="V22" s="384">
        <v>0</v>
      </c>
      <c r="W22" s="384">
        <v>0</v>
      </c>
      <c r="X22" s="384">
        <v>0</v>
      </c>
      <c r="Y22" s="384">
        <v>3450.7</v>
      </c>
      <c r="Z22" s="384">
        <v>0</v>
      </c>
      <c r="AA22" s="384">
        <v>0</v>
      </c>
      <c r="AB22" s="384">
        <v>0</v>
      </c>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c r="BP22" s="383"/>
      <c r="BQ22" s="383"/>
      <c r="BR22" s="383"/>
      <c r="BS22" s="383"/>
      <c r="BT22" s="384"/>
      <c r="BU22" s="384"/>
      <c r="BV22" s="384"/>
      <c r="BW22" s="384"/>
      <c r="BX22" s="384"/>
      <c r="BY22" s="384"/>
      <c r="BZ22" s="384"/>
      <c r="CA22" s="384"/>
      <c r="CB22" s="384"/>
      <c r="CC22" s="384"/>
      <c r="CD22" s="384"/>
      <c r="CE22" s="384"/>
      <c r="CF22" s="384"/>
      <c r="CG22" s="384"/>
      <c r="CH22" s="384"/>
      <c r="CI22" s="384"/>
      <c r="CJ22" s="384"/>
      <c r="CK22" s="384"/>
      <c r="CL22" s="383"/>
      <c r="CM22" s="383"/>
      <c r="CN22" s="383"/>
      <c r="CO22" s="383"/>
      <c r="CP22" s="383"/>
      <c r="CQ22" s="383"/>
      <c r="CR22" s="383"/>
      <c r="CS22" s="383"/>
      <c r="CT22" s="383"/>
      <c r="CU22" s="383"/>
      <c r="CV22" s="383"/>
      <c r="CW22" s="383"/>
      <c r="CX22" s="383"/>
      <c r="CY22" s="384"/>
      <c r="CZ22" s="384"/>
      <c r="DA22" s="384"/>
      <c r="DB22" s="384"/>
      <c r="DC22" s="384"/>
      <c r="DD22" s="384"/>
      <c r="DE22" s="384"/>
      <c r="DF22" s="384"/>
      <c r="DG22" s="384"/>
      <c r="DH22" s="384"/>
      <c r="DI22" s="384"/>
      <c r="DJ22" s="384"/>
      <c r="DK22" s="383"/>
      <c r="DL22" s="383"/>
      <c r="DM22" s="383"/>
      <c r="DN22" s="383"/>
      <c r="DO22" s="383"/>
      <c r="DP22" s="383"/>
      <c r="DQ22" s="383"/>
      <c r="DR22" s="383"/>
      <c r="DS22" s="383"/>
      <c r="DT22" s="383"/>
      <c r="DU22" s="383"/>
      <c r="DV22" s="383"/>
      <c r="DW22" s="383"/>
      <c r="DX22" s="383"/>
      <c r="DY22" s="383"/>
      <c r="DZ22" s="383"/>
      <c r="EA22" s="383"/>
      <c r="EB22" s="383"/>
      <c r="EC22" s="383"/>
      <c r="ED22" s="383"/>
      <c r="EE22" s="383"/>
      <c r="EF22" s="383"/>
      <c r="EG22" s="383"/>
      <c r="EH22" s="383"/>
      <c r="EI22" s="383"/>
      <c r="EJ22" s="383"/>
      <c r="EK22" s="383"/>
      <c r="EL22" s="383"/>
      <c r="EM22" s="383"/>
      <c r="EN22" s="383"/>
      <c r="EO22" s="383"/>
      <c r="EP22" s="383"/>
      <c r="EQ22" s="383"/>
      <c r="ER22" s="383"/>
      <c r="ES22" s="383"/>
      <c r="ET22" s="383"/>
      <c r="EU22" s="383"/>
      <c r="EV22" s="383"/>
      <c r="EW22" s="383"/>
      <c r="EX22" s="383"/>
      <c r="EY22" s="383"/>
      <c r="EZ22" s="383"/>
      <c r="FA22" s="383"/>
      <c r="FB22" s="383"/>
      <c r="FC22" s="383"/>
      <c r="FD22" s="383"/>
      <c r="FE22" s="383"/>
      <c r="FF22" s="383"/>
      <c r="FG22" s="383"/>
      <c r="FH22" s="383"/>
      <c r="FI22" s="383"/>
      <c r="FJ22" s="383"/>
      <c r="FK22" s="383"/>
      <c r="FL22" s="383"/>
      <c r="FM22" s="383"/>
      <c r="FN22" s="383"/>
      <c r="FO22" s="383"/>
      <c r="FP22" s="383"/>
      <c r="FQ22" s="383"/>
      <c r="FR22" s="383"/>
      <c r="FS22" s="383"/>
      <c r="FT22" s="383"/>
      <c r="FU22" s="383"/>
      <c r="FV22" s="383"/>
      <c r="FW22" s="383"/>
      <c r="FX22" s="438"/>
    </row>
    <row r="23" s="209" customFormat="1" customHeight="1" spans="1:184">
      <c r="A23" s="209" t="s">
        <v>1004</v>
      </c>
      <c r="B23" s="315"/>
      <c r="F23" s="321"/>
      <c r="G23" s="322" t="s">
        <v>1319</v>
      </c>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2"/>
      <c r="CE23" s="322"/>
      <c r="CF23" s="322"/>
      <c r="CG23" s="322"/>
      <c r="CH23" s="322"/>
      <c r="CI23" s="322"/>
      <c r="CJ23" s="322"/>
      <c r="CK23" s="322"/>
      <c r="CL23" s="322"/>
      <c r="CM23" s="322"/>
      <c r="CN23" s="322"/>
      <c r="CO23" s="322"/>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c r="EU23" s="322"/>
      <c r="EV23" s="322"/>
      <c r="EW23" s="322"/>
      <c r="EX23" s="322"/>
      <c r="EY23" s="322"/>
      <c r="EZ23" s="322"/>
      <c r="FA23" s="322"/>
      <c r="FB23" s="322"/>
      <c r="FC23" s="322"/>
      <c r="FD23" s="322"/>
      <c r="FE23" s="322"/>
      <c r="FF23" s="322"/>
      <c r="FG23" s="322"/>
      <c r="FH23" s="322"/>
      <c r="FI23" s="322"/>
      <c r="FJ23" s="322"/>
      <c r="FK23" s="322"/>
      <c r="FL23" s="322"/>
      <c r="FM23" s="322"/>
      <c r="FN23" s="322"/>
      <c r="FO23" s="322"/>
      <c r="FP23" s="322"/>
      <c r="FQ23" s="322"/>
      <c r="FR23" s="322"/>
      <c r="FS23" s="322"/>
      <c r="FT23" s="322"/>
      <c r="FU23" s="322"/>
      <c r="FV23" s="322"/>
      <c r="FW23" s="439"/>
      <c r="FX23" s="81"/>
      <c r="FY23" s="440"/>
      <c r="FZ23" s="440"/>
      <c r="GA23" s="440"/>
      <c r="GB23" s="440"/>
    </row>
    <row r="24" s="209" customFormat="1" ht="21" customHeight="1" spans="1:180">
      <c r="A24" s="307" t="s">
        <v>1008</v>
      </c>
      <c r="B24" s="315"/>
      <c r="E24" s="316" t="s">
        <v>22</v>
      </c>
      <c r="F24" s="317" t="str">
        <f>INDEX(IP_MAIN_LIST_NAME_IP,MATCH(A24,IP_MAIN_LIST_IP_ID,0))&amp;" ("&amp;INDEX(IP_MAIN_START_DATE,MATCH(A24,IP_MAIN_LIST_IP_ID,0))&amp;"-"&amp;INDEX(IP_MAIN_END_DATE,MATCH(A24,IP_MAIN_LIST_IP_ID,0))&amp;")"</f>
        <v>Инвестиционная программа № 148 от 30.10.2025 АО "ТЕПЛОКОММУНЭНЕРГО"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Ростов-на-Дону на 2026 год (01.01.2026-31.12.2026)</v>
      </c>
      <c r="G24" s="318"/>
      <c r="H24" s="319"/>
      <c r="I24" s="319"/>
      <c r="J24" s="319"/>
      <c r="K24" s="319"/>
      <c r="L24" s="319"/>
      <c r="M24" s="319"/>
      <c r="N24" s="319"/>
      <c r="O24" s="318"/>
      <c r="P24" s="318"/>
      <c r="Q24" s="318"/>
      <c r="R24" s="318"/>
      <c r="S24" s="318"/>
      <c r="T24" s="318"/>
      <c r="U24" s="388"/>
      <c r="V24" s="388"/>
      <c r="W24" s="388"/>
      <c r="X24" s="388"/>
      <c r="Y24" s="388"/>
      <c r="Z24" s="388"/>
      <c r="AA24" s="388"/>
      <c r="AB24" s="318"/>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Q24" s="319"/>
      <c r="BR24" s="319"/>
      <c r="BS24" s="319"/>
      <c r="BT24" s="319"/>
      <c r="BU24" s="319"/>
      <c r="BV24" s="319"/>
      <c r="BW24" s="319"/>
      <c r="BX24" s="319"/>
      <c r="BY24" s="319"/>
      <c r="BZ24" s="319"/>
      <c r="CA24" s="319"/>
      <c r="CB24" s="319"/>
      <c r="CC24" s="319"/>
      <c r="CD24" s="319"/>
      <c r="CE24" s="319"/>
      <c r="CF24" s="319"/>
      <c r="CG24" s="319"/>
      <c r="CH24" s="319"/>
      <c r="CI24" s="319"/>
      <c r="CJ24" s="319"/>
      <c r="CK24" s="319"/>
      <c r="CL24" s="435"/>
      <c r="CM24" s="435"/>
      <c r="CN24" s="435"/>
      <c r="CO24" s="435"/>
      <c r="CP24" s="435"/>
      <c r="CQ24" s="435"/>
      <c r="CR24" s="435"/>
      <c r="CS24" s="435"/>
      <c r="CT24" s="435"/>
      <c r="CU24" s="435"/>
      <c r="CV24" s="435"/>
      <c r="CW24" s="435"/>
      <c r="CX24" s="435"/>
      <c r="CY24" s="435"/>
      <c r="CZ24" s="435"/>
      <c r="DA24" s="435"/>
      <c r="DB24" s="435"/>
      <c r="DC24" s="435"/>
      <c r="DD24" s="435"/>
      <c r="DE24" s="435"/>
      <c r="DF24" s="435"/>
      <c r="DG24" s="435"/>
      <c r="DH24" s="435"/>
      <c r="DI24" s="435"/>
      <c r="DJ24" s="435"/>
      <c r="DK24" s="435"/>
      <c r="DL24" s="435"/>
      <c r="DM24" s="435"/>
      <c r="DN24" s="435"/>
      <c r="DO24" s="435"/>
      <c r="DP24" s="435"/>
      <c r="DQ24" s="435"/>
      <c r="DR24" s="435"/>
      <c r="DS24" s="435"/>
      <c r="DT24" s="435"/>
      <c r="DU24" s="435"/>
      <c r="DV24" s="435"/>
      <c r="DW24" s="435"/>
      <c r="DX24" s="435"/>
      <c r="DY24" s="435"/>
      <c r="DZ24" s="435"/>
      <c r="EA24" s="435"/>
      <c r="EB24" s="435"/>
      <c r="EC24" s="435"/>
      <c r="ED24" s="435"/>
      <c r="EE24" s="435"/>
      <c r="EF24" s="435"/>
      <c r="EG24" s="435"/>
      <c r="EH24" s="435"/>
      <c r="EI24" s="435"/>
      <c r="EJ24" s="435"/>
      <c r="EK24" s="435"/>
      <c r="EL24" s="435"/>
      <c r="EM24" s="435"/>
      <c r="EN24" s="435"/>
      <c r="EO24" s="435"/>
      <c r="EP24" s="435"/>
      <c r="EQ24" s="435"/>
      <c r="ER24" s="435"/>
      <c r="ES24" s="435"/>
      <c r="ET24" s="435"/>
      <c r="EU24" s="435"/>
      <c r="EV24" s="435"/>
      <c r="EW24" s="435"/>
      <c r="EX24" s="435"/>
      <c r="EY24" s="435"/>
      <c r="EZ24" s="435"/>
      <c r="FA24" s="435"/>
      <c r="FB24" s="435"/>
      <c r="FC24" s="435"/>
      <c r="FD24" s="435"/>
      <c r="FE24" s="435"/>
      <c r="FF24" s="435"/>
      <c r="FG24" s="435"/>
      <c r="FH24" s="435"/>
      <c r="FI24" s="435"/>
      <c r="FJ24" s="435"/>
      <c r="FK24" s="435"/>
      <c r="FL24" s="435"/>
      <c r="FM24" s="435"/>
      <c r="FN24" s="435"/>
      <c r="FO24" s="435"/>
      <c r="FP24" s="435"/>
      <c r="FQ24" s="435"/>
      <c r="FR24" s="435"/>
      <c r="FS24" s="435"/>
      <c r="FT24" s="435"/>
      <c r="FU24" s="435"/>
      <c r="FV24" s="436"/>
      <c r="FW24" s="437"/>
      <c r="FX24" s="438"/>
    </row>
    <row r="25" s="209" customFormat="1" ht="63" customHeight="1" spans="1:180">
      <c r="A25" s="209" t="s">
        <v>1008</v>
      </c>
      <c r="B25" s="315"/>
      <c r="E25"/>
      <c r="F25" s="212">
        <v>1</v>
      </c>
      <c r="G25" s="277" t="s">
        <v>997</v>
      </c>
      <c r="H25" s="320" t="s">
        <v>1317</v>
      </c>
      <c r="I25" s="382" t="s">
        <v>1318</v>
      </c>
      <c r="J25" s="383"/>
      <c r="K25" s="383"/>
      <c r="L25" s="383"/>
      <c r="M25" s="383"/>
      <c r="N25" s="383"/>
      <c r="O25" s="384">
        <v>1.424</v>
      </c>
      <c r="P25" s="384">
        <v>0</v>
      </c>
      <c r="Q25" s="384">
        <v>0</v>
      </c>
      <c r="R25" s="384">
        <v>0</v>
      </c>
      <c r="S25" s="384">
        <v>0</v>
      </c>
      <c r="T25" s="384">
        <v>0</v>
      </c>
      <c r="U25" s="384">
        <v>1.938</v>
      </c>
      <c r="V25" s="384">
        <v>0</v>
      </c>
      <c r="W25" s="384">
        <v>0</v>
      </c>
      <c r="X25" s="384">
        <v>0</v>
      </c>
      <c r="Y25" s="384">
        <v>28.786</v>
      </c>
      <c r="Z25" s="384">
        <v>0</v>
      </c>
      <c r="AA25" s="384">
        <v>0</v>
      </c>
      <c r="AB25" s="384">
        <v>0</v>
      </c>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383"/>
      <c r="BQ25" s="383"/>
      <c r="BR25" s="383"/>
      <c r="BS25" s="383"/>
      <c r="BT25" s="384"/>
      <c r="BU25" s="384"/>
      <c r="BV25" s="384"/>
      <c r="BW25" s="384"/>
      <c r="BX25" s="384"/>
      <c r="BY25" s="384"/>
      <c r="BZ25" s="384"/>
      <c r="CA25" s="384"/>
      <c r="CB25" s="384"/>
      <c r="CC25" s="384"/>
      <c r="CD25" s="384"/>
      <c r="CE25" s="384"/>
      <c r="CF25" s="384"/>
      <c r="CG25" s="384"/>
      <c r="CH25" s="384"/>
      <c r="CI25" s="384"/>
      <c r="CJ25" s="384"/>
      <c r="CK25" s="384"/>
      <c r="CL25" s="383"/>
      <c r="CM25" s="383"/>
      <c r="CN25" s="383"/>
      <c r="CO25" s="383"/>
      <c r="CP25" s="383"/>
      <c r="CQ25" s="383"/>
      <c r="CR25" s="383"/>
      <c r="CS25" s="383"/>
      <c r="CT25" s="383"/>
      <c r="CU25" s="383"/>
      <c r="CV25" s="383"/>
      <c r="CW25" s="383"/>
      <c r="CX25" s="383"/>
      <c r="CY25" s="384"/>
      <c r="CZ25" s="384"/>
      <c r="DA25" s="384"/>
      <c r="DB25" s="384"/>
      <c r="DC25" s="384"/>
      <c r="DD25" s="384"/>
      <c r="DE25" s="384"/>
      <c r="DF25" s="384"/>
      <c r="DG25" s="384"/>
      <c r="DH25" s="384"/>
      <c r="DI25" s="384"/>
      <c r="DJ25" s="384"/>
      <c r="DK25" s="383"/>
      <c r="DL25" s="383"/>
      <c r="DM25" s="383"/>
      <c r="DN25" s="383"/>
      <c r="DO25" s="383"/>
      <c r="DP25" s="383"/>
      <c r="DQ25" s="383"/>
      <c r="DR25" s="383"/>
      <c r="DS25" s="383"/>
      <c r="DT25" s="383"/>
      <c r="DU25" s="383"/>
      <c r="DV25" s="383"/>
      <c r="DW25" s="383"/>
      <c r="DX25" s="383"/>
      <c r="DY25" s="383"/>
      <c r="DZ25" s="383"/>
      <c r="EA25" s="383"/>
      <c r="EB25" s="383"/>
      <c r="EC25" s="383"/>
      <c r="ED25" s="383"/>
      <c r="EE25" s="383"/>
      <c r="EF25" s="383"/>
      <c r="EG25" s="383"/>
      <c r="EH25" s="383"/>
      <c r="EI25" s="383"/>
      <c r="EJ25" s="383"/>
      <c r="EK25" s="383"/>
      <c r="EL25" s="383"/>
      <c r="EM25" s="383"/>
      <c r="EN25" s="383"/>
      <c r="EO25" s="383"/>
      <c r="EP25" s="383"/>
      <c r="EQ25" s="383"/>
      <c r="ER25" s="383"/>
      <c r="ES25" s="383"/>
      <c r="ET25" s="383"/>
      <c r="EU25" s="383"/>
      <c r="EV25" s="383"/>
      <c r="EW25" s="383"/>
      <c r="EX25" s="383"/>
      <c r="EY25" s="383"/>
      <c r="EZ25" s="383"/>
      <c r="FA25" s="383"/>
      <c r="FB25" s="383"/>
      <c r="FC25" s="383"/>
      <c r="FD25" s="383"/>
      <c r="FE25" s="383"/>
      <c r="FF25" s="383"/>
      <c r="FG25" s="383"/>
      <c r="FH25" s="383"/>
      <c r="FI25" s="383"/>
      <c r="FJ25" s="383"/>
      <c r="FK25" s="383"/>
      <c r="FL25" s="383"/>
      <c r="FM25" s="383"/>
      <c r="FN25" s="383"/>
      <c r="FO25" s="383"/>
      <c r="FP25" s="383"/>
      <c r="FQ25" s="383"/>
      <c r="FR25" s="383"/>
      <c r="FS25" s="383"/>
      <c r="FT25" s="383"/>
      <c r="FU25" s="383"/>
      <c r="FV25" s="383"/>
      <c r="FW25" s="383"/>
      <c r="FX25" s="438"/>
    </row>
    <row r="26" s="209" customFormat="1" customHeight="1" spans="1:184">
      <c r="A26" s="209" t="s">
        <v>1008</v>
      </c>
      <c r="B26" s="315"/>
      <c r="F26" s="321"/>
      <c r="G26" s="322" t="s">
        <v>1319</v>
      </c>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Q26" s="322"/>
      <c r="BR26" s="322"/>
      <c r="BS26" s="322"/>
      <c r="BT26" s="322"/>
      <c r="BU26" s="322"/>
      <c r="BV26" s="322"/>
      <c r="BW26" s="322"/>
      <c r="BX26" s="322"/>
      <c r="BY26" s="322"/>
      <c r="BZ26" s="322"/>
      <c r="CA26" s="322"/>
      <c r="CB26" s="322"/>
      <c r="CC26" s="322"/>
      <c r="CD26" s="322"/>
      <c r="CE26" s="322"/>
      <c r="CF26" s="322"/>
      <c r="CG26" s="322"/>
      <c r="CH26" s="322"/>
      <c r="CI26" s="322"/>
      <c r="CJ26" s="322"/>
      <c r="CK26" s="322"/>
      <c r="CL26" s="322"/>
      <c r="CM26" s="322"/>
      <c r="CN26" s="322"/>
      <c r="CO26" s="322"/>
      <c r="CP26" s="322"/>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c r="EU26" s="322"/>
      <c r="EV26" s="322"/>
      <c r="EW26" s="322"/>
      <c r="EX26" s="322"/>
      <c r="EY26" s="322"/>
      <c r="EZ26" s="322"/>
      <c r="FA26" s="322"/>
      <c r="FB26" s="322"/>
      <c r="FC26" s="322"/>
      <c r="FD26" s="322"/>
      <c r="FE26" s="322"/>
      <c r="FF26" s="322"/>
      <c r="FG26" s="322"/>
      <c r="FH26" s="322"/>
      <c r="FI26" s="322"/>
      <c r="FJ26" s="322"/>
      <c r="FK26" s="322"/>
      <c r="FL26" s="322"/>
      <c r="FM26" s="322"/>
      <c r="FN26" s="322"/>
      <c r="FO26" s="322"/>
      <c r="FP26" s="322"/>
      <c r="FQ26" s="322"/>
      <c r="FR26" s="322"/>
      <c r="FS26" s="322"/>
      <c r="FT26" s="322"/>
      <c r="FU26" s="322"/>
      <c r="FV26" s="322"/>
      <c r="FW26" s="439"/>
      <c r="FX26" s="81"/>
      <c r="FY26" s="440"/>
      <c r="FZ26" s="440"/>
      <c r="GA26" s="440"/>
      <c r="GB26" s="440"/>
    </row>
    <row r="27" s="209" customFormat="1" ht="12.75" customHeight="1" spans="1:185">
      <c r="A27" s="440"/>
      <c r="B27" s="440"/>
      <c r="C27" s="440"/>
      <c r="D27" s="440"/>
      <c r="E27" s="440"/>
      <c r="F27" s="316"/>
      <c r="G27" s="316"/>
      <c r="H27" s="316"/>
      <c r="I27" s="316"/>
      <c r="J27" s="316"/>
      <c r="K27" s="316"/>
      <c r="L27" s="316"/>
      <c r="M27" s="316"/>
      <c r="N27" s="316"/>
      <c r="O27" s="316"/>
      <c r="P27" s="316"/>
      <c r="Q27" s="316"/>
      <c r="R27" s="316"/>
      <c r="S27" s="861"/>
      <c r="T27" s="861"/>
      <c r="U27" s="316"/>
      <c r="V27" s="316"/>
      <c r="W27" s="316"/>
      <c r="X27" s="316"/>
      <c r="Y27" s="316"/>
      <c r="Z27" s="316"/>
      <c r="AA27" s="316"/>
      <c r="AB27" s="316"/>
      <c r="AC27" s="316"/>
      <c r="AD27" s="316"/>
      <c r="AE27" s="316"/>
      <c r="AF27" s="316"/>
      <c r="AG27" s="316"/>
      <c r="AH27" s="316"/>
      <c r="AI27" s="316"/>
      <c r="AJ27" s="316"/>
      <c r="AK27" s="316"/>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316"/>
      <c r="BQ27" s="316"/>
      <c r="BR27" s="316"/>
      <c r="BS27" s="316"/>
      <c r="BT27" s="316"/>
      <c r="BU27" s="316"/>
      <c r="BV27" s="316"/>
      <c r="BW27" s="316"/>
      <c r="BX27" s="316"/>
      <c r="BY27" s="316"/>
      <c r="BZ27" s="316"/>
      <c r="CA27" s="316"/>
      <c r="CB27" s="316"/>
      <c r="CC27" s="316"/>
      <c r="CD27" s="316"/>
      <c r="CE27" s="316"/>
      <c r="CF27" s="316"/>
      <c r="CG27" s="316"/>
      <c r="CH27" s="316"/>
      <c r="CI27" s="316"/>
      <c r="CJ27" s="316"/>
      <c r="CK27" s="316"/>
      <c r="CL27" s="316"/>
      <c r="CM27" s="316"/>
      <c r="CN27" s="316"/>
      <c r="CO27" s="316"/>
      <c r="CP27" s="316"/>
      <c r="CQ27" s="316"/>
      <c r="CR27" s="316"/>
      <c r="CS27" s="316"/>
      <c r="CT27" s="316"/>
      <c r="CU27" s="316"/>
      <c r="CV27" s="316"/>
      <c r="CW27" s="316"/>
      <c r="CX27" s="316"/>
      <c r="CY27" s="316"/>
      <c r="CZ27" s="316"/>
      <c r="DA27" s="316"/>
      <c r="DB27" s="316"/>
      <c r="DC27" s="316"/>
      <c r="DD27" s="316"/>
      <c r="DE27" s="316"/>
      <c r="DF27" s="316"/>
      <c r="DG27" s="316"/>
      <c r="DH27" s="316"/>
      <c r="DI27" s="316"/>
      <c r="DJ27" s="316"/>
      <c r="DK27" s="316"/>
      <c r="DL27" s="316"/>
      <c r="DM27" s="316"/>
      <c r="DN27" s="316"/>
      <c r="DO27" s="316"/>
      <c r="DP27" s="316"/>
      <c r="DQ27" s="316"/>
      <c r="DR27" s="316"/>
      <c r="DS27" s="316"/>
      <c r="DT27" s="316"/>
      <c r="DU27" s="316"/>
      <c r="DV27" s="316"/>
      <c r="DW27" s="316"/>
      <c r="DX27" s="316"/>
      <c r="DY27" s="316"/>
      <c r="DZ27" s="316"/>
      <c r="EA27" s="316"/>
      <c r="EB27" s="316"/>
      <c r="EC27" s="316"/>
      <c r="ED27" s="316"/>
      <c r="EE27" s="316"/>
      <c r="EF27" s="316"/>
      <c r="EG27" s="316"/>
      <c r="EH27" s="316"/>
      <c r="EI27" s="316"/>
      <c r="EJ27" s="316"/>
      <c r="EK27" s="316"/>
      <c r="EL27" s="316"/>
      <c r="EM27" s="316"/>
      <c r="EN27" s="316"/>
      <c r="EO27" s="316"/>
      <c r="EP27" s="316"/>
      <c r="EQ27" s="316"/>
      <c r="ER27" s="316"/>
      <c r="ES27" s="316"/>
      <c r="ET27" s="316"/>
      <c r="EU27" s="316"/>
      <c r="EV27" s="316"/>
      <c r="EW27" s="316"/>
      <c r="EX27" s="316"/>
      <c r="EY27" s="316"/>
      <c r="EZ27" s="316"/>
      <c r="FA27" s="316"/>
      <c r="FB27" s="316"/>
      <c r="FC27" s="316"/>
      <c r="FD27" s="316"/>
      <c r="FE27" s="316"/>
      <c r="FF27" s="316"/>
      <c r="FG27" s="316"/>
      <c r="FH27" s="316"/>
      <c r="FI27" s="316"/>
      <c r="FJ27" s="316"/>
      <c r="FK27" s="316"/>
      <c r="FL27" s="316"/>
      <c r="FM27" s="316"/>
      <c r="FN27" s="316"/>
      <c r="FO27" s="316"/>
      <c r="FP27" s="316"/>
      <c r="FQ27" s="316"/>
      <c r="FR27" s="316"/>
      <c r="FS27" s="316"/>
      <c r="FT27" s="316"/>
      <c r="FU27" s="316"/>
      <c r="FV27" s="316"/>
      <c r="FW27" s="316"/>
      <c r="FX27" s="440"/>
      <c r="FY27" s="440"/>
      <c r="FZ27" s="440"/>
      <c r="GA27" s="440"/>
      <c r="GB27" s="440"/>
      <c r="GC27" s="209">
        <v>12</v>
      </c>
    </row>
    <row r="28" s="209" customFormat="1" ht="12.75" customHeight="1" spans="1:185">
      <c r="A28" s="440"/>
      <c r="B28" s="440"/>
      <c r="C28" s="440"/>
      <c r="D28" s="440"/>
      <c r="E28" s="440"/>
      <c r="FX28" s="440"/>
      <c r="FY28" s="440"/>
      <c r="FZ28" s="440"/>
      <c r="GA28" s="440"/>
      <c r="GB28" s="440"/>
      <c r="GC28" s="209">
        <v>12</v>
      </c>
    </row>
    <row r="29" s="836" customFormat="1" ht="12.75" customHeight="1" spans="1:185">
      <c r="A29" s="440"/>
      <c r="B29" s="440"/>
      <c r="C29" s="440"/>
      <c r="D29" s="440"/>
      <c r="E29" s="440"/>
      <c r="O29" s="641"/>
      <c r="P29" s="641"/>
      <c r="Q29" s="641"/>
      <c r="R29" s="641"/>
      <c r="S29" s="641"/>
      <c r="T29" s="641"/>
      <c r="U29" s="641"/>
      <c r="V29" s="641"/>
      <c r="W29" s="641"/>
      <c r="X29" s="641"/>
      <c r="Y29" s="641"/>
      <c r="Z29" s="641"/>
      <c r="AA29" s="641"/>
      <c r="AB29" s="641"/>
      <c r="AC29" s="641"/>
      <c r="AD29" s="641"/>
      <c r="AE29" s="641"/>
      <c r="AF29" s="641"/>
      <c r="AG29" s="641"/>
      <c r="AH29" s="641"/>
      <c r="AI29" s="641"/>
      <c r="AJ29" s="641"/>
      <c r="AK29" s="641"/>
      <c r="AL29" s="641"/>
      <c r="AM29" s="641"/>
      <c r="AN29" s="641"/>
      <c r="AO29" s="641"/>
      <c r="AP29" s="641"/>
      <c r="AQ29" s="641"/>
      <c r="AR29" s="641"/>
      <c r="AS29" s="641"/>
      <c r="AT29" s="641"/>
      <c r="AU29" s="641"/>
      <c r="AV29" s="641"/>
      <c r="AW29" s="641"/>
      <c r="AX29" s="641"/>
      <c r="AY29" s="641"/>
      <c r="AZ29" s="641"/>
      <c r="BA29" s="641"/>
      <c r="BB29" s="641"/>
      <c r="BC29" s="641"/>
      <c r="BD29" s="641"/>
      <c r="BE29" s="641"/>
      <c r="BF29" s="641"/>
      <c r="BG29" s="641"/>
      <c r="BH29" s="641"/>
      <c r="BI29" s="641"/>
      <c r="BJ29" s="641"/>
      <c r="BK29" s="641"/>
      <c r="BL29" s="641"/>
      <c r="BM29" s="641"/>
      <c r="BN29" s="641"/>
      <c r="BO29" s="641"/>
      <c r="BP29" s="641"/>
      <c r="BQ29" s="641"/>
      <c r="BR29" s="641"/>
      <c r="BS29" s="641"/>
      <c r="BT29" s="867"/>
      <c r="BU29" s="867"/>
      <c r="BV29" s="867"/>
      <c r="BW29" s="867"/>
      <c r="BX29" s="867"/>
      <c r="BY29" s="867"/>
      <c r="BZ29" s="867"/>
      <c r="CA29" s="867"/>
      <c r="CB29" s="867"/>
      <c r="CC29" s="867"/>
      <c r="CD29" s="867"/>
      <c r="CE29" s="867"/>
      <c r="CF29" s="867"/>
      <c r="CG29" s="867"/>
      <c r="CH29" s="867"/>
      <c r="CI29" s="867"/>
      <c r="CJ29" s="867"/>
      <c r="CK29" s="867"/>
      <c r="CL29" s="867"/>
      <c r="CM29" s="867"/>
      <c r="CN29" s="867"/>
      <c r="CO29" s="867"/>
      <c r="CP29" s="867"/>
      <c r="CQ29" s="867"/>
      <c r="CR29" s="867"/>
      <c r="CS29" s="867"/>
      <c r="CT29" s="867"/>
      <c r="CU29" s="867"/>
      <c r="CV29" s="867"/>
      <c r="CW29" s="867"/>
      <c r="CX29" s="867"/>
      <c r="CY29" s="867"/>
      <c r="CZ29" s="867"/>
      <c r="DA29" s="867"/>
      <c r="DB29" s="867"/>
      <c r="DC29" s="867"/>
      <c r="DD29" s="867"/>
      <c r="DE29" s="867"/>
      <c r="DF29" s="867"/>
      <c r="DG29" s="867"/>
      <c r="DH29" s="867"/>
      <c r="DI29" s="867"/>
      <c r="DJ29" s="867"/>
      <c r="DK29" s="867"/>
      <c r="DL29" s="867"/>
      <c r="DM29" s="867"/>
      <c r="DN29" s="867"/>
      <c r="DO29" s="867"/>
      <c r="DP29" s="867"/>
      <c r="DQ29" s="867"/>
      <c r="DR29" s="867"/>
      <c r="DS29" s="867"/>
      <c r="DT29" s="867"/>
      <c r="DU29" s="867"/>
      <c r="DV29" s="867"/>
      <c r="DW29" s="867"/>
      <c r="DX29" s="867"/>
      <c r="FX29" s="440"/>
      <c r="FY29" s="440"/>
      <c r="FZ29" s="440"/>
      <c r="GA29" s="440"/>
      <c r="GB29" s="440"/>
      <c r="GC29" s="836">
        <v>12</v>
      </c>
    </row>
    <row r="30" ht="12.75" customHeight="1" spans="19:185">
      <c r="S30" s="440"/>
      <c r="T30" s="440"/>
      <c r="U30" s="440"/>
      <c r="V30" s="440"/>
      <c r="W30" s="440"/>
      <c r="X30" s="440"/>
      <c r="Y30" s="440"/>
      <c r="Z30" s="440"/>
      <c r="AA30" s="440"/>
      <c r="AB30" s="440"/>
      <c r="FX30" s="440"/>
      <c r="FY30" s="440"/>
      <c r="FZ30" s="440"/>
      <c r="GA30" s="440"/>
      <c r="GB30" s="440"/>
      <c r="GC30" s="836">
        <v>12</v>
      </c>
    </row>
    <row r="31" hidden="1" customHeight="1" spans="1:185">
      <c r="A31" s="836" t="s">
        <v>83</v>
      </c>
      <c r="B31" s="837">
        <v>0</v>
      </c>
      <c r="C31" s="836">
        <v>0</v>
      </c>
      <c r="D31" s="836">
        <v>0</v>
      </c>
      <c r="E31" s="836">
        <v>3</v>
      </c>
      <c r="F31" s="836">
        <v>6</v>
      </c>
      <c r="G31" s="836">
        <v>18</v>
      </c>
      <c r="H31" s="836">
        <v>27</v>
      </c>
      <c r="I31" s="836">
        <v>18</v>
      </c>
      <c r="J31" s="836">
        <v>0</v>
      </c>
      <c r="K31" s="836">
        <v>0</v>
      </c>
      <c r="L31" s="836">
        <v>0</v>
      </c>
      <c r="M31" s="836">
        <v>0</v>
      </c>
      <c r="N31" s="836">
        <v>0</v>
      </c>
      <c r="O31" s="836">
        <v>0</v>
      </c>
      <c r="P31" s="836">
        <v>0</v>
      </c>
      <c r="Q31" s="836">
        <v>0</v>
      </c>
      <c r="R31" s="836">
        <v>0</v>
      </c>
      <c r="S31" s="836">
        <v>0</v>
      </c>
      <c r="T31" s="836">
        <v>0</v>
      </c>
      <c r="U31" s="836">
        <v>0</v>
      </c>
      <c r="V31" s="836">
        <v>0</v>
      </c>
      <c r="W31" s="836">
        <v>0</v>
      </c>
      <c r="X31" s="836">
        <v>0</v>
      </c>
      <c r="Y31" s="836">
        <v>0</v>
      </c>
      <c r="Z31" s="836">
        <v>0</v>
      </c>
      <c r="AA31" s="836">
        <v>0</v>
      </c>
      <c r="AB31" s="836">
        <v>0</v>
      </c>
      <c r="AC31" s="836">
        <v>0</v>
      </c>
      <c r="AD31" s="836">
        <v>0</v>
      </c>
      <c r="AE31" s="836">
        <v>0</v>
      </c>
      <c r="AF31" s="836">
        <v>0</v>
      </c>
      <c r="AG31" s="836">
        <v>0</v>
      </c>
      <c r="AH31" s="836">
        <v>0</v>
      </c>
      <c r="AI31" s="836">
        <v>0</v>
      </c>
      <c r="AJ31" s="836">
        <v>0</v>
      </c>
      <c r="AK31" s="836">
        <v>0</v>
      </c>
      <c r="AL31" s="836">
        <v>0</v>
      </c>
      <c r="AM31" s="836">
        <v>0</v>
      </c>
      <c r="AN31" s="836">
        <v>0</v>
      </c>
      <c r="AO31" s="836">
        <v>0</v>
      </c>
      <c r="AP31" s="836">
        <v>0</v>
      </c>
      <c r="AQ31" s="836">
        <v>0</v>
      </c>
      <c r="AR31" s="836">
        <v>0</v>
      </c>
      <c r="AS31" s="836">
        <v>0</v>
      </c>
      <c r="AT31" s="836">
        <v>0</v>
      </c>
      <c r="AU31" s="836">
        <v>0</v>
      </c>
      <c r="AV31" s="836">
        <v>0</v>
      </c>
      <c r="AW31" s="836">
        <v>0</v>
      </c>
      <c r="AX31" s="836">
        <v>0</v>
      </c>
      <c r="AY31" s="836">
        <v>0</v>
      </c>
      <c r="AZ31" s="836">
        <v>0</v>
      </c>
      <c r="BA31" s="836">
        <v>0</v>
      </c>
      <c r="BB31" s="836">
        <v>0</v>
      </c>
      <c r="BC31" s="836">
        <v>0</v>
      </c>
      <c r="BD31" s="836">
        <v>0</v>
      </c>
      <c r="BE31" s="836">
        <v>0</v>
      </c>
      <c r="BF31" s="836">
        <v>0</v>
      </c>
      <c r="BG31" s="836">
        <v>0</v>
      </c>
      <c r="BH31" s="836">
        <v>0</v>
      </c>
      <c r="BI31" s="836">
        <v>0</v>
      </c>
      <c r="BJ31" s="836">
        <v>0</v>
      </c>
      <c r="BK31" s="836">
        <v>0</v>
      </c>
      <c r="BL31" s="836">
        <v>0</v>
      </c>
      <c r="BM31" s="836">
        <v>0</v>
      </c>
      <c r="BN31" s="836">
        <v>0</v>
      </c>
      <c r="BO31" s="836">
        <v>0</v>
      </c>
      <c r="BP31" s="836">
        <v>0</v>
      </c>
      <c r="BQ31" s="836">
        <v>0</v>
      </c>
      <c r="BR31" s="836">
        <v>0</v>
      </c>
      <c r="BS31" s="836">
        <v>0</v>
      </c>
      <c r="BT31" s="836">
        <v>0</v>
      </c>
      <c r="BU31" s="836">
        <v>0</v>
      </c>
      <c r="BV31" s="836">
        <v>0</v>
      </c>
      <c r="BW31" s="836">
        <v>0</v>
      </c>
      <c r="BX31" s="836">
        <v>0</v>
      </c>
      <c r="BY31" s="836">
        <v>0</v>
      </c>
      <c r="BZ31" s="836">
        <v>0</v>
      </c>
      <c r="CA31" s="836">
        <v>0</v>
      </c>
      <c r="CB31" s="836">
        <v>0</v>
      </c>
      <c r="CC31" s="836">
        <v>0</v>
      </c>
      <c r="CD31" s="836">
        <v>0</v>
      </c>
      <c r="CE31" s="836">
        <v>0</v>
      </c>
      <c r="CF31" s="836">
        <v>0</v>
      </c>
      <c r="CG31" s="836">
        <v>0</v>
      </c>
      <c r="CH31" s="836">
        <v>0</v>
      </c>
      <c r="CI31" s="836">
        <v>0</v>
      </c>
      <c r="CJ31" s="836">
        <v>0</v>
      </c>
      <c r="CK31" s="836">
        <v>0</v>
      </c>
      <c r="CL31" s="836">
        <v>0</v>
      </c>
      <c r="CM31" s="836">
        <v>0</v>
      </c>
      <c r="CN31" s="836">
        <v>0</v>
      </c>
      <c r="CO31" s="836">
        <v>0</v>
      </c>
      <c r="CP31" s="836">
        <v>0</v>
      </c>
      <c r="CQ31" s="836">
        <v>0</v>
      </c>
      <c r="CR31" s="836">
        <v>0</v>
      </c>
      <c r="CS31" s="836">
        <v>0</v>
      </c>
      <c r="CT31" s="836">
        <v>0</v>
      </c>
      <c r="CU31" s="836">
        <v>0</v>
      </c>
      <c r="CV31" s="836">
        <v>0</v>
      </c>
      <c r="CW31" s="836">
        <v>0</v>
      </c>
      <c r="CX31" s="836">
        <v>0</v>
      </c>
      <c r="CY31" s="836">
        <v>0</v>
      </c>
      <c r="CZ31" s="836">
        <v>0</v>
      </c>
      <c r="DA31" s="836">
        <v>0</v>
      </c>
      <c r="DB31" s="836">
        <v>0</v>
      </c>
      <c r="DC31" s="836">
        <v>0</v>
      </c>
      <c r="DD31" s="836">
        <v>0</v>
      </c>
      <c r="DE31" s="836">
        <v>0</v>
      </c>
      <c r="DF31" s="836">
        <v>0</v>
      </c>
      <c r="DG31" s="836">
        <v>0</v>
      </c>
      <c r="DH31" s="836">
        <v>0</v>
      </c>
      <c r="DI31" s="836">
        <v>0</v>
      </c>
      <c r="DJ31" s="836">
        <v>0</v>
      </c>
      <c r="DK31" s="836">
        <v>0</v>
      </c>
      <c r="DL31" s="836">
        <v>0</v>
      </c>
      <c r="DM31" s="836">
        <v>0</v>
      </c>
      <c r="DN31" s="836">
        <v>0</v>
      </c>
      <c r="DO31" s="836">
        <v>0</v>
      </c>
      <c r="DP31" s="836">
        <v>0</v>
      </c>
      <c r="DQ31" s="836">
        <v>0</v>
      </c>
      <c r="DR31" s="836">
        <v>0</v>
      </c>
      <c r="DS31" s="836">
        <v>0</v>
      </c>
      <c r="DT31" s="836">
        <v>0</v>
      </c>
      <c r="DU31" s="836">
        <v>0</v>
      </c>
      <c r="DV31" s="836">
        <v>0</v>
      </c>
      <c r="DW31" s="836">
        <v>0</v>
      </c>
      <c r="DX31" s="836">
        <v>0</v>
      </c>
      <c r="DY31" s="836">
        <v>0</v>
      </c>
      <c r="DZ31" s="836">
        <v>0</v>
      </c>
      <c r="EA31" s="836">
        <v>0</v>
      </c>
      <c r="EB31" s="836">
        <v>0</v>
      </c>
      <c r="EC31" s="836">
        <v>0</v>
      </c>
      <c r="ED31" s="836">
        <v>0</v>
      </c>
      <c r="EE31" s="836">
        <v>0</v>
      </c>
      <c r="EF31" s="836">
        <v>0</v>
      </c>
      <c r="EG31" s="836">
        <v>0</v>
      </c>
      <c r="EH31" s="836">
        <v>0</v>
      </c>
      <c r="EI31" s="836">
        <v>0</v>
      </c>
      <c r="EJ31" s="836">
        <v>0</v>
      </c>
      <c r="EK31" s="836">
        <v>0</v>
      </c>
      <c r="EL31" s="836">
        <v>0</v>
      </c>
      <c r="EM31" s="836">
        <v>0</v>
      </c>
      <c r="EN31" s="836">
        <v>0</v>
      </c>
      <c r="EO31" s="836">
        <v>0</v>
      </c>
      <c r="EP31" s="836">
        <v>0</v>
      </c>
      <c r="EQ31" s="836">
        <v>0</v>
      </c>
      <c r="ER31" s="836">
        <v>0</v>
      </c>
      <c r="ES31" s="836">
        <v>0</v>
      </c>
      <c r="ET31" s="836">
        <v>0</v>
      </c>
      <c r="EU31" s="836">
        <v>0</v>
      </c>
      <c r="EV31" s="836">
        <v>0</v>
      </c>
      <c r="EW31" s="836">
        <v>0</v>
      </c>
      <c r="EX31" s="836">
        <v>0</v>
      </c>
      <c r="EY31" s="836">
        <v>0</v>
      </c>
      <c r="EZ31" s="836">
        <v>0</v>
      </c>
      <c r="FA31" s="836">
        <v>0</v>
      </c>
      <c r="FB31" s="836">
        <v>0</v>
      </c>
      <c r="FC31" s="836">
        <v>0</v>
      </c>
      <c r="FD31" s="836">
        <v>0</v>
      </c>
      <c r="FE31" s="836">
        <v>0</v>
      </c>
      <c r="FF31" s="836">
        <v>0</v>
      </c>
      <c r="FG31" s="836">
        <v>0</v>
      </c>
      <c r="FH31" s="836">
        <v>0</v>
      </c>
      <c r="FI31" s="836">
        <v>0</v>
      </c>
      <c r="FJ31" s="836">
        <v>0</v>
      </c>
      <c r="FK31" s="836">
        <v>0</v>
      </c>
      <c r="FL31" s="836">
        <v>0</v>
      </c>
      <c r="FM31" s="836">
        <v>0</v>
      </c>
      <c r="FN31" s="836">
        <v>0</v>
      </c>
      <c r="FO31" s="836">
        <v>0</v>
      </c>
      <c r="FP31" s="836">
        <v>0</v>
      </c>
      <c r="FQ31" s="836">
        <v>0</v>
      </c>
      <c r="FR31" s="836">
        <v>0</v>
      </c>
      <c r="FS31" s="836">
        <v>0</v>
      </c>
      <c r="FT31" s="836">
        <v>0</v>
      </c>
      <c r="FU31" s="836">
        <v>0</v>
      </c>
      <c r="FV31" s="836">
        <v>0</v>
      </c>
      <c r="FW31" s="836">
        <v>0</v>
      </c>
      <c r="FX31" s="836">
        <v>8</v>
      </c>
      <c r="FY31" s="836">
        <v>8</v>
      </c>
      <c r="FZ31" s="836">
        <v>8</v>
      </c>
      <c r="GA31" s="836">
        <v>8</v>
      </c>
      <c r="GB31" s="836">
        <v>8</v>
      </c>
      <c r="GC31" s="836">
        <v>12</v>
      </c>
    </row>
  </sheetData>
  <sheetProtection formatColumns="0" formatRows="0" insertRows="0" deleteColumns="0" deleteRows="0" sort="0" autoFilter="0"/>
  <mergeCells count="198">
    <mergeCell ref="F5:BS5"/>
    <mergeCell ref="F6:BS6"/>
    <mergeCell ref="O8:BS8"/>
    <mergeCell ref="BT8:CX8"/>
    <mergeCell ref="CY8:DX8"/>
    <mergeCell ref="DY8:FV8"/>
    <mergeCell ref="F10:FV10"/>
    <mergeCell ref="O11:AB11"/>
    <mergeCell ref="BT11:CK11"/>
    <mergeCell ref="CY11:DJ11"/>
    <mergeCell ref="O12:R12"/>
    <mergeCell ref="S12:AB12"/>
    <mergeCell ref="BT12:BW12"/>
    <mergeCell ref="BX12:CA12"/>
    <mergeCell ref="CB12:CC12"/>
    <mergeCell ref="CD12:CK12"/>
    <mergeCell ref="CY12:DD12"/>
    <mergeCell ref="DE12:DF12"/>
    <mergeCell ref="DG12:DJ12"/>
    <mergeCell ref="O13:R13"/>
    <mergeCell ref="U13:X13"/>
    <mergeCell ref="Y13:AB13"/>
    <mergeCell ref="CH13:CK13"/>
    <mergeCell ref="DG13:DJ13"/>
    <mergeCell ref="O16:P16"/>
    <mergeCell ref="Q16:R16"/>
    <mergeCell ref="S16:T16"/>
    <mergeCell ref="U16:V16"/>
    <mergeCell ref="W16:X16"/>
    <mergeCell ref="Y16:Z16"/>
    <mergeCell ref="AA16:AB16"/>
    <mergeCell ref="BT16:BU16"/>
    <mergeCell ref="BV16:BW16"/>
    <mergeCell ref="BX16:BY16"/>
    <mergeCell ref="BZ16:CA16"/>
    <mergeCell ref="CB16:CC16"/>
    <mergeCell ref="CD16:CE16"/>
    <mergeCell ref="CF16:CG16"/>
    <mergeCell ref="CH16:CI16"/>
    <mergeCell ref="CJ16:CK16"/>
    <mergeCell ref="CY16:CZ16"/>
    <mergeCell ref="DA16:DB16"/>
    <mergeCell ref="DC16:DD16"/>
    <mergeCell ref="DE16:DF16"/>
    <mergeCell ref="DG16:DH16"/>
    <mergeCell ref="DI16:DJ16"/>
    <mergeCell ref="F11:F17"/>
    <mergeCell ref="G11:G17"/>
    <mergeCell ref="H11:H17"/>
    <mergeCell ref="I11:I17"/>
    <mergeCell ref="J11:J17"/>
    <mergeCell ref="K11:K17"/>
    <mergeCell ref="L11:L17"/>
    <mergeCell ref="M11:M17"/>
    <mergeCell ref="N11:N17"/>
    <mergeCell ref="AC11:AC17"/>
    <mergeCell ref="AD11:AD17"/>
    <mergeCell ref="AE11:AE17"/>
    <mergeCell ref="AF11:AF17"/>
    <mergeCell ref="AG11:AG17"/>
    <mergeCell ref="AH11:AH17"/>
    <mergeCell ref="AI11:AI17"/>
    <mergeCell ref="AJ11:AJ17"/>
    <mergeCell ref="AK11:AK17"/>
    <mergeCell ref="AL11:AL17"/>
    <mergeCell ref="AM11:AM17"/>
    <mergeCell ref="AN11:AN17"/>
    <mergeCell ref="AO11:AO17"/>
    <mergeCell ref="AP11:AP17"/>
    <mergeCell ref="AQ11:AQ17"/>
    <mergeCell ref="AR11:AR17"/>
    <mergeCell ref="AS11:AS17"/>
    <mergeCell ref="AT11:AT17"/>
    <mergeCell ref="AU11:AU17"/>
    <mergeCell ref="AV11:AV17"/>
    <mergeCell ref="AW11:AW17"/>
    <mergeCell ref="AX11:AX17"/>
    <mergeCell ref="AY11:AY17"/>
    <mergeCell ref="AZ11:AZ17"/>
    <mergeCell ref="BA11:BA17"/>
    <mergeCell ref="BB11:BB17"/>
    <mergeCell ref="BC11:BC17"/>
    <mergeCell ref="BD11:BD17"/>
    <mergeCell ref="BE11:BE17"/>
    <mergeCell ref="BF11:BF17"/>
    <mergeCell ref="BG11:BG17"/>
    <mergeCell ref="BH11:BH17"/>
    <mergeCell ref="BI11:BI17"/>
    <mergeCell ref="BJ11:BJ17"/>
    <mergeCell ref="BK11:BK17"/>
    <mergeCell ref="BL11:BL17"/>
    <mergeCell ref="BM11:BM17"/>
    <mergeCell ref="BN11:BN17"/>
    <mergeCell ref="BO11:BO17"/>
    <mergeCell ref="BP11:BP17"/>
    <mergeCell ref="BQ11:BQ17"/>
    <mergeCell ref="BR11:BR17"/>
    <mergeCell ref="BS11:BS17"/>
    <mergeCell ref="CL11:CL17"/>
    <mergeCell ref="CM11:CM17"/>
    <mergeCell ref="CN11:CN17"/>
    <mergeCell ref="CO11:CO17"/>
    <mergeCell ref="CP11:CP17"/>
    <mergeCell ref="CQ11:CQ17"/>
    <mergeCell ref="CR11:CR17"/>
    <mergeCell ref="CS11:CS17"/>
    <mergeCell ref="CT11:CT17"/>
    <mergeCell ref="CU11:CU17"/>
    <mergeCell ref="CV11:CV17"/>
    <mergeCell ref="CW11:CW17"/>
    <mergeCell ref="CX11:CX17"/>
    <mergeCell ref="DK11:DK17"/>
    <mergeCell ref="DL11:DL17"/>
    <mergeCell ref="DM11:DM17"/>
    <mergeCell ref="DN11:DN17"/>
    <mergeCell ref="DO11:DO17"/>
    <mergeCell ref="DP11:DP17"/>
    <mergeCell ref="DQ11:DQ17"/>
    <mergeCell ref="DR11:DR17"/>
    <mergeCell ref="DS11:DS17"/>
    <mergeCell ref="DT11:DT17"/>
    <mergeCell ref="DU11:DU17"/>
    <mergeCell ref="DV11:DV17"/>
    <mergeCell ref="DW11:DW17"/>
    <mergeCell ref="DX11:DX17"/>
    <mergeCell ref="DY11:DY17"/>
    <mergeCell ref="DZ11:DZ17"/>
    <mergeCell ref="EA11:EA17"/>
    <mergeCell ref="EB11:EB17"/>
    <mergeCell ref="EC11:EC17"/>
    <mergeCell ref="ED11:ED17"/>
    <mergeCell ref="EE11:EE17"/>
    <mergeCell ref="EF11:EF17"/>
    <mergeCell ref="EG11:EG17"/>
    <mergeCell ref="EH11:EH17"/>
    <mergeCell ref="EI11:EI17"/>
    <mergeCell ref="EJ11:EJ17"/>
    <mergeCell ref="EK11:EK17"/>
    <mergeCell ref="EL11:EL17"/>
    <mergeCell ref="EM11:EM17"/>
    <mergeCell ref="EN11:EN17"/>
    <mergeCell ref="EO11:EO17"/>
    <mergeCell ref="EP11:EP17"/>
    <mergeCell ref="EQ11:EQ17"/>
    <mergeCell ref="ER11:ER17"/>
    <mergeCell ref="ES11:ES17"/>
    <mergeCell ref="ET11:ET17"/>
    <mergeCell ref="EU11:EU17"/>
    <mergeCell ref="EV11:EV17"/>
    <mergeCell ref="EW11:EW17"/>
    <mergeCell ref="EX11:EX17"/>
    <mergeCell ref="EY11:EY17"/>
    <mergeCell ref="EZ11:EZ17"/>
    <mergeCell ref="FA11:FA17"/>
    <mergeCell ref="FB11:FB17"/>
    <mergeCell ref="FC11:FC17"/>
    <mergeCell ref="FD11:FD17"/>
    <mergeCell ref="FE11:FE17"/>
    <mergeCell ref="FF11:FF17"/>
    <mergeCell ref="FG11:FG17"/>
    <mergeCell ref="FH11:FH17"/>
    <mergeCell ref="FI11:FI17"/>
    <mergeCell ref="FJ11:FJ17"/>
    <mergeCell ref="FK11:FK17"/>
    <mergeCell ref="FL11:FL17"/>
    <mergeCell ref="FM11:FM17"/>
    <mergeCell ref="FN11:FN17"/>
    <mergeCell ref="FO11:FO17"/>
    <mergeCell ref="FP11:FP17"/>
    <mergeCell ref="FQ11:FQ17"/>
    <mergeCell ref="FR11:FR17"/>
    <mergeCell ref="FS11:FS17"/>
    <mergeCell ref="FT11:FT17"/>
    <mergeCell ref="FU11:FU17"/>
    <mergeCell ref="FV11:FV17"/>
    <mergeCell ref="FW8:FW17"/>
    <mergeCell ref="O14:P15"/>
    <mergeCell ref="Q14:R15"/>
    <mergeCell ref="U14:V15"/>
    <mergeCell ref="W14:X15"/>
    <mergeCell ref="Y14:Z15"/>
    <mergeCell ref="AA14:AB15"/>
    <mergeCell ref="DG14:DH15"/>
    <mergeCell ref="DI14:DJ15"/>
    <mergeCell ref="BT13:BU15"/>
    <mergeCell ref="BV13:BW15"/>
    <mergeCell ref="BX13:BY15"/>
    <mergeCell ref="BZ13:CA15"/>
    <mergeCell ref="CB13:CC15"/>
    <mergeCell ref="CD13:CE15"/>
    <mergeCell ref="CF13:CG15"/>
    <mergeCell ref="S13:T15"/>
    <mergeCell ref="CY13:CZ15"/>
    <mergeCell ref="DA13:DB15"/>
    <mergeCell ref="DC13:DD15"/>
    <mergeCell ref="DE13:DF15"/>
    <mergeCell ref="CH14:CI15"/>
    <mergeCell ref="CJ14:CK15"/>
  </mergeCells>
  <dataValidations count="4">
    <dataValidation allowBlank="1" showInputMessage="1" showErrorMessage="1" sqref="U16:Z16 AA14:AB16"/>
    <dataValidation type="list" allowBlank="1" showInputMessage="1" showErrorMessage="1" errorTitle="Ошибка" error="Выберите значение из списка" prompt="Выберите значение из списка" sqref="H22 H25">
      <formula1>QRE_METHOD_LIST</formula1>
    </dataValidation>
    <dataValidation type="textLength" operator="lessThanOrEqual" allowBlank="1" showInputMessage="1" showErrorMessage="1" errorTitle="Ошибка" error="Допускается ввод не более 900 символов!" sqref="I22 I25">
      <formula1>900</formula1>
    </dataValidation>
    <dataValidation type="decimal" operator="between" allowBlank="1" showErrorMessage="1" errorTitle="Ошибка" error="Допускается ввод только действительных чисел!" sqref="O22 P22 Q22 R22 S22 T22 U22 V22 W22 X22 Y22 Z22 AA22 AB22 BT22 BU22 BV22 BW22 BX22 BY22 BZ22 CA22 CB22 CC22 CD22 CE22 CF22 CG22 CH22 CI22 CJ22 CK22 CY22 CZ22 DA22 DB22 DC22 DD22 DE22 DF22 DG22 DH22 DI22 DJ22 O25 P25 Q25 R25 S25 T25 U25 V25 W25 X25 Y25 Z25 AA25 AB25 BT25 BU25 BV25 BW25 BX25 BY25 BZ25 CA25 CB25 CC25 CD25 CE25 CF25 CG25 CH25 CI25 CJ25 CK25 CY25 CZ25 DA25 DB25 DC25 DD25 DE25 DF25 DG25 DH25 DI25 DJ25">
      <formula1>-9.99999999999999E+23</formula1>
      <formula2>9.99999999999999E+23</formula2>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1"/>
  </sheetPr>
  <dimension ref="A1:S23"/>
  <sheetViews>
    <sheetView showGridLines="0" zoomScale="90" zoomScaleNormal="90" workbookViewId="0">
      <pane xSplit="7" ySplit="14" topLeftCell="H15" activePane="bottomRight" state="frozen"/>
      <selection/>
      <selection pane="topRight"/>
      <selection pane="bottomLeft"/>
      <selection pane="bottomRight" activeCell="A1" sqref="A1"/>
    </sheetView>
  </sheetViews>
  <sheetFormatPr defaultColWidth="10.5714285714286" defaultRowHeight="15" customHeight="1"/>
  <cols>
    <col min="1" max="1" width="9.14285714285714" style="575" hidden="1" customWidth="1"/>
    <col min="2" max="2" width="9.14285714285714" style="43" hidden="1" customWidth="1"/>
    <col min="3" max="3" width="4" style="235" customWidth="1"/>
    <col min="4" max="4" width="6" style="43" customWidth="1"/>
    <col min="5" max="5" width="36" style="43" customWidth="1"/>
    <col min="6" max="6" width="9" style="43" customWidth="1"/>
    <col min="7" max="7" width="42.4190476190476" style="43" hidden="1" customWidth="1"/>
    <col min="8" max="8" width="40.7142857142857" style="43" customWidth="1"/>
    <col min="9" max="9" width="93" style="38" customWidth="1"/>
    <col min="10" max="17" width="10" style="43" customWidth="1"/>
    <col min="18" max="18" width="10" style="754" customWidth="1"/>
    <col min="19" max="19" width="10.5714285714286" style="43" hidden="1"/>
  </cols>
  <sheetData>
    <row r="1" s="38" customFormat="1" hidden="1" customHeight="1" spans="3:19">
      <c r="C1" s="48"/>
      <c r="H1" s="38">
        <v>4</v>
      </c>
      <c r="R1" s="288"/>
      <c r="S1" s="38" t="s">
        <v>14</v>
      </c>
    </row>
    <row r="2" ht="22.5" hidden="1" customHeight="1" spans="3:19">
      <c r="C2" s="586" t="s">
        <v>683</v>
      </c>
      <c r="D2" s="232"/>
      <c r="E2" s="213"/>
      <c r="F2" s="64" t="str">
        <f>IF(TEMPLATE_SPHERE="HEAT","Гкал/час","тыс. куб. м/сутки")</f>
        <v>Гкал/час</v>
      </c>
      <c r="G2" s="766"/>
      <c r="H2" s="766"/>
      <c r="I2" s="83"/>
      <c r="S2" s="43">
        <v>0</v>
      </c>
    </row>
    <row r="3" s="38" customFormat="1" hidden="1" customHeight="1" spans="3:19">
      <c r="C3" s="48"/>
      <c r="R3" s="288"/>
      <c r="S3" s="38">
        <v>0</v>
      </c>
    </row>
    <row r="4" ht="15.75" customHeight="1" spans="19:19">
      <c r="S4" s="43">
        <v>15</v>
      </c>
    </row>
    <row r="5" ht="39.75" customHeight="1" spans="4:19">
      <c r="D5" s="75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755"/>
      <c r="F5" s="755"/>
      <c r="G5" s="755"/>
      <c r="H5" s="755"/>
      <c r="S5" s="43">
        <v>38</v>
      </c>
    </row>
    <row r="6" ht="15.75" customHeight="1" spans="4:19">
      <c r="D6" s="660" t="str">
        <f>IF(org=0,"Не определено",org)</f>
        <v>АО "Теплокоммунэнерго"</v>
      </c>
      <c r="E6" s="660"/>
      <c r="F6" s="660"/>
      <c r="G6" s="660"/>
      <c r="H6" s="660"/>
      <c r="S6" s="43">
        <v>15</v>
      </c>
    </row>
    <row r="7" s="43" customFormat="1" ht="15.75" customHeight="1" spans="1:19">
      <c r="A7" s="575"/>
      <c r="C7" s="235"/>
      <c r="D7" s="42"/>
      <c r="E7" s="42"/>
      <c r="F7" s="42"/>
      <c r="G7" s="42"/>
      <c r="H7" s="577"/>
      <c r="I7" s="38"/>
      <c r="R7" s="754"/>
      <c r="S7" s="43">
        <v>15</v>
      </c>
    </row>
    <row r="8" ht="1.05" customHeight="1" spans="8:19">
      <c r="H8" s="38" t="s">
        <v>115</v>
      </c>
      <c r="S8" s="43">
        <v>1</v>
      </c>
    </row>
    <row r="9" ht="15.75" customHeight="1" spans="4:19">
      <c r="D9" s="756"/>
      <c r="E9" s="757" t="s">
        <v>103</v>
      </c>
      <c r="F9" s="758"/>
      <c r="G9" s="759" t="str">
        <f>IF(G8="","",INDEX(DIFFERENTIATION_UNMERGE_VD,MATCH(G8,DIFFERENTIATION_ID_DIFF,0)))</f>
        <v/>
      </c>
      <c r="H9" s="759">
        <f>IF(H8="","",INDEX(DIFFERENTIATION_UNMERGE_VD,MATCH(H8,DIFFERENTIATION_ID_DIFF,0)))</f>
        <v>0</v>
      </c>
      <c r="I9" s="64" t="s">
        <v>297</v>
      </c>
      <c r="S9" s="43">
        <v>15</v>
      </c>
    </row>
    <row r="10" s="43" customFormat="1" ht="15.75" customHeight="1" spans="1:19">
      <c r="A10" s="575"/>
      <c r="C10" s="235"/>
      <c r="D10" s="756"/>
      <c r="E10" s="757" t="s">
        <v>558</v>
      </c>
      <c r="F10" s="758"/>
      <c r="G10" s="759" t="str">
        <f>IF(G8="","",INDEX(DIFFERENTIATION_UNMERGE_AREA,MATCH(G8,DIFFERENTIATION_ID_DIFF,0)))</f>
        <v/>
      </c>
      <c r="H10" s="759" t="str">
        <f>IF(H8="","",INDEX(DIFFERENTIATION_UNMERGE_AREA,MATCH(H8,DIFFERENTIATION_ID_DIFF,0)))</f>
        <v/>
      </c>
      <c r="I10" s="64"/>
      <c r="R10" s="754"/>
      <c r="S10" s="43">
        <v>15</v>
      </c>
    </row>
    <row r="11" s="43" customFormat="1" ht="15.75" customHeight="1" spans="1:19">
      <c r="A11" s="575"/>
      <c r="C11" s="235"/>
      <c r="D11" s="756"/>
      <c r="E11" s="757" t="s">
        <v>559</v>
      </c>
      <c r="F11" s="758"/>
      <c r="G11" s="759" t="str">
        <f>IF(G8="","",INDEX(DIFFERENTIATION_UNMERGE_SYSTEM,MATCH(G8,DIFFERENTIATION_ID_DIFF,0)))</f>
        <v/>
      </c>
      <c r="H11" s="759" t="str">
        <f>IF(H8="","",INDEX(DIFFERENTIATION_UNMERGE_SYSTEM,MATCH(H8,DIFFERENTIATION_ID_DIFF,0)))</f>
        <v>без дифференциации</v>
      </c>
      <c r="I11" s="64"/>
      <c r="R11" s="754"/>
      <c r="S11" s="43">
        <v>15</v>
      </c>
    </row>
    <row r="12" s="43" customFormat="1" ht="15.75" customHeight="1" spans="1:19">
      <c r="A12" s="575"/>
      <c r="C12" s="235"/>
      <c r="D12" s="761" t="s">
        <v>296</v>
      </c>
      <c r="E12" s="762"/>
      <c r="F12" s="762"/>
      <c r="G12" s="757"/>
      <c r="H12" s="757"/>
      <c r="I12" s="64"/>
      <c r="R12" s="754"/>
      <c r="S12" s="43">
        <v>15</v>
      </c>
    </row>
    <row r="13" ht="35.7" customHeight="1" spans="4:19">
      <c r="D13" s="64" t="s">
        <v>89</v>
      </c>
      <c r="E13" s="64" t="s">
        <v>298</v>
      </c>
      <c r="F13" s="64" t="s">
        <v>560</v>
      </c>
      <c r="G13" s="126" t="s">
        <v>299</v>
      </c>
      <c r="H13" s="126" t="s">
        <v>299</v>
      </c>
      <c r="I13" s="64"/>
      <c r="S13" s="43">
        <v>34</v>
      </c>
    </row>
    <row r="14" hidden="1" customHeight="1" spans="4:19">
      <c r="D14" s="763" t="s">
        <v>107</v>
      </c>
      <c r="E14" s="763" t="s">
        <v>108</v>
      </c>
      <c r="F14" s="763" t="s">
        <v>91</v>
      </c>
      <c r="G14" s="235" t="str">
        <f>G1&amp;".1"</f>
        <v>.1</v>
      </c>
      <c r="H14" s="235" t="str">
        <f>H1&amp;".1"</f>
        <v>4.1</v>
      </c>
      <c r="I14" s="83"/>
      <c r="S14" s="43">
        <v>0</v>
      </c>
    </row>
    <row r="15" ht="15.75" customHeight="1" spans="1:19">
      <c r="A15" s="43"/>
      <c r="C15" s="217"/>
      <c r="D15" s="64">
        <v>1</v>
      </c>
      <c r="E15" s="455" t="str">
        <f>TP_P_A</f>
        <v>Количество поданных заявок</v>
      </c>
      <c r="F15" s="64" t="s">
        <v>1320</v>
      </c>
      <c r="G15" s="830"/>
      <c r="H15" s="830"/>
      <c r="I15" s="81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
        <v>15</v>
      </c>
    </row>
    <row r="16" ht="15.75" customHeight="1" spans="1:19">
      <c r="A16" s="43"/>
      <c r="C16" s="217"/>
      <c r="D16" s="64">
        <v>2</v>
      </c>
      <c r="E16" s="455" t="str">
        <f>TP_P_B</f>
        <v>Количество рассмотренных заявок</v>
      </c>
      <c r="F16" s="64" t="s">
        <v>1320</v>
      </c>
      <c r="G16" s="830"/>
      <c r="H16" s="830"/>
      <c r="I16" s="81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
        <v>15</v>
      </c>
    </row>
    <row r="17" ht="77.7" customHeight="1" spans="1:19">
      <c r="A17" s="43"/>
      <c r="C17" s="217"/>
      <c r="D17" s="64">
        <v>3</v>
      </c>
      <c r="E17" s="45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64" t="s">
        <v>1320</v>
      </c>
      <c r="G17" s="830"/>
      <c r="H17" s="830"/>
      <c r="I17" s="813" t="str">
        <f>TP_P_NOTE_V</f>
        <v>Указывается количество заявок с решением об отказе в течение отчетного квартала.</v>
      </c>
      <c r="S17" s="43">
        <v>74</v>
      </c>
    </row>
    <row r="18" ht="54.75" customHeight="1" spans="1:19">
      <c r="A18" s="43"/>
      <c r="C18" s="217"/>
      <c r="D18" s="64">
        <v>4</v>
      </c>
      <c r="E18" s="455" t="str">
        <f>TP_P_V_1</f>
        <v>Причины отказа в заключении договора о подключении (технологическом присоединении) к системе теплоснабжения</v>
      </c>
      <c r="F18" s="64" t="s">
        <v>302</v>
      </c>
      <c r="G18" s="831"/>
      <c r="H18" s="831"/>
      <c r="I18" s="45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43">
        <v>52</v>
      </c>
    </row>
    <row r="19" ht="60" customHeight="1" spans="1:19">
      <c r="A19" s="43"/>
      <c r="C19" s="217"/>
      <c r="D19" s="64">
        <v>5</v>
      </c>
      <c r="E19" s="455" t="str">
        <f>TP_P_G</f>
        <v>Резерв мощности источников тепловой энергии, входящих в систему теплоснабжения, в течение одного квартала, в том числе:</v>
      </c>
      <c r="F19" s="64" t="str">
        <f>IF(TEMPLATE_SPHERE="HEAT","Гкал/час","тыс. куб. м/сутки")</f>
        <v>Гкал/час</v>
      </c>
      <c r="G19" s="832">
        <f>SUM(G20:G22)</f>
        <v>0</v>
      </c>
      <c r="H19" s="832">
        <f>SUM(H20:H22)</f>
        <v>0</v>
      </c>
      <c r="I19" s="813"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
        <v>57</v>
      </c>
    </row>
    <row r="20" hidden="1" customHeight="1" spans="4:19">
      <c r="D20" s="43" t="s">
        <v>1321</v>
      </c>
      <c r="E20" s="42"/>
      <c r="I20" s="833"/>
      <c r="S20" s="43">
        <v>0</v>
      </c>
    </row>
    <row r="21" ht="29.25" customHeight="1" spans="3:19">
      <c r="C21" s="217"/>
      <c r="D21" s="232" t="s">
        <v>309</v>
      </c>
      <c r="E21" s="449"/>
      <c r="F21" s="64" t="str">
        <f>IF(TEMPLATE_SPHERE="HEAT","Гкал/час","тыс. куб. м/сутки")</f>
        <v>Гкал/час</v>
      </c>
      <c r="G21" s="766"/>
      <c r="H21" s="766"/>
      <c r="I21" s="58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
        <v>28</v>
      </c>
    </row>
    <row r="22" ht="15.75" customHeight="1" spans="1:19">
      <c r="A22" s="43"/>
      <c r="C22" s="43"/>
      <c r="D22" s="401"/>
      <c r="E22" s="227" t="s">
        <v>1322</v>
      </c>
      <c r="F22" s="402"/>
      <c r="G22" s="402"/>
      <c r="H22" s="402"/>
      <c r="I22" s="584"/>
      <c r="R22" s="43"/>
      <c r="S22" s="43">
        <v>15</v>
      </c>
    </row>
    <row r="23" ht="22.5" hidden="1" customHeight="1" spans="1:19">
      <c r="A23" s="575" t="s">
        <v>83</v>
      </c>
      <c r="B23" s="43">
        <v>0</v>
      </c>
      <c r="C23" s="235">
        <v>4</v>
      </c>
      <c r="D23" s="43">
        <v>6</v>
      </c>
      <c r="E23" s="43">
        <v>36</v>
      </c>
      <c r="F23" s="43">
        <v>9</v>
      </c>
      <c r="G23" s="43">
        <v>0</v>
      </c>
      <c r="H23" s="43">
        <v>40</v>
      </c>
      <c r="I23" s="38">
        <v>93</v>
      </c>
      <c r="J23" s="43">
        <v>10</v>
      </c>
      <c r="K23" s="43">
        <v>10</v>
      </c>
      <c r="L23" s="43">
        <v>10</v>
      </c>
      <c r="M23" s="43">
        <v>10</v>
      </c>
      <c r="N23" s="43">
        <v>10</v>
      </c>
      <c r="O23" s="43">
        <v>10</v>
      </c>
      <c r="P23" s="43">
        <v>10</v>
      </c>
      <c r="Q23" s="43">
        <v>10</v>
      </c>
      <c r="R23" s="754">
        <v>10</v>
      </c>
      <c r="S23" s="43">
        <v>23</v>
      </c>
    </row>
  </sheetData>
  <sheetProtection formatColumns="0" formatRows="0" insertRows="0" deleteColumns="0" deleteRows="0" sort="0" autoFilter="0"/>
  <mergeCells count="8">
    <mergeCell ref="D5:H5"/>
    <mergeCell ref="D6:H6"/>
    <mergeCell ref="E9:F9"/>
    <mergeCell ref="E10:F10"/>
    <mergeCell ref="E11:F11"/>
    <mergeCell ref="D12:F12"/>
    <mergeCell ref="I9:I13"/>
    <mergeCell ref="I21:I22"/>
  </mergeCells>
  <dataValidations count="4">
    <dataValidation type="textLength" operator="lessThanOrEqual" allowBlank="1" showInputMessage="1" showErrorMessage="1" errorTitle="Ошибка" error="Допускается ввод не более 900 символов!" sqref="E2 G18:H18 E21">
      <formula1>900</formula1>
    </dataValidation>
    <dataValidation type="decimal" operator="between" allowBlank="1" showErrorMessage="1" errorTitle="Ошибка" error="Допускается ввод только действительных чисел!" sqref="G2:H2 G21:H21">
      <formula1>-9.99999999999999E+23</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3 E15"/>
    <dataValidation type="whole" operator="between" allowBlank="1" showErrorMessage="1" errorTitle="Ошибка" error="Допускается ввод только неотрицательных целых чисел!" sqref="G15:H17">
      <formula1>0</formula1>
      <formula2>9.99999999999999E+23</formula2>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Q36"/>
  <sheetViews>
    <sheetView showGridLines="0" zoomScale="90" zoomScaleNormal="90" workbookViewId="0">
      <pane xSplit="5" ySplit="13" topLeftCell="F14"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40" hidden="1" customWidth="1"/>
    <col min="2" max="2" width="9.14285714285714" style="38" hidden="1" customWidth="1"/>
    <col min="3" max="3" width="3" style="41" customWidth="1"/>
    <col min="4" max="4" width="6" style="43" customWidth="1"/>
    <col min="5" max="6" width="64" style="43" customWidth="1"/>
    <col min="7" max="7" width="140" style="43" customWidth="1"/>
    <col min="8" max="8" width="10" style="43" customWidth="1"/>
    <col min="9" max="10" width="10" style="151" customWidth="1"/>
    <col min="11" max="16" width="10" style="43" customWidth="1"/>
    <col min="17" max="17" width="10.5714285714286" style="43" hidden="1"/>
  </cols>
  <sheetData>
    <row r="1" ht="22.5" hidden="1" customHeight="1" spans="13:17">
      <c r="M1" s="787"/>
      <c r="N1" s="787"/>
      <c r="P1" s="787"/>
      <c r="Q1" s="43" t="s">
        <v>14</v>
      </c>
    </row>
    <row r="2" hidden="1" customHeight="1" spans="17:17">
      <c r="Q2" s="43">
        <v>0</v>
      </c>
    </row>
    <row r="3" hidden="1" customHeight="1" spans="17:17">
      <c r="Q3" s="43">
        <v>0</v>
      </c>
    </row>
    <row r="4" ht="3" customHeight="1" spans="3:17">
      <c r="C4" s="51"/>
      <c r="D4" s="53"/>
      <c r="E4" s="53"/>
      <c r="F4" s="771"/>
      <c r="G4" s="771"/>
      <c r="Q4" s="43">
        <v>3</v>
      </c>
    </row>
    <row r="5" ht="29.25" customHeight="1" spans="3:17">
      <c r="C5" s="51"/>
      <c r="D5" s="77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773"/>
      <c r="F5" s="773"/>
      <c r="G5" s="774"/>
      <c r="Q5" s="43">
        <v>28</v>
      </c>
    </row>
    <row r="6" s="43" customFormat="1" ht="18.75" customHeight="1" spans="1:17">
      <c r="A6" s="40"/>
      <c r="B6" s="38"/>
      <c r="C6" s="51"/>
      <c r="D6" s="775" t="str">
        <f>IF(org=0,"Не определено",org)</f>
        <v>АО "Теплокоммунэнерго"</v>
      </c>
      <c r="E6" s="624"/>
      <c r="F6" s="624"/>
      <c r="G6" s="776"/>
      <c r="I6" s="151"/>
      <c r="J6" s="151"/>
      <c r="Q6" s="43">
        <v>18</v>
      </c>
    </row>
    <row r="7" ht="14.7" customHeight="1" spans="3:17">
      <c r="C7" s="51"/>
      <c r="D7" s="53"/>
      <c r="E7" s="662"/>
      <c r="F7" s="577"/>
      <c r="G7" s="777"/>
      <c r="Q7" s="43">
        <v>14</v>
      </c>
    </row>
    <row r="8" s="43" customFormat="1" ht="1.05" customHeight="1" spans="1:17">
      <c r="A8" s="40"/>
      <c r="B8" s="38"/>
      <c r="C8" s="51"/>
      <c r="D8" s="53"/>
      <c r="E8" s="662"/>
      <c r="F8" s="577"/>
      <c r="G8" s="777"/>
      <c r="I8" s="151"/>
      <c r="J8" s="151"/>
      <c r="Q8" s="43">
        <v>1</v>
      </c>
    </row>
    <row r="9" ht="14.7" customHeight="1" spans="3:17">
      <c r="C9" s="51"/>
      <c r="D9" s="66" t="s">
        <v>296</v>
      </c>
      <c r="E9" s="66"/>
      <c r="F9" s="66"/>
      <c r="G9" s="212" t="s">
        <v>297</v>
      </c>
      <c r="Q9" s="43">
        <v>14</v>
      </c>
    </row>
    <row r="10" ht="24" customHeight="1" spans="3:17">
      <c r="C10" s="51"/>
      <c r="D10" s="66" t="s">
        <v>89</v>
      </c>
      <c r="E10" s="131" t="s">
        <v>298</v>
      </c>
      <c r="F10" s="131" t="s">
        <v>386</v>
      </c>
      <c r="G10" s="212"/>
      <c r="Q10" s="43">
        <v>23</v>
      </c>
    </row>
    <row r="11" ht="12" hidden="1" customHeight="1" spans="3:17">
      <c r="C11" s="51"/>
      <c r="D11" s="567"/>
      <c r="E11" s="567"/>
      <c r="F11" s="567"/>
      <c r="G11" s="567"/>
      <c r="Q11" s="43">
        <v>0</v>
      </c>
    </row>
    <row r="12" ht="65.25" customHeight="1" spans="1:17">
      <c r="A12" s="81"/>
      <c r="C12" s="51"/>
      <c r="D12" s="295">
        <v>1</v>
      </c>
      <c r="E12" s="47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1" t="s">
        <v>302</v>
      </c>
      <c r="G12" s="83"/>
      <c r="Q12" s="43">
        <v>62</v>
      </c>
    </row>
    <row r="13" ht="24" customHeight="1" spans="1:17">
      <c r="A13" s="81"/>
      <c r="C13" s="51"/>
      <c r="D13" s="295" t="s">
        <v>1224</v>
      </c>
      <c r="E13" s="818"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1" t="s">
        <v>302</v>
      </c>
      <c r="G13" s="83"/>
      <c r="Q13" s="43">
        <v>23</v>
      </c>
    </row>
    <row r="14" ht="14.7" customHeight="1" spans="1:17">
      <c r="A14" s="81"/>
      <c r="C14" s="51"/>
      <c r="D14" s="295" t="s">
        <v>1260</v>
      </c>
      <c r="E14" s="822"/>
      <c r="F14" s="578"/>
      <c r="G14" s="58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3">
        <v>14</v>
      </c>
    </row>
    <row r="15" ht="15.75" customHeight="1" spans="1:17">
      <c r="A15" s="81"/>
      <c r="C15" s="51"/>
      <c r="D15" s="401"/>
      <c r="E15" s="780" t="s">
        <v>1323</v>
      </c>
      <c r="F15" s="580"/>
      <c r="G15" s="584"/>
      <c r="Q15" s="43">
        <v>15</v>
      </c>
    </row>
    <row r="16" ht="14.7" customHeight="1" spans="1:17">
      <c r="A16" s="81"/>
      <c r="C16" s="51"/>
      <c r="D16" s="295" t="s">
        <v>1226</v>
      </c>
      <c r="E16" s="81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1" t="s">
        <v>302</v>
      </c>
      <c r="G16" s="67"/>
      <c r="Q16" s="43">
        <v>14</v>
      </c>
    </row>
    <row r="17" ht="14.7" customHeight="1" spans="1:17">
      <c r="A17" s="81"/>
      <c r="C17" s="51"/>
      <c r="D17" s="295" t="s">
        <v>1268</v>
      </c>
      <c r="E17" s="822"/>
      <c r="F17" s="823"/>
      <c r="G17" s="58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43">
        <v>14</v>
      </c>
    </row>
    <row r="18" s="43" customFormat="1" ht="22.05" customHeight="1" spans="1:17">
      <c r="A18" s="81"/>
      <c r="B18" s="38"/>
      <c r="C18" s="51"/>
      <c r="D18" s="401"/>
      <c r="E18" s="780" t="s">
        <v>1324</v>
      </c>
      <c r="F18" s="579"/>
      <c r="G18" s="584"/>
      <c r="I18" s="151"/>
      <c r="J18" s="151"/>
      <c r="Q18" s="43">
        <v>21</v>
      </c>
    </row>
    <row r="19" s="43" customFormat="1" ht="256.5" customHeight="1" spans="1:17">
      <c r="A19" s="81"/>
      <c r="B19" s="38"/>
      <c r="C19" s="51"/>
      <c r="D19" s="295" t="s">
        <v>1228</v>
      </c>
      <c r="E19" s="818" t="s">
        <v>1325</v>
      </c>
      <c r="F19" s="823"/>
      <c r="G19" s="67" t="s">
        <v>1326</v>
      </c>
      <c r="I19" s="151"/>
      <c r="J19" s="151"/>
      <c r="Q19" s="43">
        <v>0</v>
      </c>
    </row>
    <row r="20" s="43" customFormat="1" ht="14.7" customHeight="1" spans="1:17">
      <c r="A20" s="81"/>
      <c r="B20" s="38"/>
      <c r="C20" s="51"/>
      <c r="D20" s="665">
        <v>2</v>
      </c>
      <c r="E20" s="818" t="s">
        <v>1327</v>
      </c>
      <c r="F20" s="131" t="s">
        <v>302</v>
      </c>
      <c r="G20" s="67"/>
      <c r="I20" s="151"/>
      <c r="J20" s="151"/>
      <c r="Q20" s="43">
        <v>14</v>
      </c>
    </row>
    <row r="21" s="43" customFormat="1" ht="18.75" hidden="1" customHeight="1" spans="1:17">
      <c r="A21" s="81"/>
      <c r="B21" s="38"/>
      <c r="C21" s="51"/>
      <c r="D21" s="824" t="s">
        <v>630</v>
      </c>
      <c r="E21" s="825"/>
      <c r="F21" s="826"/>
      <c r="G21" s="814"/>
      <c r="H21" s="806"/>
      <c r="I21" s="151"/>
      <c r="J21" s="151"/>
      <c r="Q21" s="43">
        <v>0</v>
      </c>
    </row>
    <row r="22" ht="15.75" customHeight="1" spans="1:17">
      <c r="A22" s="81"/>
      <c r="C22" s="51"/>
      <c r="D22" s="401"/>
      <c r="E22" s="227" t="s">
        <v>318</v>
      </c>
      <c r="F22" s="579"/>
      <c r="G22" s="827"/>
      <c r="Q22" s="43">
        <v>15</v>
      </c>
    </row>
    <row r="23" s="43" customFormat="1" ht="22.5" hidden="1" customHeight="1" spans="1:17">
      <c r="A23" s="81"/>
      <c r="B23" s="38"/>
      <c r="C23" s="51"/>
      <c r="D23" s="295" t="s">
        <v>108</v>
      </c>
      <c r="E23" s="472" t="s">
        <v>1328</v>
      </c>
      <c r="F23" s="131" t="s">
        <v>302</v>
      </c>
      <c r="G23" s="83"/>
      <c r="I23" s="151"/>
      <c r="J23" s="151"/>
      <c r="Q23" s="43">
        <v>0</v>
      </c>
    </row>
    <row r="24" s="43" customFormat="1" hidden="1" customHeight="1" spans="1:17">
      <c r="A24" s="81"/>
      <c r="B24" s="38"/>
      <c r="C24" s="51"/>
      <c r="D24" s="295" t="s">
        <v>703</v>
      </c>
      <c r="E24" s="818" t="s">
        <v>1329</v>
      </c>
      <c r="F24" s="131" t="s">
        <v>302</v>
      </c>
      <c r="G24" s="67"/>
      <c r="I24" s="151"/>
      <c r="J24" s="151"/>
      <c r="Q24" s="43">
        <v>0</v>
      </c>
    </row>
    <row r="25" s="43" customFormat="1" hidden="1" customHeight="1" spans="1:17">
      <c r="A25" s="81"/>
      <c r="B25" s="38"/>
      <c r="C25" s="51"/>
      <c r="D25" s="295" t="s">
        <v>706</v>
      </c>
      <c r="E25" s="822"/>
      <c r="F25" s="823"/>
      <c r="G25" s="583" t="s">
        <v>1330</v>
      </c>
      <c r="I25" s="151"/>
      <c r="J25" s="151"/>
      <c r="Q25" s="43">
        <v>0</v>
      </c>
    </row>
    <row r="26" s="43" customFormat="1" hidden="1" customHeight="1" spans="1:17">
      <c r="A26" s="81"/>
      <c r="B26" s="38"/>
      <c r="C26" s="51"/>
      <c r="D26" s="401"/>
      <c r="E26" s="780" t="s">
        <v>1331</v>
      </c>
      <c r="F26" s="579"/>
      <c r="G26" s="584"/>
      <c r="I26" s="151"/>
      <c r="J26" s="151"/>
      <c r="Q26" s="43">
        <v>0</v>
      </c>
    </row>
    <row r="27" s="43" customFormat="1" ht="33.75" hidden="1" customHeight="1" spans="1:17">
      <c r="A27" s="81"/>
      <c r="B27" s="38"/>
      <c r="C27" s="51"/>
      <c r="D27" s="295" t="s">
        <v>91</v>
      </c>
      <c r="E27" s="472" t="s">
        <v>1332</v>
      </c>
      <c r="F27" s="131" t="s">
        <v>302</v>
      </c>
      <c r="G27" s="83"/>
      <c r="I27" s="151"/>
      <c r="J27" s="151"/>
      <c r="Q27" s="43">
        <v>0</v>
      </c>
    </row>
    <row r="28" s="43" customFormat="1" ht="22.5" hidden="1" customHeight="1" spans="1:17">
      <c r="A28" s="81"/>
      <c r="B28" s="38"/>
      <c r="C28" s="51"/>
      <c r="D28" s="295" t="s">
        <v>320</v>
      </c>
      <c r="E28" s="818" t="s">
        <v>1333</v>
      </c>
      <c r="F28" s="131" t="s">
        <v>302</v>
      </c>
      <c r="G28" s="67"/>
      <c r="I28" s="151"/>
      <c r="J28" s="151"/>
      <c r="Q28" s="43">
        <v>0</v>
      </c>
    </row>
    <row r="29" s="43" customFormat="1" hidden="1" customHeight="1" spans="1:17">
      <c r="A29" s="81"/>
      <c r="B29" s="38"/>
      <c r="C29" s="51"/>
      <c r="D29" s="295" t="s">
        <v>322</v>
      </c>
      <c r="E29" s="828"/>
      <c r="F29" s="829"/>
      <c r="G29" s="583" t="s">
        <v>1334</v>
      </c>
      <c r="I29" s="151"/>
      <c r="J29" s="151"/>
      <c r="Q29" s="43">
        <v>0</v>
      </c>
    </row>
    <row r="30" s="43" customFormat="1" hidden="1" customHeight="1" spans="1:17">
      <c r="A30" s="81"/>
      <c r="B30" s="38"/>
      <c r="C30" s="51"/>
      <c r="D30" s="401"/>
      <c r="E30" s="780" t="s">
        <v>1331</v>
      </c>
      <c r="F30" s="579"/>
      <c r="G30" s="584"/>
      <c r="I30" s="151"/>
      <c r="J30" s="151"/>
      <c r="Q30" s="43">
        <v>0</v>
      </c>
    </row>
    <row r="31" ht="3" customHeight="1" spans="17:17">
      <c r="Q31" s="43">
        <v>3</v>
      </c>
    </row>
    <row r="32" ht="14.7" customHeight="1" spans="4:17">
      <c r="D32" s="786"/>
      <c r="E32" s="709"/>
      <c r="F32" s="789"/>
      <c r="G32" s="789"/>
      <c r="H32" s="789"/>
      <c r="I32" s="789"/>
      <c r="J32" s="789"/>
      <c r="K32" s="789"/>
      <c r="L32" s="789"/>
      <c r="M32" s="789"/>
      <c r="N32" s="789"/>
      <c r="O32" s="789"/>
      <c r="P32" s="789"/>
      <c r="Q32" s="43">
        <v>14</v>
      </c>
    </row>
    <row r="33" ht="14.7" customHeight="1" spans="4:17">
      <c r="D33" s="786"/>
      <c r="E33" s="503"/>
      <c r="Q33" s="43">
        <v>14</v>
      </c>
    </row>
    <row r="34" ht="14.7" customHeight="1" spans="17:17">
      <c r="Q34" s="43">
        <v>14</v>
      </c>
    </row>
    <row r="35" ht="14.7" customHeight="1" spans="17:17">
      <c r="Q35" s="43">
        <v>14</v>
      </c>
    </row>
    <row r="36" ht="22.5" hidden="1" customHeight="1" spans="1:17">
      <c r="A36" s="40" t="s">
        <v>83</v>
      </c>
      <c r="B36" s="38">
        <v>0</v>
      </c>
      <c r="C36" s="41">
        <v>3</v>
      </c>
      <c r="D36" s="43">
        <v>6</v>
      </c>
      <c r="E36" s="43">
        <v>64</v>
      </c>
      <c r="F36" s="43">
        <v>64</v>
      </c>
      <c r="G36" s="43">
        <v>140</v>
      </c>
      <c r="H36" s="43">
        <v>10</v>
      </c>
      <c r="I36" s="151">
        <v>10</v>
      </c>
      <c r="J36" s="151">
        <v>10</v>
      </c>
      <c r="K36" s="43">
        <v>10</v>
      </c>
      <c r="L36" s="43">
        <v>10</v>
      </c>
      <c r="M36" s="43">
        <v>10</v>
      </c>
      <c r="N36" s="43">
        <v>10</v>
      </c>
      <c r="O36" s="43">
        <v>10</v>
      </c>
      <c r="P36" s="43">
        <v>10</v>
      </c>
      <c r="Q36" s="43">
        <v>23</v>
      </c>
    </row>
  </sheetData>
  <sheetProtection formatColumns="0" formatRows="0" insertRows="0" deleteColumns="0" deleteRows="0" sort="0" autoFilter="0"/>
  <mergeCells count="8">
    <mergeCell ref="D5:G5"/>
    <mergeCell ref="D6:G6"/>
    <mergeCell ref="D9:F9"/>
    <mergeCell ref="G9:G10"/>
    <mergeCell ref="G14:G15"/>
    <mergeCell ref="G17:G18"/>
    <mergeCell ref="G25:G26"/>
    <mergeCell ref="G29:G30"/>
  </mergeCells>
  <dataValidations count="2">
    <dataValidation type="textLength" operator="lessThanOrEqual" allowBlank="1" showInputMessage="1" showErrorMessage="1" errorTitle="Ошибка" error="Допускается ввод не более 900 символов!" sqref="E14 G14 E17 G17 G21 E25 G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M43"/>
  <sheetViews>
    <sheetView showGridLines="0" zoomScale="90" zoomScaleNormal="90" workbookViewId="0">
      <pane xSplit="6" ySplit="21" topLeftCell="G22"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39" hidden="1" customWidth="1"/>
    <col min="2" max="2" width="9.14285714285714" style="38" hidden="1" customWidth="1"/>
    <col min="3" max="3" width="3" style="41" customWidth="1"/>
    <col min="4" max="4" width="6" style="43" customWidth="1"/>
    <col min="5" max="5" width="63" style="43" customWidth="1"/>
    <col min="6" max="6" width="1.71428571428571" style="43" hidden="1" customWidth="1"/>
    <col min="7" max="8" width="35" style="43" customWidth="1"/>
    <col min="9" max="9" width="91" style="43" customWidth="1"/>
    <col min="10" max="10" width="68" style="43" customWidth="1"/>
    <col min="11" max="12" width="10" style="151" customWidth="1"/>
    <col min="13" max="13" width="10.5714285714286" style="43" hidden="1"/>
  </cols>
  <sheetData>
    <row r="1" ht="22.5" hidden="1" customHeight="1" spans="13:13">
      <c r="M1" s="43" t="s">
        <v>14</v>
      </c>
    </row>
    <row r="2" s="43" customFormat="1" ht="18.75" hidden="1" customHeight="1" spans="1:13">
      <c r="A2" s="264"/>
      <c r="B2" s="38"/>
      <c r="C2" s="653" t="s">
        <v>683</v>
      </c>
      <c r="D2" s="295"/>
      <c r="E2" s="817"/>
      <c r="F2" s="131"/>
      <c r="G2" s="131" t="s">
        <v>302</v>
      </c>
      <c r="H2" s="578"/>
      <c r="K2" s="151"/>
      <c r="L2" s="151"/>
      <c r="M2" s="43">
        <v>0</v>
      </c>
    </row>
    <row r="3" s="43" customFormat="1" hidden="1" customHeight="1" spans="1:13">
      <c r="A3" s="39"/>
      <c r="B3" s="38"/>
      <c r="C3" s="41"/>
      <c r="K3" s="151"/>
      <c r="L3" s="151"/>
      <c r="M3" s="43">
        <v>0</v>
      </c>
    </row>
    <row r="4" s="43" customFormat="1" ht="18.75" hidden="1" customHeight="1" spans="1:13">
      <c r="A4" s="264"/>
      <c r="B4" s="38"/>
      <c r="C4" s="653" t="s">
        <v>683</v>
      </c>
      <c r="D4" s="295"/>
      <c r="E4" s="818" t="s">
        <v>1335</v>
      </c>
      <c r="F4" s="131"/>
      <c r="G4" s="470"/>
      <c r="H4" s="131" t="s">
        <v>302</v>
      </c>
      <c r="K4" s="151"/>
      <c r="L4" s="151"/>
      <c r="M4" s="43">
        <v>0</v>
      </c>
    </row>
    <row r="5" s="43" customFormat="1" hidden="1" customHeight="1" spans="1:13">
      <c r="A5" s="39"/>
      <c r="B5" s="38"/>
      <c r="C5" s="41"/>
      <c r="K5" s="151"/>
      <c r="L5" s="151"/>
      <c r="M5" s="43">
        <v>0</v>
      </c>
    </row>
    <row r="6" s="43" customFormat="1" ht="18.75" hidden="1" customHeight="1" spans="1:13">
      <c r="A6" s="264"/>
      <c r="B6" s="38"/>
      <c r="C6" s="653" t="s">
        <v>683</v>
      </c>
      <c r="D6" s="295"/>
      <c r="E6" s="819" t="s">
        <v>1336</v>
      </c>
      <c r="F6" s="131"/>
      <c r="G6" s="470"/>
      <c r="H6" s="131" t="s">
        <v>302</v>
      </c>
      <c r="K6" s="151"/>
      <c r="L6" s="151"/>
      <c r="M6" s="43">
        <v>0</v>
      </c>
    </row>
    <row r="7" s="43" customFormat="1" hidden="1" customHeight="1" spans="1:13">
      <c r="A7" s="39"/>
      <c r="B7" s="38"/>
      <c r="C7" s="41"/>
      <c r="K7" s="151"/>
      <c r="L7" s="151"/>
      <c r="M7" s="43">
        <v>0</v>
      </c>
    </row>
    <row r="8" s="43" customFormat="1" ht="18.75" hidden="1" customHeight="1" spans="1:13">
      <c r="A8" s="264"/>
      <c r="B8" s="38"/>
      <c r="C8" s="653" t="s">
        <v>683</v>
      </c>
      <c r="D8" s="295"/>
      <c r="E8" s="819" t="s">
        <v>1337</v>
      </c>
      <c r="F8" s="131"/>
      <c r="G8" s="470"/>
      <c r="H8" s="131" t="s">
        <v>302</v>
      </c>
      <c r="K8" s="151"/>
      <c r="L8" s="151"/>
      <c r="M8" s="43">
        <v>0</v>
      </c>
    </row>
    <row r="9" s="43" customFormat="1" hidden="1" customHeight="1" spans="1:13">
      <c r="A9" s="39"/>
      <c r="B9" s="38"/>
      <c r="C9" s="41"/>
      <c r="K9" s="151"/>
      <c r="L9" s="151"/>
      <c r="M9" s="43">
        <v>0</v>
      </c>
    </row>
    <row r="10" s="43" customFormat="1" ht="18.75" hidden="1" customHeight="1" spans="1:13">
      <c r="A10" s="264"/>
      <c r="B10" s="38"/>
      <c r="C10" s="653" t="s">
        <v>683</v>
      </c>
      <c r="D10" s="295"/>
      <c r="E10" s="819" t="s">
        <v>1338</v>
      </c>
      <c r="F10" s="131"/>
      <c r="G10" s="375"/>
      <c r="H10" s="131" t="s">
        <v>302</v>
      </c>
      <c r="K10" s="151"/>
      <c r="L10" s="151" t="s">
        <v>1339</v>
      </c>
      <c r="M10" s="43">
        <v>0</v>
      </c>
    </row>
    <row r="11" hidden="1" customHeight="1" spans="13:13">
      <c r="M11" s="43">
        <v>0</v>
      </c>
    </row>
    <row r="12" hidden="1" customHeight="1" spans="13:13">
      <c r="M12" s="43">
        <v>0</v>
      </c>
    </row>
    <row r="13" ht="14.7" customHeight="1" spans="3:13">
      <c r="C13" s="51"/>
      <c r="D13" s="53"/>
      <c r="E13" s="53"/>
      <c r="F13" s="53"/>
      <c r="G13" s="53"/>
      <c r="H13" s="771"/>
      <c r="I13" s="771"/>
      <c r="M13" s="43">
        <v>14</v>
      </c>
    </row>
    <row r="14" ht="29.25" customHeight="1" spans="3:13">
      <c r="C14" s="51"/>
      <c r="D14" s="77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773"/>
      <c r="F14" s="773"/>
      <c r="G14" s="773"/>
      <c r="H14" s="774"/>
      <c r="M14" s="43">
        <v>28</v>
      </c>
    </row>
    <row r="15" s="43" customFormat="1" ht="14.7" customHeight="1" spans="1:13">
      <c r="A15" s="39"/>
      <c r="B15" s="38"/>
      <c r="C15" s="51"/>
      <c r="D15" s="775" t="str">
        <f>IF(org=0,"Не определено",org)</f>
        <v>АО "Теплокоммунэнерго"</v>
      </c>
      <c r="E15" s="624"/>
      <c r="F15" s="624"/>
      <c r="G15" s="624"/>
      <c r="H15" s="776"/>
      <c r="J15" s="281"/>
      <c r="K15" s="151"/>
      <c r="L15" s="151"/>
      <c r="M15" s="43">
        <v>14</v>
      </c>
    </row>
    <row r="16" ht="14.7" customHeight="1" spans="3:13">
      <c r="C16" s="51"/>
      <c r="D16" s="53"/>
      <c r="E16" s="662"/>
      <c r="F16" s="662"/>
      <c r="G16" s="662"/>
      <c r="H16" s="577"/>
      <c r="I16" s="777"/>
      <c r="M16" s="43">
        <v>14</v>
      </c>
    </row>
    <row r="17" s="43" customFormat="1" hidden="1" customHeight="1" spans="1:13">
      <c r="A17" s="39"/>
      <c r="B17" s="38"/>
      <c r="C17" s="51"/>
      <c r="D17" s="53"/>
      <c r="E17" s="662"/>
      <c r="F17" s="662"/>
      <c r="G17" s="662"/>
      <c r="H17" s="577"/>
      <c r="I17" s="777"/>
      <c r="K17" s="151"/>
      <c r="L17" s="151"/>
      <c r="M17" s="43">
        <v>0</v>
      </c>
    </row>
    <row r="18" ht="22.05" customHeight="1" spans="3:13">
      <c r="C18" s="51"/>
      <c r="D18" s="66" t="s">
        <v>296</v>
      </c>
      <c r="E18" s="66"/>
      <c r="F18" s="66"/>
      <c r="G18" s="66"/>
      <c r="H18" s="66"/>
      <c r="I18" s="212" t="s">
        <v>297</v>
      </c>
      <c r="M18" s="43">
        <v>21</v>
      </c>
    </row>
    <row r="19" ht="22.05" customHeight="1" spans="3:13">
      <c r="C19" s="51"/>
      <c r="D19" s="66" t="s">
        <v>89</v>
      </c>
      <c r="E19" s="131" t="s">
        <v>298</v>
      </c>
      <c r="F19" s="131"/>
      <c r="G19" s="131" t="s">
        <v>299</v>
      </c>
      <c r="H19" s="131" t="s">
        <v>386</v>
      </c>
      <c r="I19" s="212"/>
      <c r="M19" s="43">
        <v>21</v>
      </c>
    </row>
    <row r="20" ht="12" hidden="1" customHeight="1" spans="3:13">
      <c r="C20" s="51"/>
      <c r="D20" s="567"/>
      <c r="E20" s="567"/>
      <c r="F20" s="567"/>
      <c r="G20" s="567"/>
      <c r="H20" s="567"/>
      <c r="I20" s="567"/>
      <c r="M20" s="43">
        <v>0</v>
      </c>
    </row>
    <row r="21" ht="14.7" customHeight="1" spans="1:13">
      <c r="A21" s="264"/>
      <c r="C21" s="51"/>
      <c r="D21" s="295">
        <v>1</v>
      </c>
      <c r="E21" s="467" t="s">
        <v>1340</v>
      </c>
      <c r="F21" s="467"/>
      <c r="G21" s="467"/>
      <c r="H21" s="467"/>
      <c r="I21" s="813"/>
      <c r="M21" s="43">
        <v>14</v>
      </c>
    </row>
    <row r="22" ht="21" customHeight="1" spans="1:13">
      <c r="A22" s="264"/>
      <c r="C22" s="51"/>
      <c r="D22" s="295" t="s">
        <v>1224</v>
      </c>
      <c r="E22" s="818" t="s">
        <v>1341</v>
      </c>
      <c r="F22" s="131"/>
      <c r="G22" s="820"/>
      <c r="H22" s="131" t="s">
        <v>302</v>
      </c>
      <c r="I22" s="83" t="s">
        <v>1342</v>
      </c>
      <c r="M22" s="43">
        <v>20</v>
      </c>
    </row>
    <row r="23" ht="60" customHeight="1" spans="1:13">
      <c r="A23" s="264"/>
      <c r="C23" s="51"/>
      <c r="D23" s="295" t="s">
        <v>1226</v>
      </c>
      <c r="E23" s="818" t="s">
        <v>1343</v>
      </c>
      <c r="F23" s="131"/>
      <c r="G23" s="470"/>
      <c r="H23" s="578"/>
      <c r="I23" s="455" t="s">
        <v>1344</v>
      </c>
      <c r="M23" s="43">
        <v>57</v>
      </c>
    </row>
    <row r="24" ht="14.7" customHeight="1" spans="1:13">
      <c r="A24" s="264"/>
      <c r="B24" s="38">
        <v>3</v>
      </c>
      <c r="C24" s="51"/>
      <c r="D24" s="295">
        <v>2</v>
      </c>
      <c r="E24" s="46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1"/>
      <c r="G24" s="131" t="s">
        <v>302</v>
      </c>
      <c r="H24" s="578"/>
      <c r="I24" s="393" t="s">
        <v>625</v>
      </c>
      <c r="M24" s="43">
        <v>14</v>
      </c>
    </row>
    <row r="25" ht="48.3" customHeight="1" spans="1:13">
      <c r="A25" s="264"/>
      <c r="C25" s="51"/>
      <c r="D25" s="295">
        <v>3</v>
      </c>
      <c r="E25" s="4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467"/>
      <c r="G25" s="467"/>
      <c r="H25" s="467"/>
      <c r="I25" s="813"/>
      <c r="M25" s="43">
        <v>46</v>
      </c>
    </row>
    <row r="26" ht="14.7" customHeight="1" spans="1:13">
      <c r="A26" s="264"/>
      <c r="C26" s="51"/>
      <c r="D26" s="295" t="s">
        <v>320</v>
      </c>
      <c r="E26" s="817"/>
      <c r="F26" s="131"/>
      <c r="G26" s="131" t="s">
        <v>302</v>
      </c>
      <c r="H26" s="578"/>
      <c r="I26" s="583" t="s">
        <v>1345</v>
      </c>
      <c r="M26" s="43">
        <v>14</v>
      </c>
    </row>
    <row r="27" ht="15.75" customHeight="1" spans="1:13">
      <c r="A27" s="264" t="s">
        <v>107</v>
      </c>
      <c r="C27" s="51"/>
      <c r="D27" s="401"/>
      <c r="E27" s="227" t="s">
        <v>318</v>
      </c>
      <c r="F27" s="780"/>
      <c r="G27" s="780"/>
      <c r="H27" s="580"/>
      <c r="I27" s="584"/>
      <c r="M27" s="43">
        <v>15</v>
      </c>
    </row>
    <row r="28" ht="39.75" customHeight="1" spans="1:13">
      <c r="A28" s="264"/>
      <c r="B28" s="38">
        <v>3</v>
      </c>
      <c r="C28" s="51"/>
      <c r="D28" s="295">
        <v>4</v>
      </c>
      <c r="E28" s="4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467"/>
      <c r="G28" s="467"/>
      <c r="H28" s="467"/>
      <c r="I28" s="813"/>
      <c r="M28" s="43">
        <v>38</v>
      </c>
    </row>
    <row r="29" ht="21" customHeight="1" spans="1:13">
      <c r="A29" s="264"/>
      <c r="C29" s="51"/>
      <c r="D29" s="295" t="s">
        <v>754</v>
      </c>
      <c r="E29" s="818" t="s">
        <v>1335</v>
      </c>
      <c r="F29" s="131"/>
      <c r="G29" s="470"/>
      <c r="H29" s="131" t="s">
        <v>302</v>
      </c>
      <c r="I29" s="583" t="s">
        <v>1346</v>
      </c>
      <c r="M29" s="43">
        <v>20</v>
      </c>
    </row>
    <row r="30" ht="15.75" customHeight="1" spans="1:13">
      <c r="A30" s="264" t="s">
        <v>108</v>
      </c>
      <c r="C30" s="51"/>
      <c r="D30" s="401"/>
      <c r="E30" s="227" t="s">
        <v>318</v>
      </c>
      <c r="F30" s="780"/>
      <c r="G30" s="780"/>
      <c r="H30" s="580"/>
      <c r="I30" s="584"/>
      <c r="M30" s="43">
        <v>15</v>
      </c>
    </row>
    <row r="31" ht="31.5" customHeight="1" spans="1:13">
      <c r="A31" s="264"/>
      <c r="B31" s="38">
        <v>3</v>
      </c>
      <c r="C31" s="51"/>
      <c r="D31" s="295">
        <v>5</v>
      </c>
      <c r="E31" s="4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467"/>
      <c r="G31" s="467"/>
      <c r="H31" s="467"/>
      <c r="I31" s="813"/>
      <c r="M31" s="43">
        <v>30</v>
      </c>
    </row>
    <row r="32" ht="27.3" customHeight="1" spans="1:13">
      <c r="A32" s="264"/>
      <c r="C32" s="51"/>
      <c r="D32" s="295" t="s">
        <v>309</v>
      </c>
      <c r="E32" s="81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818"/>
      <c r="G32" s="818"/>
      <c r="H32" s="818"/>
      <c r="I32" s="813"/>
      <c r="M32" s="43">
        <v>26</v>
      </c>
    </row>
    <row r="33" ht="14.7" customHeight="1" spans="1:13">
      <c r="A33" s="264"/>
      <c r="C33" s="51"/>
      <c r="D33" s="295" t="s">
        <v>1347</v>
      </c>
      <c r="E33" s="819" t="s">
        <v>1336</v>
      </c>
      <c r="F33" s="131"/>
      <c r="G33" s="470"/>
      <c r="H33" s="131" t="s">
        <v>302</v>
      </c>
      <c r="I33" s="583" t="s">
        <v>1348</v>
      </c>
      <c r="M33" s="43">
        <v>14</v>
      </c>
    </row>
    <row r="34" ht="15.75" customHeight="1" spans="1:13">
      <c r="A34" s="264" t="s">
        <v>91</v>
      </c>
      <c r="C34" s="51"/>
      <c r="D34" s="401"/>
      <c r="E34" s="780" t="s">
        <v>318</v>
      </c>
      <c r="F34" s="821"/>
      <c r="G34" s="821"/>
      <c r="H34" s="580"/>
      <c r="I34" s="584"/>
      <c r="M34" s="43">
        <v>15</v>
      </c>
    </row>
    <row r="35" ht="25.2" customHeight="1" spans="1:13">
      <c r="A35" s="264"/>
      <c r="C35" s="51"/>
      <c r="D35" s="295" t="s">
        <v>894</v>
      </c>
      <c r="E35" s="81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818"/>
      <c r="G35" s="818"/>
      <c r="H35" s="818"/>
      <c r="I35" s="813"/>
      <c r="M35" s="43">
        <v>24</v>
      </c>
    </row>
    <row r="36" ht="14.7" customHeight="1" spans="1:13">
      <c r="A36" s="264"/>
      <c r="C36" s="51"/>
      <c r="D36" s="295" t="s">
        <v>1349</v>
      </c>
      <c r="E36" s="819" t="s">
        <v>1337</v>
      </c>
      <c r="F36" s="131"/>
      <c r="G36" s="470"/>
      <c r="H36" s="131" t="s">
        <v>302</v>
      </c>
      <c r="I36" s="455" t="s">
        <v>1350</v>
      </c>
      <c r="M36" s="43">
        <v>14</v>
      </c>
    </row>
    <row r="37" ht="15.75" customHeight="1" spans="1:13">
      <c r="A37" s="264" t="s">
        <v>92</v>
      </c>
      <c r="C37" s="51"/>
      <c r="D37" s="401"/>
      <c r="E37" s="780" t="s">
        <v>318</v>
      </c>
      <c r="F37" s="821"/>
      <c r="G37" s="821"/>
      <c r="H37" s="580"/>
      <c r="I37" s="455"/>
      <c r="M37" s="43">
        <v>15</v>
      </c>
    </row>
    <row r="38" ht="27.3" customHeight="1" spans="1:13">
      <c r="A38" s="264"/>
      <c r="C38" s="51"/>
      <c r="D38" s="295" t="s">
        <v>895</v>
      </c>
      <c r="E38" s="81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818"/>
      <c r="G38" s="818"/>
      <c r="H38" s="818"/>
      <c r="I38" s="813"/>
      <c r="M38" s="43">
        <v>26</v>
      </c>
    </row>
    <row r="39" ht="14.7" customHeight="1" spans="1:13">
      <c r="A39" s="264"/>
      <c r="C39" s="51"/>
      <c r="D39" s="295" t="s">
        <v>896</v>
      </c>
      <c r="E39" s="819" t="s">
        <v>1338</v>
      </c>
      <c r="F39" s="131"/>
      <c r="G39" s="375"/>
      <c r="H39" s="131" t="s">
        <v>302</v>
      </c>
      <c r="I39" s="583" t="s">
        <v>1351</v>
      </c>
      <c r="L39" s="151" t="s">
        <v>1339</v>
      </c>
      <c r="M39" s="43">
        <v>14</v>
      </c>
    </row>
    <row r="40" ht="15.75" customHeight="1" spans="1:13">
      <c r="A40" s="264" t="s">
        <v>109</v>
      </c>
      <c r="C40" s="51"/>
      <c r="D40" s="401"/>
      <c r="E40" s="780" t="s">
        <v>318</v>
      </c>
      <c r="F40" s="821"/>
      <c r="G40" s="821"/>
      <c r="H40" s="580"/>
      <c r="I40" s="584"/>
      <c r="M40" s="43">
        <v>15</v>
      </c>
    </row>
    <row r="41" s="81" customFormat="1" ht="3" customHeight="1" spans="1:13">
      <c r="A41" s="264"/>
      <c r="K41" s="152"/>
      <c r="L41" s="152"/>
      <c r="M41" s="81">
        <v>3</v>
      </c>
    </row>
    <row r="42" ht="26.25" customHeight="1" spans="4:13">
      <c r="D42" s="786" t="s">
        <v>816</v>
      </c>
      <c r="E42" s="12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0"/>
      <c r="G42" s="120"/>
      <c r="H42" s="120"/>
      <c r="I42" s="120"/>
      <c r="M42" s="43">
        <v>25</v>
      </c>
    </row>
    <row r="43" ht="22.5" hidden="1" customHeight="1" spans="1:13">
      <c r="A43" s="39" t="s">
        <v>83</v>
      </c>
      <c r="B43" s="38">
        <v>0</v>
      </c>
      <c r="C43" s="41">
        <v>3</v>
      </c>
      <c r="D43" s="43">
        <v>6</v>
      </c>
      <c r="E43" s="43">
        <v>63</v>
      </c>
      <c r="F43" s="43">
        <v>0</v>
      </c>
      <c r="G43" s="43">
        <v>35</v>
      </c>
      <c r="H43" s="43">
        <v>35</v>
      </c>
      <c r="I43" s="43">
        <v>91</v>
      </c>
      <c r="J43" s="43">
        <v>68</v>
      </c>
      <c r="K43" s="151">
        <v>10</v>
      </c>
      <c r="L43" s="151">
        <v>10</v>
      </c>
      <c r="M43" s="43">
        <v>23</v>
      </c>
    </row>
  </sheetData>
  <sheetProtection formatColumns="0" formatRows="0" insertRows="0" deleteColumns="0" deleteRows="0" sort="0" autoFilter="0"/>
  <mergeCells count="17">
    <mergeCell ref="D14:H14"/>
    <mergeCell ref="D15:H15"/>
    <mergeCell ref="D18:H18"/>
    <mergeCell ref="E21:H21"/>
    <mergeCell ref="E25:H25"/>
    <mergeCell ref="E28:H28"/>
    <mergeCell ref="E31:H31"/>
    <mergeCell ref="E32:H32"/>
    <mergeCell ref="E35:H35"/>
    <mergeCell ref="E38:H38"/>
    <mergeCell ref="E42:I42"/>
    <mergeCell ref="I18:I19"/>
    <mergeCell ref="I26:I27"/>
    <mergeCell ref="I29:I30"/>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E2 I2 E4 G4 I4 E6 G6 I6 E8 G8 I8 E10 I10 E23 G23 E26 I26 E29 G29 I29 E33 G33 I33 E36 G36 I36 E39 I39 I23:I2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 H26 H23:H24">
      <formula1>900</formula1>
    </dataValidation>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showDropDown="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paperSize="1"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H332"/>
  <sheetViews>
    <sheetView showGridLines="0" zoomScale="90" zoomScaleNormal="90" workbookViewId="0">
      <pane xSplit="7" ySplit="21" topLeftCell="H22" activePane="bottomRight" state="frozen"/>
      <selection/>
      <selection pane="topRight"/>
      <selection pane="bottomLeft"/>
      <selection pane="bottomRight" activeCell="A1" sqref="A1"/>
    </sheetView>
  </sheetViews>
  <sheetFormatPr defaultColWidth="10.5714285714286" defaultRowHeight="14.25" customHeight="1"/>
  <cols>
    <col min="1" max="2" width="25.1428571428571" style="788" hidden="1" customWidth="1"/>
    <col min="3" max="3" width="9.14285714285714" style="789" hidden="1" customWidth="1"/>
    <col min="4" max="4" width="3" style="41" customWidth="1"/>
    <col min="5" max="5" width="6" style="43" customWidth="1"/>
    <col min="6" max="6" width="46.7142857142857" style="43" customWidth="1"/>
    <col min="7" max="7" width="35" style="43" customWidth="1"/>
    <col min="8" max="8" width="3" style="43" customWidth="1"/>
    <col min="9" max="10" width="11" style="43" customWidth="1"/>
    <col min="11" max="12" width="35" style="43" customWidth="1"/>
    <col min="13" max="13" width="84" style="43" customWidth="1"/>
    <col min="14" max="14" width="10" style="43" customWidth="1"/>
    <col min="15" max="16" width="10" style="151" customWidth="1"/>
    <col min="17" max="33" width="10" style="43" customWidth="1"/>
    <col min="34" max="34" width="10.5714285714286" style="43" hidden="1"/>
  </cols>
  <sheetData>
    <row r="1" s="43" customFormat="1" ht="22.5" hidden="1" customHeight="1" spans="1:34">
      <c r="A1" s="788"/>
      <c r="B1" s="788"/>
      <c r="C1" s="789"/>
      <c r="D1" s="41"/>
      <c r="N1" s="44">
        <f>IFERROR(MATCH("метод экономически обоснованных расходов (затрат)",OFFER_METHOD,0),0)</f>
        <v>0</v>
      </c>
      <c r="O1" s="151"/>
      <c r="P1" s="151"/>
      <c r="T1" s="589"/>
      <c r="AG1" s="787"/>
      <c r="AH1" s="43" t="s">
        <v>14</v>
      </c>
    </row>
    <row r="2" s="43" customFormat="1" ht="18.75" hidden="1" customHeight="1" spans="1:34">
      <c r="A2" s="81" t="s">
        <v>153</v>
      </c>
      <c r="B2" s="81" t="s">
        <v>154</v>
      </c>
      <c r="C2" s="789"/>
      <c r="D2" s="41"/>
      <c r="E2" s="70"/>
      <c r="F2" s="70"/>
      <c r="G2" s="790" t="str">
        <f>INDEX(PT_DIFFERENTIATION_NTAR,MATCH(B2,PT_DIFFERENTIATION_NTAR_ID,0))</f>
        <v/>
      </c>
      <c r="H2" s="133"/>
      <c r="I2" s="803"/>
      <c r="J2" s="804"/>
      <c r="K2" s="96"/>
      <c r="L2" s="133" t="s">
        <v>302</v>
      </c>
      <c r="M2" s="805"/>
      <c r="N2" s="806"/>
      <c r="O2" s="151"/>
      <c r="P2" s="151"/>
      <c r="AH2" s="43">
        <v>0</v>
      </c>
    </row>
    <row r="3" s="43" customFormat="1" ht="18.75" hidden="1" customHeight="1" spans="1:34">
      <c r="A3" s="81"/>
      <c r="B3" s="81"/>
      <c r="C3" s="789" t="s">
        <v>1352</v>
      </c>
      <c r="D3" s="41"/>
      <c r="E3" s="70"/>
      <c r="F3" s="70"/>
      <c r="G3" s="790"/>
      <c r="H3" s="601"/>
      <c r="I3" s="332" t="s">
        <v>1353</v>
      </c>
      <c r="J3" s="780"/>
      <c r="K3" s="601"/>
      <c r="L3" s="580"/>
      <c r="M3" s="805"/>
      <c r="N3" s="806"/>
      <c r="O3" s="151"/>
      <c r="P3" s="151"/>
      <c r="AH3" s="43">
        <v>0</v>
      </c>
    </row>
    <row r="4" s="43" customFormat="1" hidden="1" customHeight="1" spans="1:34">
      <c r="A4" s="788"/>
      <c r="B4" s="788"/>
      <c r="C4" s="789"/>
      <c r="D4" s="41"/>
      <c r="N4" s="44">
        <f>IFERROR(MATCH("метод экономически обоснованных расходов (затрат)",OFFER_METHOD,0),0)</f>
        <v>0</v>
      </c>
      <c r="O4" s="151"/>
      <c r="P4" s="151"/>
      <c r="T4" s="589"/>
      <c r="AG4" s="787"/>
      <c r="AH4" s="43">
        <v>0</v>
      </c>
    </row>
    <row r="5" s="43" customFormat="1" ht="18.75" hidden="1" customHeight="1" spans="1:34">
      <c r="A5" s="81" t="s">
        <v>153</v>
      </c>
      <c r="B5" s="81" t="s">
        <v>154</v>
      </c>
      <c r="C5" s="789"/>
      <c r="D5" s="41"/>
      <c r="E5" s="70"/>
      <c r="F5" s="70"/>
      <c r="G5" s="790" t="str">
        <f>INDEX(PT_DIFFERENTIATION_NTAR,MATCH(B5,PT_DIFFERENTIATION_NTAR_ID,0))</f>
        <v/>
      </c>
      <c r="H5" s="133"/>
      <c r="I5" s="803"/>
      <c r="J5" s="804"/>
      <c r="K5" s="263"/>
      <c r="L5" s="133" t="s">
        <v>302</v>
      </c>
      <c r="M5" s="805"/>
      <c r="N5" s="806"/>
      <c r="O5" s="151"/>
      <c r="P5" s="151"/>
      <c r="AH5" s="43">
        <v>0</v>
      </c>
    </row>
    <row r="6" s="43" customFormat="1" ht="18.75" hidden="1" customHeight="1" spans="1:34">
      <c r="A6" s="81"/>
      <c r="B6" s="81"/>
      <c r="C6" s="789" t="s">
        <v>1354</v>
      </c>
      <c r="D6" s="41"/>
      <c r="E6" s="70"/>
      <c r="F6" s="70"/>
      <c r="G6" s="790"/>
      <c r="H6" s="601"/>
      <c r="I6" s="332" t="s">
        <v>1353</v>
      </c>
      <c r="J6" s="780"/>
      <c r="K6" s="601"/>
      <c r="L6" s="580"/>
      <c r="M6" s="805"/>
      <c r="N6" s="806"/>
      <c r="O6" s="151"/>
      <c r="P6" s="151"/>
      <c r="AH6" s="43">
        <v>0</v>
      </c>
    </row>
    <row r="7" s="43" customFormat="1" hidden="1" customHeight="1" spans="1:34">
      <c r="A7" s="788"/>
      <c r="B7" s="788"/>
      <c r="C7" s="789"/>
      <c r="D7" s="41"/>
      <c r="N7" s="44">
        <f>IFERROR(MATCH("метод экономически обоснованных расходов (затрат)",OFFER_METHOD,0),0)</f>
        <v>0</v>
      </c>
      <c r="O7" s="151"/>
      <c r="P7" s="151"/>
      <c r="T7" s="589"/>
      <c r="AG7" s="787"/>
      <c r="AH7" s="43">
        <v>0</v>
      </c>
    </row>
    <row r="8" s="43" customFormat="1" ht="56.25" hidden="1" customHeight="1" spans="1:34">
      <c r="A8" s="81"/>
      <c r="B8" s="81"/>
      <c r="C8" s="789"/>
      <c r="D8" s="41"/>
      <c r="E8" s="70"/>
      <c r="F8" s="70"/>
      <c r="G8" s="70"/>
      <c r="H8" s="133"/>
      <c r="I8" s="803"/>
      <c r="J8" s="804"/>
      <c r="K8" s="96"/>
      <c r="L8" s="133" t="s">
        <v>302</v>
      </c>
      <c r="M8" s="805"/>
      <c r="N8" s="806"/>
      <c r="O8" s="151"/>
      <c r="P8" s="151"/>
      <c r="AH8" s="43">
        <v>0</v>
      </c>
    </row>
    <row r="9" hidden="1" customHeight="1" spans="20:34">
      <c r="T9" s="589"/>
      <c r="AG9" s="787"/>
      <c r="AH9" s="43">
        <v>0</v>
      </c>
    </row>
    <row r="10" s="43" customFormat="1" ht="56.25" hidden="1" customHeight="1" spans="1:34">
      <c r="A10" s="81"/>
      <c r="B10" s="81"/>
      <c r="C10" s="789"/>
      <c r="D10" s="41"/>
      <c r="E10" s="70"/>
      <c r="F10" s="70"/>
      <c r="G10" s="70"/>
      <c r="H10" s="131"/>
      <c r="I10" s="803"/>
      <c r="J10" s="804"/>
      <c r="K10" s="263"/>
      <c r="L10" s="133" t="s">
        <v>302</v>
      </c>
      <c r="M10" s="805"/>
      <c r="N10" s="806"/>
      <c r="O10" s="151"/>
      <c r="P10" s="151"/>
      <c r="AH10" s="43">
        <v>0</v>
      </c>
    </row>
    <row r="11" hidden="1" customHeight="1" spans="34:34">
      <c r="AH11" s="43">
        <v>0</v>
      </c>
    </row>
    <row r="12" hidden="1" customHeight="1" spans="34:34">
      <c r="AH12" s="43">
        <v>0</v>
      </c>
    </row>
    <row r="13" ht="6.3" customHeight="1" spans="4:34">
      <c r="D13" s="51"/>
      <c r="E13" s="53"/>
      <c r="F13" s="53"/>
      <c r="G13" s="53"/>
      <c r="H13" s="53"/>
      <c r="I13" s="53"/>
      <c r="J13" s="53"/>
      <c r="K13" s="53"/>
      <c r="L13" s="771"/>
      <c r="M13" s="771"/>
      <c r="AH13" s="43">
        <v>6</v>
      </c>
    </row>
    <row r="14" ht="14.7" customHeight="1" spans="4:34">
      <c r="D14" s="51"/>
      <c r="E14" s="79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791"/>
      <c r="G14" s="791"/>
      <c r="H14" s="791"/>
      <c r="I14" s="791"/>
      <c r="J14" s="791"/>
      <c r="K14" s="791"/>
      <c r="L14" s="791"/>
      <c r="M14" s="121"/>
      <c r="AH14" s="43">
        <v>14</v>
      </c>
    </row>
    <row r="15" ht="6.3" customHeight="1" spans="4:34">
      <c r="D15" s="51"/>
      <c r="E15" s="53"/>
      <c r="F15" s="662"/>
      <c r="G15" s="662"/>
      <c r="H15" s="662"/>
      <c r="I15" s="662"/>
      <c r="J15" s="662"/>
      <c r="K15" s="662"/>
      <c r="L15" s="56"/>
      <c r="M15" s="777"/>
      <c r="AH15" s="43">
        <v>6</v>
      </c>
    </row>
    <row r="16" ht="24" customHeight="1" spans="4:34">
      <c r="D16" s="51"/>
      <c r="E16" s="53"/>
      <c r="F16" s="792" t="str">
        <f>"Дата подачи заявления об "&amp;IF(TITLE_DATE_PR_CHANGE="","утверждении","изменении")&amp;" тарифов"</f>
        <v>Дата подачи заявления об утверждении тарифов</v>
      </c>
      <c r="G16" s="793" t="str">
        <f>IF(TITLE_DATE_PR_CHANGE="",IF(TITLE_DATE_PR="","",TITLE_DATE_PR),TITLE_DATE_PR_CHANGE)</f>
        <v/>
      </c>
      <c r="H16" s="793"/>
      <c r="I16" s="793"/>
      <c r="J16" s="793"/>
      <c r="K16" s="793"/>
      <c r="L16" s="793"/>
      <c r="M16" s="806"/>
      <c r="AH16" s="43">
        <v>23</v>
      </c>
    </row>
    <row r="17" ht="24" customHeight="1" spans="4:34">
      <c r="D17" s="51"/>
      <c r="E17" s="53"/>
      <c r="F17" s="792" t="str">
        <f>"Номер подачи заявления об "&amp;IF(TITLE_DATE_PR_CHANGE="","утверждении","изменении")&amp;" тарифов"</f>
        <v>Номер подачи заявления об утверждении тарифов</v>
      </c>
      <c r="G17" s="60" t="str">
        <f>IF(TITLE_NUMBER_PR_CHANGE="",IF(TITLE_NUMBER_PR="","",TITLE_NUMBER_PR),TITLE_NUMBER_PR_CHANGE)</f>
        <v/>
      </c>
      <c r="H17" s="60"/>
      <c r="I17" s="60"/>
      <c r="J17" s="60"/>
      <c r="K17" s="60"/>
      <c r="L17" s="60"/>
      <c r="M17" s="806"/>
      <c r="AH17" s="43">
        <v>23</v>
      </c>
    </row>
    <row r="18" ht="14.7" customHeight="1" spans="4:34">
      <c r="D18" s="51"/>
      <c r="E18" s="53"/>
      <c r="F18" s="662"/>
      <c r="G18" s="662"/>
      <c r="H18" s="662"/>
      <c r="I18" s="662"/>
      <c r="J18" s="662"/>
      <c r="K18" s="662"/>
      <c r="L18" s="577"/>
      <c r="M18" s="777"/>
      <c r="AH18" s="43">
        <v>14</v>
      </c>
    </row>
    <row r="19" ht="22.05" customHeight="1" spans="4:34">
      <c r="D19" s="51"/>
      <c r="E19" s="66" t="s">
        <v>296</v>
      </c>
      <c r="F19" s="66"/>
      <c r="G19" s="66"/>
      <c r="H19" s="66"/>
      <c r="I19" s="66"/>
      <c r="J19" s="66"/>
      <c r="K19" s="66"/>
      <c r="L19" s="66"/>
      <c r="M19" s="212" t="s">
        <v>297</v>
      </c>
      <c r="AH19" s="43">
        <v>21</v>
      </c>
    </row>
    <row r="20" ht="22.05" customHeight="1" spans="4:34">
      <c r="D20" s="51"/>
      <c r="E20" s="124" t="s">
        <v>89</v>
      </c>
      <c r="F20" s="469" t="s">
        <v>120</v>
      </c>
      <c r="G20" s="469" t="s">
        <v>121</v>
      </c>
      <c r="H20" s="257" t="s">
        <v>1355</v>
      </c>
      <c r="I20" s="807"/>
      <c r="J20" s="808"/>
      <c r="K20" s="469" t="s">
        <v>299</v>
      </c>
      <c r="L20" s="469" t="s">
        <v>386</v>
      </c>
      <c r="M20" s="212"/>
      <c r="AH20" s="43">
        <v>21</v>
      </c>
    </row>
    <row r="21" ht="22.05" customHeight="1" spans="4:34">
      <c r="D21" s="51"/>
      <c r="E21" s="134"/>
      <c r="F21" s="294"/>
      <c r="G21" s="294"/>
      <c r="H21" s="132" t="s">
        <v>1356</v>
      </c>
      <c r="I21" s="133"/>
      <c r="J21" s="131" t="s">
        <v>1357</v>
      </c>
      <c r="K21" s="294"/>
      <c r="L21" s="294"/>
      <c r="M21" s="212"/>
      <c r="AH21" s="43">
        <v>21</v>
      </c>
    </row>
    <row r="22" ht="12.75" customHeight="1" spans="4:34">
      <c r="D22" s="51"/>
      <c r="E22" s="567"/>
      <c r="F22" s="567"/>
      <c r="G22" s="567"/>
      <c r="H22" s="794"/>
      <c r="I22" s="794"/>
      <c r="J22" s="567"/>
      <c r="K22" s="567"/>
      <c r="L22" s="567"/>
      <c r="M22" s="567"/>
      <c r="AH22" s="43">
        <v>12</v>
      </c>
    </row>
    <row r="23" ht="19.95" customHeight="1" spans="1:34">
      <c r="A23" s="81"/>
      <c r="B23" s="81"/>
      <c r="D23" s="51"/>
      <c r="E23" s="795" t="s">
        <v>107</v>
      </c>
      <c r="F23" s="796" t="str">
        <f>"Предлагаемый метод регулирования"&amp;IF(TEMPLATE_SPHERE="HEAT"," в сфере "&amp;TEMPLATE_SPHERE_RUS,"")</f>
        <v>Предлагаемый метод регулирования в сфере теплоснабжения</v>
      </c>
      <c r="G23" s="796"/>
      <c r="H23" s="467"/>
      <c r="I23" s="467"/>
      <c r="J23" s="467"/>
      <c r="K23" s="796" t="s">
        <v>302</v>
      </c>
      <c r="L23" s="467"/>
      <c r="M23" s="393"/>
      <c r="N23" s="806"/>
      <c r="AH23" s="43">
        <v>19</v>
      </c>
    </row>
    <row r="24" ht="60.75" hidden="1" customHeight="1" spans="1:34">
      <c r="A24" s="81" t="s">
        <v>153</v>
      </c>
      <c r="B24" s="81" t="s">
        <v>154</v>
      </c>
      <c r="D24" s="797"/>
      <c r="E24" s="295"/>
      <c r="F24" s="7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790" t="str">
        <f>INDEX(PT_DIFFERENTIATION_NTAR,MATCH(B24,PT_DIFFERENTIATION_NTAR_ID,0))</f>
        <v/>
      </c>
      <c r="H24" s="133"/>
      <c r="I24" s="803"/>
      <c r="J24" s="804"/>
      <c r="K24" s="96"/>
      <c r="L24" s="133" t="s">
        <v>302</v>
      </c>
      <c r="M24" s="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06"/>
      <c r="AH24" s="43">
        <v>0</v>
      </c>
    </row>
    <row r="25" s="43" customFormat="1" ht="18.75" hidden="1" customHeight="1" spans="1:34">
      <c r="A25" s="81"/>
      <c r="B25" s="81"/>
      <c r="C25" s="789" t="s">
        <v>1352</v>
      </c>
      <c r="D25" s="797"/>
      <c r="E25" s="295"/>
      <c r="F25" s="798"/>
      <c r="G25" s="790"/>
      <c r="H25" s="601"/>
      <c r="I25" s="332" t="s">
        <v>1353</v>
      </c>
      <c r="J25" s="780"/>
      <c r="K25" s="601"/>
      <c r="L25" s="580"/>
      <c r="M25" s="779"/>
      <c r="N25" s="806"/>
      <c r="O25" s="151"/>
      <c r="P25" s="151"/>
      <c r="AH25" s="43">
        <v>0</v>
      </c>
    </row>
    <row r="26" ht="0.75" hidden="1" customHeight="1" spans="1:34">
      <c r="A26" s="81"/>
      <c r="B26" s="81"/>
      <c r="C26" s="789" t="s">
        <v>1358</v>
      </c>
      <c r="D26" s="797"/>
      <c r="E26" s="295"/>
      <c r="F26" s="327"/>
      <c r="G26" s="799"/>
      <c r="H26" s="601"/>
      <c r="I26" s="332"/>
      <c r="J26" s="780"/>
      <c r="K26" s="601"/>
      <c r="L26" s="580"/>
      <c r="M26" s="779"/>
      <c r="N26" s="806"/>
      <c r="AH26" s="43">
        <v>0</v>
      </c>
    </row>
    <row r="27" s="43" customFormat="1" ht="45" hidden="1" customHeight="1" spans="1:34">
      <c r="A27" s="81" t="s">
        <v>158</v>
      </c>
      <c r="B27" s="81" t="s">
        <v>159</v>
      </c>
      <c r="C27" s="789"/>
      <c r="D27" s="800"/>
      <c r="E27" s="801"/>
      <c r="F27" s="802" t="str">
        <f>INDEX(PT_DIFFERENTIATION_VTAR,MATCH(A27,PT_DIFFERENTIATION_VTAR_ID,0))</f>
        <v/>
      </c>
      <c r="G27" s="790" t="str">
        <f>INDEX(PT_DIFFERENTIATION_NTAR,MATCH(B27,PT_DIFFERENTIATION_NTAR_ID,0))</f>
        <v/>
      </c>
      <c r="H27" s="133"/>
      <c r="I27" s="803"/>
      <c r="J27" s="804"/>
      <c r="K27" s="96"/>
      <c r="L27" s="133" t="s">
        <v>302</v>
      </c>
      <c r="M27" s="779"/>
      <c r="N27" s="806"/>
      <c r="O27" s="151"/>
      <c r="P27" s="151"/>
      <c r="AH27" s="43">
        <v>0</v>
      </c>
    </row>
    <row r="28" s="43" customFormat="1" ht="18.75" hidden="1" customHeight="1" spans="1:34">
      <c r="A28" s="81"/>
      <c r="B28" s="81"/>
      <c r="C28" s="789" t="s">
        <v>1352</v>
      </c>
      <c r="D28" s="800"/>
      <c r="E28" s="801"/>
      <c r="F28" s="802"/>
      <c r="G28" s="790"/>
      <c r="H28" s="601"/>
      <c r="I28" s="332" t="s">
        <v>1353</v>
      </c>
      <c r="J28" s="780"/>
      <c r="K28" s="601"/>
      <c r="L28" s="580"/>
      <c r="M28" s="779"/>
      <c r="N28" s="806"/>
      <c r="O28" s="151"/>
      <c r="P28" s="151"/>
      <c r="AH28" s="43">
        <v>0</v>
      </c>
    </row>
    <row r="29" s="43" customFormat="1" ht="0.75" hidden="1" customHeight="1" spans="1:34">
      <c r="A29" s="81"/>
      <c r="B29" s="81"/>
      <c r="C29" s="789" t="s">
        <v>1358</v>
      </c>
      <c r="D29" s="800"/>
      <c r="E29" s="295"/>
      <c r="F29" s="327"/>
      <c r="G29" s="799"/>
      <c r="H29" s="601"/>
      <c r="I29" s="332"/>
      <c r="J29" s="780"/>
      <c r="K29" s="601"/>
      <c r="L29" s="580"/>
      <c r="M29" s="779"/>
      <c r="N29" s="806"/>
      <c r="O29" s="151"/>
      <c r="P29" s="151"/>
      <c r="AH29" s="43">
        <v>0</v>
      </c>
    </row>
    <row r="30" s="43" customFormat="1" ht="45" hidden="1" customHeight="1" spans="1:34">
      <c r="A30" s="81" t="s">
        <v>165</v>
      </c>
      <c r="B30" s="81" t="s">
        <v>166</v>
      </c>
      <c r="C30" s="789"/>
      <c r="D30" s="800"/>
      <c r="E30" s="295"/>
      <c r="F30" s="32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790" t="str">
        <f>INDEX(PT_DIFFERENTIATION_NTAR,MATCH(B30,PT_DIFFERENTIATION_NTAR_ID,0))</f>
        <v/>
      </c>
      <c r="H30" s="133"/>
      <c r="I30" s="803"/>
      <c r="J30" s="804"/>
      <c r="K30" s="96"/>
      <c r="L30" s="133" t="s">
        <v>302</v>
      </c>
      <c r="M30" s="779"/>
      <c r="N30" s="806"/>
      <c r="O30" s="151"/>
      <c r="P30" s="151"/>
      <c r="AH30" s="43">
        <v>0</v>
      </c>
    </row>
    <row r="31" s="43" customFormat="1" ht="18.75" hidden="1" customHeight="1" spans="1:34">
      <c r="A31" s="81"/>
      <c r="B31" s="81"/>
      <c r="C31" s="789" t="s">
        <v>1352</v>
      </c>
      <c r="D31" s="800"/>
      <c r="E31" s="295"/>
      <c r="F31" s="327"/>
      <c r="G31" s="790"/>
      <c r="H31" s="601"/>
      <c r="I31" s="332" t="s">
        <v>1353</v>
      </c>
      <c r="J31" s="780"/>
      <c r="K31" s="601"/>
      <c r="L31" s="580"/>
      <c r="M31" s="779"/>
      <c r="N31" s="806"/>
      <c r="O31" s="151"/>
      <c r="P31" s="151"/>
      <c r="AH31" s="43">
        <v>0</v>
      </c>
    </row>
    <row r="32" s="43" customFormat="1" ht="0.75" hidden="1" customHeight="1" spans="1:34">
      <c r="A32" s="81"/>
      <c r="B32" s="81"/>
      <c r="C32" s="789" t="s">
        <v>1358</v>
      </c>
      <c r="D32" s="800"/>
      <c r="E32" s="295"/>
      <c r="F32" s="327"/>
      <c r="G32" s="799"/>
      <c r="H32" s="601"/>
      <c r="I32" s="332"/>
      <c r="J32" s="780"/>
      <c r="K32" s="601"/>
      <c r="L32" s="580"/>
      <c r="M32" s="779"/>
      <c r="N32" s="806"/>
      <c r="O32" s="151"/>
      <c r="P32" s="151"/>
      <c r="AH32" s="43">
        <v>0</v>
      </c>
    </row>
    <row r="33" s="43" customFormat="1" ht="45" hidden="1" customHeight="1" spans="1:34">
      <c r="A33" s="81" t="s">
        <v>171</v>
      </c>
      <c r="B33" s="81" t="s">
        <v>172</v>
      </c>
      <c r="C33" s="789"/>
      <c r="D33" s="800"/>
      <c r="E33" s="295"/>
      <c r="F33" s="32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790" t="str">
        <f>INDEX(PT_DIFFERENTIATION_NTAR,MATCH(B33,PT_DIFFERENTIATION_NTAR_ID,0))</f>
        <v/>
      </c>
      <c r="H33" s="133"/>
      <c r="I33" s="803"/>
      <c r="J33" s="804"/>
      <c r="K33" s="96"/>
      <c r="L33" s="133" t="s">
        <v>302</v>
      </c>
      <c r="M33" s="779"/>
      <c r="N33" s="806"/>
      <c r="O33" s="151"/>
      <c r="P33" s="151"/>
      <c r="AH33" s="43">
        <v>0</v>
      </c>
    </row>
    <row r="34" s="43" customFormat="1" ht="18.75" hidden="1" customHeight="1" spans="1:34">
      <c r="A34" s="81"/>
      <c r="B34" s="81"/>
      <c r="C34" s="789" t="s">
        <v>1352</v>
      </c>
      <c r="D34" s="800"/>
      <c r="E34" s="295"/>
      <c r="F34" s="327"/>
      <c r="G34" s="790"/>
      <c r="H34" s="601"/>
      <c r="I34" s="332" t="s">
        <v>1353</v>
      </c>
      <c r="J34" s="780"/>
      <c r="K34" s="601"/>
      <c r="L34" s="580"/>
      <c r="M34" s="779"/>
      <c r="N34" s="806"/>
      <c r="O34" s="151"/>
      <c r="P34" s="151"/>
      <c r="AH34" s="43">
        <v>0</v>
      </c>
    </row>
    <row r="35" s="43" customFormat="1" ht="0.75" hidden="1" customHeight="1" spans="1:34">
      <c r="A35" s="81"/>
      <c r="B35" s="81"/>
      <c r="C35" s="789" t="s">
        <v>1358</v>
      </c>
      <c r="D35" s="800"/>
      <c r="E35" s="295"/>
      <c r="F35" s="327"/>
      <c r="G35" s="799"/>
      <c r="H35" s="601"/>
      <c r="I35" s="332"/>
      <c r="J35" s="780"/>
      <c r="K35" s="601"/>
      <c r="L35" s="580"/>
      <c r="M35" s="779"/>
      <c r="N35" s="806"/>
      <c r="O35" s="151"/>
      <c r="P35" s="151"/>
      <c r="AH35" s="43">
        <v>0</v>
      </c>
    </row>
    <row r="36" s="43" customFormat="1" ht="18.75" hidden="1" customHeight="1" spans="1:34">
      <c r="A36" s="81" t="s">
        <v>177</v>
      </c>
      <c r="B36" s="81" t="s">
        <v>178</v>
      </c>
      <c r="C36" s="789"/>
      <c r="D36" s="800"/>
      <c r="E36" s="295"/>
      <c r="F36" s="327" t="str">
        <f>INDEX(PT_DIFFERENTIATION_VTAR,MATCH(A36,PT_DIFFERENTIATION_VTAR_ID,0))</f>
        <v>Тарифы на услуги по передаче тепловой энергии</v>
      </c>
      <c r="G36" s="790" t="str">
        <f>INDEX(PT_DIFFERENTIATION_NTAR,MATCH(B36,PT_DIFFERENTIATION_NTAR_ID,0))</f>
        <v/>
      </c>
      <c r="H36" s="133"/>
      <c r="I36" s="803"/>
      <c r="J36" s="804"/>
      <c r="K36" s="96"/>
      <c r="L36" s="133" t="s">
        <v>302</v>
      </c>
      <c r="M36" s="779"/>
      <c r="N36" s="806"/>
      <c r="O36" s="151"/>
      <c r="P36" s="151"/>
      <c r="AH36" s="43">
        <v>0</v>
      </c>
    </row>
    <row r="37" s="43" customFormat="1" ht="18.75" hidden="1" customHeight="1" spans="1:34">
      <c r="A37" s="81"/>
      <c r="B37" s="81"/>
      <c r="C37" s="789" t="s">
        <v>1352</v>
      </c>
      <c r="D37" s="800"/>
      <c r="E37" s="295"/>
      <c r="F37" s="327"/>
      <c r="G37" s="790"/>
      <c r="H37" s="601"/>
      <c r="I37" s="332" t="s">
        <v>1353</v>
      </c>
      <c r="J37" s="780"/>
      <c r="K37" s="601"/>
      <c r="L37" s="580"/>
      <c r="M37" s="779"/>
      <c r="N37" s="806"/>
      <c r="O37" s="151"/>
      <c r="P37" s="151"/>
      <c r="AH37" s="43">
        <v>0</v>
      </c>
    </row>
    <row r="38" s="43" customFormat="1" ht="0.75" hidden="1" customHeight="1" spans="1:34">
      <c r="A38" s="81"/>
      <c r="B38" s="81"/>
      <c r="C38" s="789" t="s">
        <v>1358</v>
      </c>
      <c r="D38" s="800"/>
      <c r="E38" s="295"/>
      <c r="F38" s="327"/>
      <c r="G38" s="799"/>
      <c r="H38" s="601"/>
      <c r="I38" s="332"/>
      <c r="J38" s="780"/>
      <c r="K38" s="601"/>
      <c r="L38" s="580"/>
      <c r="M38" s="779"/>
      <c r="N38" s="806"/>
      <c r="O38" s="151"/>
      <c r="P38" s="151"/>
      <c r="AH38" s="43">
        <v>0</v>
      </c>
    </row>
    <row r="39" s="43" customFormat="1" ht="18.75" hidden="1" customHeight="1" spans="1:34">
      <c r="A39" s="81" t="s">
        <v>183</v>
      </c>
      <c r="B39" s="81" t="s">
        <v>184</v>
      </c>
      <c r="C39" s="789"/>
      <c r="D39" s="800"/>
      <c r="E39" s="295"/>
      <c r="F39" s="327" t="str">
        <f>INDEX(PT_DIFFERENTIATION_VTAR,MATCH(A39,PT_DIFFERENTIATION_VTAR_ID,0))</f>
        <v>Тарифы на услуги по передаче теплоносителя</v>
      </c>
      <c r="G39" s="790" t="str">
        <f>INDEX(PT_DIFFERENTIATION_NTAR,MATCH(B39,PT_DIFFERENTIATION_NTAR_ID,0))</f>
        <v/>
      </c>
      <c r="H39" s="133"/>
      <c r="I39" s="803"/>
      <c r="J39" s="804"/>
      <c r="K39" s="96"/>
      <c r="L39" s="133" t="s">
        <v>302</v>
      </c>
      <c r="M39" s="779"/>
      <c r="N39" s="806"/>
      <c r="O39" s="151"/>
      <c r="P39" s="151"/>
      <c r="AH39" s="43">
        <v>0</v>
      </c>
    </row>
    <row r="40" s="43" customFormat="1" ht="18.75" hidden="1" customHeight="1" spans="1:34">
      <c r="A40" s="81"/>
      <c r="B40" s="81"/>
      <c r="C40" s="789" t="s">
        <v>1352</v>
      </c>
      <c r="D40" s="800"/>
      <c r="E40" s="295"/>
      <c r="F40" s="327"/>
      <c r="G40" s="790"/>
      <c r="H40" s="601"/>
      <c r="I40" s="332" t="s">
        <v>1353</v>
      </c>
      <c r="J40" s="780"/>
      <c r="K40" s="601"/>
      <c r="L40" s="580"/>
      <c r="M40" s="779"/>
      <c r="N40" s="806"/>
      <c r="O40" s="151"/>
      <c r="P40" s="151"/>
      <c r="AH40" s="43">
        <v>0</v>
      </c>
    </row>
    <row r="41" s="43" customFormat="1" ht="0.75" hidden="1" customHeight="1" spans="1:34">
      <c r="A41" s="81"/>
      <c r="B41" s="81"/>
      <c r="C41" s="789" t="s">
        <v>1358</v>
      </c>
      <c r="D41" s="800"/>
      <c r="E41" s="295"/>
      <c r="F41" s="327"/>
      <c r="G41" s="799"/>
      <c r="H41" s="601"/>
      <c r="I41" s="332"/>
      <c r="J41" s="780"/>
      <c r="K41" s="601"/>
      <c r="L41" s="580"/>
      <c r="M41" s="779"/>
      <c r="N41" s="806"/>
      <c r="O41" s="151"/>
      <c r="P41" s="151"/>
      <c r="AH41" s="43">
        <v>0</v>
      </c>
    </row>
    <row r="42" s="43" customFormat="1" ht="18.75" hidden="1" customHeight="1" spans="1:34">
      <c r="A42" s="81" t="s">
        <v>189</v>
      </c>
      <c r="B42" s="81" t="s">
        <v>190</v>
      </c>
      <c r="C42" s="789"/>
      <c r="D42" s="800"/>
      <c r="E42" s="295"/>
      <c r="F42" s="327" t="str">
        <f>INDEX(PT_DIFFERENTIATION_VTAR,MATCH(A42,PT_DIFFERENTIATION_VTAR_ID,0))</f>
        <v>Плата за услуги по поддержанию резервной тепловой мощности при отсутствии потребления тепловой энергии</v>
      </c>
      <c r="G42" s="790" t="str">
        <f>INDEX(PT_DIFFERENTIATION_NTAR,MATCH(B42,PT_DIFFERENTIATION_NTAR_ID,0))</f>
        <v/>
      </c>
      <c r="H42" s="133"/>
      <c r="I42" s="803"/>
      <c r="J42" s="804"/>
      <c r="K42" s="96"/>
      <c r="L42" s="133" t="s">
        <v>302</v>
      </c>
      <c r="M42" s="779"/>
      <c r="N42" s="806"/>
      <c r="O42" s="151"/>
      <c r="P42" s="151"/>
      <c r="AH42" s="43">
        <v>0</v>
      </c>
    </row>
    <row r="43" s="43" customFormat="1" ht="18.75" hidden="1" customHeight="1" spans="1:34">
      <c r="A43" s="81"/>
      <c r="B43" s="81"/>
      <c r="C43" s="789" t="s">
        <v>1352</v>
      </c>
      <c r="D43" s="800"/>
      <c r="E43" s="295"/>
      <c r="F43" s="327"/>
      <c r="G43" s="790"/>
      <c r="H43" s="601"/>
      <c r="I43" s="332" t="s">
        <v>1353</v>
      </c>
      <c r="J43" s="780"/>
      <c r="K43" s="601"/>
      <c r="L43" s="580"/>
      <c r="M43" s="779"/>
      <c r="N43" s="806"/>
      <c r="O43" s="151"/>
      <c r="P43" s="151"/>
      <c r="AH43" s="43">
        <v>0</v>
      </c>
    </row>
    <row r="44" s="43" customFormat="1" ht="0.75" hidden="1" customHeight="1" spans="1:34">
      <c r="A44" s="81"/>
      <c r="B44" s="81"/>
      <c r="C44" s="789" t="s">
        <v>1358</v>
      </c>
      <c r="D44" s="800"/>
      <c r="E44" s="295"/>
      <c r="F44" s="327"/>
      <c r="G44" s="799"/>
      <c r="H44" s="601"/>
      <c r="I44" s="332"/>
      <c r="J44" s="780"/>
      <c r="K44" s="601"/>
      <c r="L44" s="580"/>
      <c r="M44" s="779"/>
      <c r="N44" s="806"/>
      <c r="O44" s="151"/>
      <c r="P44" s="151"/>
      <c r="AH44" s="43">
        <v>0</v>
      </c>
    </row>
    <row r="45" s="43" customFormat="1" ht="18.75" hidden="1" customHeight="1" spans="1:34">
      <c r="A45" s="81" t="s">
        <v>195</v>
      </c>
      <c r="B45" s="81" t="s">
        <v>196</v>
      </c>
      <c r="C45" s="789"/>
      <c r="D45" s="800"/>
      <c r="E45" s="295"/>
      <c r="F45" s="327" t="str">
        <f>INDEX(PT_DIFFERENTIATION_VTAR,MATCH(A45,PT_DIFFERENTIATION_VTAR_ID,0))</f>
        <v>Плата за подключение (технологическое присоединение) к системе теплоснабжения</v>
      </c>
      <c r="G45" s="790" t="str">
        <f>INDEX(PT_DIFFERENTIATION_NTAR,MATCH(B45,PT_DIFFERENTIATION_NTAR_ID,0))</f>
        <v/>
      </c>
      <c r="H45" s="133"/>
      <c r="I45" s="809"/>
      <c r="J45" s="810"/>
      <c r="K45" s="811"/>
      <c r="L45" s="133" t="s">
        <v>302</v>
      </c>
      <c r="M45" s="779"/>
      <c r="N45" s="806"/>
      <c r="O45" s="151"/>
      <c r="P45" s="151"/>
      <c r="AH45" s="43">
        <v>0</v>
      </c>
    </row>
    <row r="46" s="43" customFormat="1" ht="18.75" hidden="1" customHeight="1" spans="1:34">
      <c r="A46" s="81"/>
      <c r="B46" s="81"/>
      <c r="C46" s="789" t="s">
        <v>1352</v>
      </c>
      <c r="D46" s="800"/>
      <c r="E46" s="295"/>
      <c r="F46" s="327"/>
      <c r="G46" s="790"/>
      <c r="H46" s="601"/>
      <c r="I46" s="332" t="s">
        <v>1353</v>
      </c>
      <c r="J46" s="780"/>
      <c r="K46" s="601"/>
      <c r="L46" s="580"/>
      <c r="M46" s="779"/>
      <c r="N46" s="806"/>
      <c r="O46" s="151"/>
      <c r="P46" s="151"/>
      <c r="AH46" s="43">
        <v>0</v>
      </c>
    </row>
    <row r="47" s="43" customFormat="1" ht="0.75" hidden="1" customHeight="1" spans="1:34">
      <c r="A47" s="81"/>
      <c r="B47" s="81"/>
      <c r="C47" s="789" t="s">
        <v>1358</v>
      </c>
      <c r="D47" s="800"/>
      <c r="E47" s="295"/>
      <c r="F47" s="327"/>
      <c r="G47" s="799"/>
      <c r="H47" s="601"/>
      <c r="I47" s="332"/>
      <c r="J47" s="780"/>
      <c r="K47" s="601"/>
      <c r="L47" s="580"/>
      <c r="M47" s="779"/>
      <c r="N47" s="806"/>
      <c r="O47" s="151"/>
      <c r="P47" s="151"/>
      <c r="AH47" s="43">
        <v>0</v>
      </c>
    </row>
    <row r="48" s="43" customFormat="1" ht="18.75" hidden="1" customHeight="1" spans="1:34">
      <c r="A48" s="81" t="s">
        <v>201</v>
      </c>
      <c r="B48" s="81" t="s">
        <v>202</v>
      </c>
      <c r="C48" s="789"/>
      <c r="D48" s="800"/>
      <c r="E48" s="295"/>
      <c r="F48" s="327" t="str">
        <f>INDEX(PT_DIFFERENTIATION_VTAR,MATCH(A48,PT_DIFFERENTIATION_VTAR_ID,0))</f>
        <v>Плата за подключение (технологическое присоединение) к системе теплоснабжения (индивидуальная)</v>
      </c>
      <c r="G48" s="790" t="str">
        <f>INDEX(PT_DIFFERENTIATION_NTAR,MATCH(B48,PT_DIFFERENTIATION_NTAR_ID,0))</f>
        <v/>
      </c>
      <c r="H48" s="133"/>
      <c r="I48" s="809"/>
      <c r="J48" s="810"/>
      <c r="K48" s="811"/>
      <c r="L48" s="133" t="s">
        <v>302</v>
      </c>
      <c r="M48" s="779"/>
      <c r="N48" s="806"/>
      <c r="O48" s="151"/>
      <c r="P48" s="151"/>
      <c r="AH48" s="43">
        <v>0</v>
      </c>
    </row>
    <row r="49" s="43" customFormat="1" ht="18.75" hidden="1" customHeight="1" spans="1:34">
      <c r="A49" s="81"/>
      <c r="B49" s="81"/>
      <c r="C49" s="789" t="s">
        <v>1352</v>
      </c>
      <c r="D49" s="800"/>
      <c r="E49" s="295"/>
      <c r="F49" s="327"/>
      <c r="G49" s="790"/>
      <c r="H49" s="601"/>
      <c r="I49" s="332" t="s">
        <v>1353</v>
      </c>
      <c r="J49" s="780"/>
      <c r="K49" s="601"/>
      <c r="L49" s="580"/>
      <c r="M49" s="779"/>
      <c r="N49" s="806"/>
      <c r="O49" s="151"/>
      <c r="P49" s="151"/>
      <c r="AH49" s="43">
        <v>0</v>
      </c>
    </row>
    <row r="50" s="43" customFormat="1" ht="0.75" hidden="1" customHeight="1" spans="1:34">
      <c r="A50" s="81"/>
      <c r="B50" s="81"/>
      <c r="C50" s="789" t="s">
        <v>1358</v>
      </c>
      <c r="D50" s="800"/>
      <c r="E50" s="295"/>
      <c r="F50" s="327"/>
      <c r="G50" s="799"/>
      <c r="H50" s="601"/>
      <c r="I50" s="332"/>
      <c r="J50" s="780"/>
      <c r="K50" s="601"/>
      <c r="L50" s="580"/>
      <c r="M50" s="779"/>
      <c r="N50" s="806"/>
      <c r="O50" s="151"/>
      <c r="P50" s="151"/>
      <c r="AH50" s="43">
        <v>0</v>
      </c>
    </row>
    <row r="51" s="43" customFormat="1" ht="18.75" hidden="1" customHeight="1" spans="1:34">
      <c r="A51" s="81" t="s">
        <v>221</v>
      </c>
      <c r="B51" s="81" t="s">
        <v>222</v>
      </c>
      <c r="C51" s="789"/>
      <c r="D51" s="800"/>
      <c r="E51" s="295"/>
      <c r="F51" s="327" t="str">
        <f>INDEX(PT_DIFFERENTIATION_VTAR,MATCH(A51,PT_DIFFERENTIATION_VTAR_ID,0))</f>
        <v>Тариф на питьевую воду (питьевое водоснабжение)</v>
      </c>
      <c r="G51" s="790" t="str">
        <f>INDEX(PT_DIFFERENTIATION_NTAR,MATCH(B51,PT_DIFFERENTIATION_NTAR_ID,0))</f>
        <v/>
      </c>
      <c r="H51" s="133"/>
      <c r="I51" s="803"/>
      <c r="J51" s="804"/>
      <c r="K51" s="96"/>
      <c r="L51" s="133" t="s">
        <v>302</v>
      </c>
      <c r="M51" s="779"/>
      <c r="N51" s="806"/>
      <c r="O51" s="151"/>
      <c r="P51" s="151"/>
      <c r="AH51" s="43">
        <v>0</v>
      </c>
    </row>
    <row r="52" s="43" customFormat="1" ht="18.75" hidden="1" customHeight="1" spans="1:34">
      <c r="A52" s="81"/>
      <c r="B52" s="81"/>
      <c r="C52" s="789" t="s">
        <v>1352</v>
      </c>
      <c r="D52" s="800"/>
      <c r="E52" s="295"/>
      <c r="F52" s="327"/>
      <c r="G52" s="790"/>
      <c r="H52" s="601"/>
      <c r="I52" s="332" t="s">
        <v>1353</v>
      </c>
      <c r="J52" s="780"/>
      <c r="K52" s="601"/>
      <c r="L52" s="580"/>
      <c r="M52" s="779"/>
      <c r="N52" s="806"/>
      <c r="O52" s="151"/>
      <c r="P52" s="151"/>
      <c r="AH52" s="43">
        <v>0</v>
      </c>
    </row>
    <row r="53" s="43" customFormat="1" ht="0.75" hidden="1" customHeight="1" spans="1:34">
      <c r="A53" s="81"/>
      <c r="B53" s="81"/>
      <c r="C53" s="789" t="s">
        <v>1358</v>
      </c>
      <c r="D53" s="800"/>
      <c r="E53" s="295"/>
      <c r="F53" s="327"/>
      <c r="G53" s="799"/>
      <c r="H53" s="601"/>
      <c r="I53" s="332"/>
      <c r="J53" s="780"/>
      <c r="K53" s="601"/>
      <c r="L53" s="580"/>
      <c r="M53" s="779"/>
      <c r="N53" s="806"/>
      <c r="O53" s="151"/>
      <c r="P53" s="151"/>
      <c r="AH53" s="43">
        <v>0</v>
      </c>
    </row>
    <row r="54" s="43" customFormat="1" ht="18.75" hidden="1" customHeight="1" spans="1:34">
      <c r="A54" s="81" t="s">
        <v>226</v>
      </c>
      <c r="B54" s="81" t="s">
        <v>227</v>
      </c>
      <c r="C54" s="789"/>
      <c r="D54" s="800"/>
      <c r="E54" s="295"/>
      <c r="F54" s="327" t="str">
        <f>INDEX(PT_DIFFERENTIATION_VTAR,MATCH(A54,PT_DIFFERENTIATION_VTAR_ID,0))</f>
        <v>Тариф на техническую воду</v>
      </c>
      <c r="G54" s="790" t="str">
        <f>INDEX(PT_DIFFERENTIATION_NTAR,MATCH(B54,PT_DIFFERENTIATION_NTAR_ID,0))</f>
        <v/>
      </c>
      <c r="H54" s="133"/>
      <c r="I54" s="803"/>
      <c r="J54" s="804"/>
      <c r="K54" s="96"/>
      <c r="L54" s="133" t="s">
        <v>302</v>
      </c>
      <c r="M54" s="779"/>
      <c r="N54" s="806"/>
      <c r="O54" s="151"/>
      <c r="P54" s="151"/>
      <c r="AH54" s="43">
        <v>0</v>
      </c>
    </row>
    <row r="55" s="43" customFormat="1" ht="18.75" hidden="1" customHeight="1" spans="1:34">
      <c r="A55" s="81"/>
      <c r="B55" s="81"/>
      <c r="C55" s="789" t="s">
        <v>1352</v>
      </c>
      <c r="D55" s="800"/>
      <c r="E55" s="295"/>
      <c r="F55" s="327"/>
      <c r="G55" s="790"/>
      <c r="H55" s="601"/>
      <c r="I55" s="332" t="s">
        <v>1353</v>
      </c>
      <c r="J55" s="780"/>
      <c r="K55" s="601"/>
      <c r="L55" s="580"/>
      <c r="M55" s="779"/>
      <c r="N55" s="806"/>
      <c r="O55" s="151"/>
      <c r="P55" s="151"/>
      <c r="AH55" s="43">
        <v>0</v>
      </c>
    </row>
    <row r="56" s="43" customFormat="1" ht="0.75" hidden="1" customHeight="1" spans="1:34">
      <c r="A56" s="81"/>
      <c r="B56" s="81"/>
      <c r="C56" s="789" t="s">
        <v>1358</v>
      </c>
      <c r="D56" s="800"/>
      <c r="E56" s="295"/>
      <c r="F56" s="327"/>
      <c r="G56" s="799"/>
      <c r="H56" s="601"/>
      <c r="I56" s="332"/>
      <c r="J56" s="780"/>
      <c r="K56" s="601"/>
      <c r="L56" s="580"/>
      <c r="M56" s="779"/>
      <c r="N56" s="806"/>
      <c r="O56" s="151"/>
      <c r="P56" s="151"/>
      <c r="AH56" s="43">
        <v>0</v>
      </c>
    </row>
    <row r="57" s="43" customFormat="1" ht="18.75" hidden="1" customHeight="1" spans="1:34">
      <c r="A57" s="81" t="s">
        <v>231</v>
      </c>
      <c r="B57" s="81" t="s">
        <v>232</v>
      </c>
      <c r="C57" s="789"/>
      <c r="D57" s="800"/>
      <c r="E57" s="295"/>
      <c r="F57" s="327" t="str">
        <f>INDEX(PT_DIFFERENTIATION_VTAR,MATCH(A57,PT_DIFFERENTIATION_VTAR_ID,0))</f>
        <v>Тариф на транспортировку воды</v>
      </c>
      <c r="G57" s="790" t="str">
        <f>INDEX(PT_DIFFERENTIATION_NTAR,MATCH(B57,PT_DIFFERENTIATION_NTAR_ID,0))</f>
        <v/>
      </c>
      <c r="H57" s="133"/>
      <c r="I57" s="803"/>
      <c r="J57" s="804"/>
      <c r="K57" s="96"/>
      <c r="L57" s="133" t="s">
        <v>302</v>
      </c>
      <c r="M57" s="779"/>
      <c r="N57" s="806"/>
      <c r="O57" s="151"/>
      <c r="P57" s="151"/>
      <c r="AH57" s="43">
        <v>0</v>
      </c>
    </row>
    <row r="58" s="43" customFormat="1" ht="18.75" hidden="1" customHeight="1" spans="1:34">
      <c r="A58" s="81"/>
      <c r="B58" s="81"/>
      <c r="C58" s="789" t="s">
        <v>1352</v>
      </c>
      <c r="D58" s="800"/>
      <c r="E58" s="295"/>
      <c r="F58" s="327"/>
      <c r="G58" s="790"/>
      <c r="H58" s="601"/>
      <c r="I58" s="332" t="s">
        <v>1353</v>
      </c>
      <c r="J58" s="780"/>
      <c r="K58" s="601"/>
      <c r="L58" s="580"/>
      <c r="M58" s="779"/>
      <c r="N58" s="806"/>
      <c r="O58" s="151"/>
      <c r="P58" s="151"/>
      <c r="AH58" s="43">
        <v>0</v>
      </c>
    </row>
    <row r="59" s="43" customFormat="1" ht="0.75" hidden="1" customHeight="1" spans="1:34">
      <c r="A59" s="81"/>
      <c r="B59" s="81"/>
      <c r="C59" s="789" t="s">
        <v>1358</v>
      </c>
      <c r="D59" s="800"/>
      <c r="E59" s="295"/>
      <c r="F59" s="327"/>
      <c r="G59" s="799"/>
      <c r="H59" s="601"/>
      <c r="I59" s="332"/>
      <c r="J59" s="780"/>
      <c r="K59" s="601"/>
      <c r="L59" s="580"/>
      <c r="M59" s="779"/>
      <c r="N59" s="806"/>
      <c r="O59" s="151"/>
      <c r="P59" s="151"/>
      <c r="AH59" s="43">
        <v>0</v>
      </c>
    </row>
    <row r="60" s="43" customFormat="1" ht="18.75" hidden="1" customHeight="1" spans="1:34">
      <c r="A60" s="81" t="s">
        <v>236</v>
      </c>
      <c r="B60" s="81" t="s">
        <v>237</v>
      </c>
      <c r="C60" s="789"/>
      <c r="D60" s="800"/>
      <c r="E60" s="295"/>
      <c r="F60" s="327" t="str">
        <f>INDEX(PT_DIFFERENTIATION_VTAR,MATCH(A60,PT_DIFFERENTIATION_VTAR_ID,0))</f>
        <v>Тариф на подвоз воды</v>
      </c>
      <c r="G60" s="790" t="str">
        <f>INDEX(PT_DIFFERENTIATION_NTAR,MATCH(B60,PT_DIFFERENTIATION_NTAR_ID,0))</f>
        <v/>
      </c>
      <c r="H60" s="133"/>
      <c r="I60" s="803"/>
      <c r="J60" s="804"/>
      <c r="K60" s="96"/>
      <c r="L60" s="133" t="s">
        <v>302</v>
      </c>
      <c r="M60" s="779"/>
      <c r="N60" s="806"/>
      <c r="O60" s="151"/>
      <c r="P60" s="151"/>
      <c r="AH60" s="43">
        <v>0</v>
      </c>
    </row>
    <row r="61" s="43" customFormat="1" ht="18.75" hidden="1" customHeight="1" spans="1:34">
      <c r="A61" s="81"/>
      <c r="B61" s="81"/>
      <c r="C61" s="789" t="s">
        <v>1352</v>
      </c>
      <c r="D61" s="800"/>
      <c r="E61" s="295"/>
      <c r="F61" s="327"/>
      <c r="G61" s="790"/>
      <c r="H61" s="601"/>
      <c r="I61" s="332" t="s">
        <v>1353</v>
      </c>
      <c r="J61" s="780"/>
      <c r="K61" s="601"/>
      <c r="L61" s="580"/>
      <c r="M61" s="779"/>
      <c r="N61" s="806"/>
      <c r="O61" s="151"/>
      <c r="P61" s="151"/>
      <c r="AH61" s="43">
        <v>0</v>
      </c>
    </row>
    <row r="62" s="43" customFormat="1" ht="0.75" hidden="1" customHeight="1" spans="1:34">
      <c r="A62" s="81"/>
      <c r="B62" s="81"/>
      <c r="C62" s="789" t="s">
        <v>1358</v>
      </c>
      <c r="D62" s="800"/>
      <c r="E62" s="295"/>
      <c r="F62" s="327"/>
      <c r="G62" s="799"/>
      <c r="H62" s="601"/>
      <c r="I62" s="332"/>
      <c r="J62" s="780"/>
      <c r="K62" s="601"/>
      <c r="L62" s="580"/>
      <c r="M62" s="779"/>
      <c r="N62" s="806"/>
      <c r="O62" s="151"/>
      <c r="P62" s="151"/>
      <c r="AH62" s="43">
        <v>0</v>
      </c>
    </row>
    <row r="63" s="43" customFormat="1" ht="18.75" hidden="1" customHeight="1" spans="1:34">
      <c r="A63" s="81" t="s">
        <v>241</v>
      </c>
      <c r="B63" s="81" t="s">
        <v>242</v>
      </c>
      <c r="C63" s="789"/>
      <c r="D63" s="800"/>
      <c r="E63" s="295"/>
      <c r="F63" s="327" t="str">
        <f>INDEX(PT_DIFFERENTIATION_VTAR,MATCH(A63,PT_DIFFERENTIATION_VTAR_ID,0))</f>
        <v>Тариф на подключение (технологическое присоединение) к централизованной системе холодного водоснабжения</v>
      </c>
      <c r="G63" s="790" t="str">
        <f>INDEX(PT_DIFFERENTIATION_NTAR,MATCH(B63,PT_DIFFERENTIATION_NTAR_ID,0))</f>
        <v/>
      </c>
      <c r="H63" s="133"/>
      <c r="I63" s="809"/>
      <c r="J63" s="810"/>
      <c r="K63" s="811"/>
      <c r="L63" s="133" t="s">
        <v>302</v>
      </c>
      <c r="M63" s="779"/>
      <c r="N63" s="806"/>
      <c r="O63" s="151"/>
      <c r="P63" s="151"/>
      <c r="AH63" s="43">
        <v>0</v>
      </c>
    </row>
    <row r="64" s="43" customFormat="1" ht="18.75" hidden="1" customHeight="1" spans="1:34">
      <c r="A64" s="81"/>
      <c r="B64" s="81"/>
      <c r="C64" s="789" t="s">
        <v>1352</v>
      </c>
      <c r="D64" s="800"/>
      <c r="E64" s="295"/>
      <c r="F64" s="327"/>
      <c r="G64" s="790"/>
      <c r="H64" s="601"/>
      <c r="I64" s="332" t="s">
        <v>1353</v>
      </c>
      <c r="J64" s="780"/>
      <c r="K64" s="601"/>
      <c r="L64" s="580"/>
      <c r="M64" s="779"/>
      <c r="N64" s="806"/>
      <c r="O64" s="151"/>
      <c r="P64" s="151"/>
      <c r="AH64" s="43">
        <v>0</v>
      </c>
    </row>
    <row r="65" s="43" customFormat="1" ht="0.75" hidden="1" customHeight="1" spans="1:34">
      <c r="A65" s="81"/>
      <c r="B65" s="81"/>
      <c r="C65" s="789" t="s">
        <v>1358</v>
      </c>
      <c r="D65" s="800"/>
      <c r="E65" s="295"/>
      <c r="F65" s="327"/>
      <c r="G65" s="799"/>
      <c r="H65" s="601"/>
      <c r="I65" s="332"/>
      <c r="J65" s="780"/>
      <c r="K65" s="601"/>
      <c r="L65" s="580"/>
      <c r="M65" s="779"/>
      <c r="N65" s="806"/>
      <c r="O65" s="151"/>
      <c r="P65" s="151"/>
      <c r="AH65" s="43">
        <v>0</v>
      </c>
    </row>
    <row r="66" s="43" customFormat="1" ht="18.75" hidden="1" customHeight="1" spans="1:34">
      <c r="A66" s="81" t="s">
        <v>246</v>
      </c>
      <c r="B66" s="81" t="s">
        <v>247</v>
      </c>
      <c r="C66" s="789"/>
      <c r="D66" s="800"/>
      <c r="E66" s="295"/>
      <c r="F66" s="327" t="str">
        <f>INDEX(PT_DIFFERENTIATION_VTAR,MATCH(A66,PT_DIFFERENTIATION_VTAR_ID,0))</f>
        <v>Тариф на горячую воду (горячее водоснабжение)</v>
      </c>
      <c r="G66" s="790" t="str">
        <f>INDEX(PT_DIFFERENTIATION_NTAR,MATCH(B66,PT_DIFFERENTIATION_NTAR_ID,0))</f>
        <v/>
      </c>
      <c r="H66" s="133"/>
      <c r="I66" s="803"/>
      <c r="J66" s="804"/>
      <c r="K66" s="96"/>
      <c r="L66" s="133" t="s">
        <v>302</v>
      </c>
      <c r="M66" s="779"/>
      <c r="N66" s="806"/>
      <c r="O66" s="151"/>
      <c r="P66" s="151"/>
      <c r="AH66" s="43">
        <v>0</v>
      </c>
    </row>
    <row r="67" s="43" customFormat="1" ht="18.75" hidden="1" customHeight="1" spans="1:34">
      <c r="A67" s="81"/>
      <c r="B67" s="81"/>
      <c r="C67" s="789" t="s">
        <v>1352</v>
      </c>
      <c r="D67" s="800"/>
      <c r="E67" s="295"/>
      <c r="F67" s="327"/>
      <c r="G67" s="790"/>
      <c r="H67" s="601"/>
      <c r="I67" s="332" t="s">
        <v>1353</v>
      </c>
      <c r="J67" s="780"/>
      <c r="K67" s="601"/>
      <c r="L67" s="580"/>
      <c r="M67" s="779"/>
      <c r="N67" s="806"/>
      <c r="O67" s="151"/>
      <c r="P67" s="151"/>
      <c r="AH67" s="43">
        <v>0</v>
      </c>
    </row>
    <row r="68" s="43" customFormat="1" ht="0.75" hidden="1" customHeight="1" spans="1:34">
      <c r="A68" s="81"/>
      <c r="B68" s="81"/>
      <c r="C68" s="789" t="s">
        <v>1358</v>
      </c>
      <c r="D68" s="800"/>
      <c r="E68" s="295"/>
      <c r="F68" s="327"/>
      <c r="G68" s="799"/>
      <c r="H68" s="601"/>
      <c r="I68" s="332"/>
      <c r="J68" s="780"/>
      <c r="K68" s="601"/>
      <c r="L68" s="580"/>
      <c r="M68" s="779"/>
      <c r="N68" s="806"/>
      <c r="O68" s="151"/>
      <c r="P68" s="151"/>
      <c r="AH68" s="43">
        <v>0</v>
      </c>
    </row>
    <row r="69" s="43" customFormat="1" ht="18.75" hidden="1" customHeight="1" spans="1:34">
      <c r="A69" s="81" t="s">
        <v>251</v>
      </c>
      <c r="B69" s="81" t="s">
        <v>252</v>
      </c>
      <c r="C69" s="789"/>
      <c r="D69" s="800"/>
      <c r="E69" s="295"/>
      <c r="F69" s="327" t="str">
        <f>INDEX(PT_DIFFERENTIATION_VTAR,MATCH(A69,PT_DIFFERENTIATION_VTAR_ID,0))</f>
        <v>Тариф на транспортировку горячей воды</v>
      </c>
      <c r="G69" s="790" t="str">
        <f>INDEX(PT_DIFFERENTIATION_NTAR,MATCH(B69,PT_DIFFERENTIATION_NTAR_ID,0))</f>
        <v/>
      </c>
      <c r="H69" s="133"/>
      <c r="I69" s="803"/>
      <c r="J69" s="804"/>
      <c r="K69" s="96"/>
      <c r="L69" s="133" t="s">
        <v>302</v>
      </c>
      <c r="M69" s="779"/>
      <c r="N69" s="806"/>
      <c r="O69" s="151"/>
      <c r="P69" s="151"/>
      <c r="AH69" s="43">
        <v>0</v>
      </c>
    </row>
    <row r="70" s="43" customFormat="1" ht="18.75" hidden="1" customHeight="1" spans="1:34">
      <c r="A70" s="81"/>
      <c r="B70" s="81"/>
      <c r="C70" s="789" t="s">
        <v>1352</v>
      </c>
      <c r="D70" s="800"/>
      <c r="E70" s="295"/>
      <c r="F70" s="327"/>
      <c r="G70" s="790"/>
      <c r="H70" s="601"/>
      <c r="I70" s="332" t="s">
        <v>1353</v>
      </c>
      <c r="J70" s="780"/>
      <c r="K70" s="601"/>
      <c r="L70" s="580"/>
      <c r="M70" s="779"/>
      <c r="N70" s="806"/>
      <c r="O70" s="151"/>
      <c r="P70" s="151"/>
      <c r="AH70" s="43">
        <v>0</v>
      </c>
    </row>
    <row r="71" s="43" customFormat="1" ht="0.75" hidden="1" customHeight="1" spans="1:34">
      <c r="A71" s="81"/>
      <c r="B71" s="81"/>
      <c r="C71" s="789" t="s">
        <v>1358</v>
      </c>
      <c r="D71" s="800"/>
      <c r="E71" s="295"/>
      <c r="F71" s="327"/>
      <c r="G71" s="799"/>
      <c r="H71" s="601"/>
      <c r="I71" s="332"/>
      <c r="J71" s="780"/>
      <c r="K71" s="601"/>
      <c r="L71" s="580"/>
      <c r="M71" s="779"/>
      <c r="N71" s="806"/>
      <c r="O71" s="151"/>
      <c r="P71" s="151"/>
      <c r="AH71" s="43">
        <v>0</v>
      </c>
    </row>
    <row r="72" s="43" customFormat="1" ht="18.75" hidden="1" customHeight="1" spans="1:34">
      <c r="A72" s="81" t="s">
        <v>256</v>
      </c>
      <c r="B72" s="81" t="s">
        <v>257</v>
      </c>
      <c r="C72" s="789"/>
      <c r="D72" s="800"/>
      <c r="E72" s="295"/>
      <c r="F72" s="327" t="str">
        <f>INDEX(PT_DIFFERENTIATION_VTAR,MATCH(A72,PT_DIFFERENTIATION_VTAR_ID,0))</f>
        <v>Тариф на подключение (технологическое присоединение) к централизованной системе горячего водоснабжения</v>
      </c>
      <c r="G72" s="790" t="str">
        <f>INDEX(PT_DIFFERENTIATION_NTAR,MATCH(B72,PT_DIFFERENTIATION_NTAR_ID,0))</f>
        <v/>
      </c>
      <c r="H72" s="133"/>
      <c r="I72" s="809"/>
      <c r="J72" s="810"/>
      <c r="K72" s="811"/>
      <c r="L72" s="133" t="s">
        <v>302</v>
      </c>
      <c r="M72" s="779"/>
      <c r="N72" s="806"/>
      <c r="O72" s="151"/>
      <c r="P72" s="151"/>
      <c r="AH72" s="43">
        <v>0</v>
      </c>
    </row>
    <row r="73" s="43" customFormat="1" ht="18.75" hidden="1" customHeight="1" spans="1:34">
      <c r="A73" s="81"/>
      <c r="B73" s="81"/>
      <c r="C73" s="789" t="s">
        <v>1352</v>
      </c>
      <c r="D73" s="800"/>
      <c r="E73" s="295"/>
      <c r="F73" s="327"/>
      <c r="G73" s="790"/>
      <c r="H73" s="601"/>
      <c r="I73" s="332" t="s">
        <v>1353</v>
      </c>
      <c r="J73" s="780"/>
      <c r="K73" s="601"/>
      <c r="L73" s="580"/>
      <c r="M73" s="779"/>
      <c r="N73" s="806"/>
      <c r="O73" s="151"/>
      <c r="P73" s="151"/>
      <c r="AH73" s="43">
        <v>0</v>
      </c>
    </row>
    <row r="74" s="43" customFormat="1" ht="0.75" hidden="1" customHeight="1" spans="1:34">
      <c r="A74" s="81"/>
      <c r="B74" s="81"/>
      <c r="C74" s="789" t="s">
        <v>1358</v>
      </c>
      <c r="D74" s="800"/>
      <c r="E74" s="295"/>
      <c r="F74" s="327"/>
      <c r="G74" s="799"/>
      <c r="H74" s="601"/>
      <c r="I74" s="332"/>
      <c r="J74" s="780"/>
      <c r="K74" s="601"/>
      <c r="L74" s="580"/>
      <c r="M74" s="779"/>
      <c r="N74" s="806"/>
      <c r="O74" s="151"/>
      <c r="P74" s="151"/>
      <c r="AH74" s="43">
        <v>0</v>
      </c>
    </row>
    <row r="75" s="43" customFormat="1" ht="18.75" hidden="1" customHeight="1" spans="1:34">
      <c r="A75" s="81" t="s">
        <v>261</v>
      </c>
      <c r="B75" s="81" t="s">
        <v>262</v>
      </c>
      <c r="C75" s="789"/>
      <c r="D75" s="800"/>
      <c r="E75" s="295"/>
      <c r="F75" s="327" t="str">
        <f>INDEX(PT_DIFFERENTIATION_VTAR,MATCH(A75,PT_DIFFERENTIATION_VTAR_ID,0))</f>
        <v>Тариф на водоотведение</v>
      </c>
      <c r="G75" s="790" t="str">
        <f>INDEX(PT_DIFFERENTIATION_NTAR,MATCH(B75,PT_DIFFERENTIATION_NTAR_ID,0))</f>
        <v/>
      </c>
      <c r="H75" s="133"/>
      <c r="I75" s="803"/>
      <c r="J75" s="804"/>
      <c r="K75" s="96"/>
      <c r="L75" s="133" t="s">
        <v>302</v>
      </c>
      <c r="M75" s="779"/>
      <c r="N75" s="806"/>
      <c r="O75" s="151"/>
      <c r="P75" s="151"/>
      <c r="AH75" s="43">
        <v>0</v>
      </c>
    </row>
    <row r="76" s="43" customFormat="1" ht="18.75" hidden="1" customHeight="1" spans="1:34">
      <c r="A76" s="81"/>
      <c r="B76" s="81"/>
      <c r="C76" s="789" t="s">
        <v>1352</v>
      </c>
      <c r="D76" s="800"/>
      <c r="E76" s="295"/>
      <c r="F76" s="327"/>
      <c r="G76" s="790"/>
      <c r="H76" s="601"/>
      <c r="I76" s="332" t="s">
        <v>1353</v>
      </c>
      <c r="J76" s="780"/>
      <c r="K76" s="601"/>
      <c r="L76" s="580"/>
      <c r="M76" s="779"/>
      <c r="N76" s="806"/>
      <c r="O76" s="151"/>
      <c r="P76" s="151"/>
      <c r="AH76" s="43">
        <v>0</v>
      </c>
    </row>
    <row r="77" s="43" customFormat="1" ht="0.75" hidden="1" customHeight="1" spans="1:34">
      <c r="A77" s="81"/>
      <c r="B77" s="81"/>
      <c r="C77" s="789" t="s">
        <v>1358</v>
      </c>
      <c r="D77" s="800"/>
      <c r="E77" s="295"/>
      <c r="F77" s="327"/>
      <c r="G77" s="799"/>
      <c r="H77" s="601"/>
      <c r="I77" s="332"/>
      <c r="J77" s="780"/>
      <c r="K77" s="601"/>
      <c r="L77" s="580"/>
      <c r="M77" s="779"/>
      <c r="N77" s="806"/>
      <c r="O77" s="151"/>
      <c r="P77" s="151"/>
      <c r="AH77" s="43">
        <v>0</v>
      </c>
    </row>
    <row r="78" s="43" customFormat="1" ht="18.75" hidden="1" customHeight="1" spans="1:34">
      <c r="A78" s="81" t="s">
        <v>266</v>
      </c>
      <c r="B78" s="81" t="s">
        <v>267</v>
      </c>
      <c r="C78" s="789"/>
      <c r="D78" s="800"/>
      <c r="E78" s="295"/>
      <c r="F78" s="327" t="str">
        <f>INDEX(PT_DIFFERENTIATION_VTAR,MATCH(A78,PT_DIFFERENTIATION_VTAR_ID,0))</f>
        <v>Тариф на транспортировку сточных вод</v>
      </c>
      <c r="G78" s="790" t="str">
        <f>INDEX(PT_DIFFERENTIATION_NTAR,MATCH(B78,PT_DIFFERENTIATION_NTAR_ID,0))</f>
        <v/>
      </c>
      <c r="H78" s="133"/>
      <c r="I78" s="803"/>
      <c r="J78" s="804"/>
      <c r="K78" s="96"/>
      <c r="L78" s="133" t="s">
        <v>302</v>
      </c>
      <c r="M78" s="779"/>
      <c r="N78" s="806"/>
      <c r="O78" s="151"/>
      <c r="P78" s="151"/>
      <c r="AH78" s="43">
        <v>0</v>
      </c>
    </row>
    <row r="79" s="43" customFormat="1" ht="18.75" hidden="1" customHeight="1" spans="1:34">
      <c r="A79" s="81"/>
      <c r="B79" s="81"/>
      <c r="C79" s="789" t="s">
        <v>1352</v>
      </c>
      <c r="D79" s="800"/>
      <c r="E79" s="295"/>
      <c r="F79" s="327"/>
      <c r="G79" s="790"/>
      <c r="H79" s="601"/>
      <c r="I79" s="332" t="s">
        <v>1353</v>
      </c>
      <c r="J79" s="780"/>
      <c r="K79" s="601"/>
      <c r="L79" s="580"/>
      <c r="M79" s="779"/>
      <c r="N79" s="806"/>
      <c r="O79" s="151"/>
      <c r="P79" s="151"/>
      <c r="AH79" s="43">
        <v>0</v>
      </c>
    </row>
    <row r="80" s="43" customFormat="1" ht="0.75" hidden="1" customHeight="1" spans="1:34">
      <c r="A80" s="81"/>
      <c r="B80" s="81"/>
      <c r="C80" s="789" t="s">
        <v>1358</v>
      </c>
      <c r="D80" s="800"/>
      <c r="E80" s="295"/>
      <c r="F80" s="327"/>
      <c r="G80" s="799"/>
      <c r="H80" s="601"/>
      <c r="I80" s="332"/>
      <c r="J80" s="780"/>
      <c r="K80" s="601"/>
      <c r="L80" s="580"/>
      <c r="M80" s="779"/>
      <c r="N80" s="806"/>
      <c r="O80" s="151"/>
      <c r="P80" s="151"/>
      <c r="AH80" s="43">
        <v>0</v>
      </c>
    </row>
    <row r="81" s="43" customFormat="1" ht="18.75" hidden="1" customHeight="1" spans="1:34">
      <c r="A81" s="81" t="s">
        <v>271</v>
      </c>
      <c r="B81" s="81" t="s">
        <v>272</v>
      </c>
      <c r="C81" s="789"/>
      <c r="D81" s="800"/>
      <c r="E81" s="295"/>
      <c r="F81" s="327" t="str">
        <f>INDEX(PT_DIFFERENTIATION_VTAR,MATCH(A81,PT_DIFFERENTIATION_VTAR_ID,0))</f>
        <v>Тариф на подключение (технологическое присоединение) к централизованной системе водоотведения</v>
      </c>
      <c r="G81" s="790" t="str">
        <f>INDEX(PT_DIFFERENTIATION_NTAR,MATCH(B81,PT_DIFFERENTIATION_NTAR_ID,0))</f>
        <v/>
      </c>
      <c r="H81" s="133"/>
      <c r="I81" s="809"/>
      <c r="J81" s="810"/>
      <c r="K81" s="811"/>
      <c r="L81" s="133" t="s">
        <v>302</v>
      </c>
      <c r="M81" s="779"/>
      <c r="N81" s="806"/>
      <c r="O81" s="151"/>
      <c r="P81" s="151"/>
      <c r="AH81" s="43">
        <v>0</v>
      </c>
    </row>
    <row r="82" s="43" customFormat="1" ht="18.75" hidden="1" customHeight="1" spans="1:34">
      <c r="A82" s="81"/>
      <c r="B82" s="81"/>
      <c r="C82" s="789" t="s">
        <v>1352</v>
      </c>
      <c r="D82" s="800"/>
      <c r="E82" s="295"/>
      <c r="F82" s="327"/>
      <c r="G82" s="790"/>
      <c r="H82" s="601"/>
      <c r="I82" s="332" t="s">
        <v>1353</v>
      </c>
      <c r="J82" s="780"/>
      <c r="K82" s="601"/>
      <c r="L82" s="580"/>
      <c r="M82" s="779"/>
      <c r="N82" s="806"/>
      <c r="O82" s="151"/>
      <c r="P82" s="151"/>
      <c r="AH82" s="43">
        <v>0</v>
      </c>
    </row>
    <row r="83" s="43" customFormat="1" ht="1.05" customHeight="1" spans="1:34">
      <c r="A83" s="81"/>
      <c r="B83" s="81"/>
      <c r="C83" s="789" t="s">
        <v>1358</v>
      </c>
      <c r="D83" s="800"/>
      <c r="E83" s="295"/>
      <c r="F83" s="327"/>
      <c r="G83" s="799"/>
      <c r="H83" s="601"/>
      <c r="I83" s="332"/>
      <c r="J83" s="780"/>
      <c r="K83" s="601"/>
      <c r="L83" s="580"/>
      <c r="M83" s="779"/>
      <c r="N83" s="806"/>
      <c r="O83" s="151"/>
      <c r="P83" s="151"/>
      <c r="AH83" s="43">
        <v>1</v>
      </c>
    </row>
    <row r="84" ht="19.95" customHeight="1" spans="1:34">
      <c r="A84" s="81"/>
      <c r="B84" s="81"/>
      <c r="D84" s="51"/>
      <c r="E84" s="295" t="s">
        <v>108</v>
      </c>
      <c r="F84" s="4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467"/>
      <c r="H84" s="467"/>
      <c r="I84" s="467"/>
      <c r="J84" s="467"/>
      <c r="K84" s="467"/>
      <c r="L84" s="467"/>
      <c r="M84" s="813"/>
      <c r="N84" s="806"/>
      <c r="AH84" s="43">
        <v>19</v>
      </c>
    </row>
    <row r="85" ht="35.7" customHeight="1" spans="1:34">
      <c r="A85" s="81"/>
      <c r="B85" s="81"/>
      <c r="D85" s="51"/>
      <c r="E85" s="812"/>
      <c r="F85" s="131" t="s">
        <v>302</v>
      </c>
      <c r="G85" s="131" t="s">
        <v>302</v>
      </c>
      <c r="H85" s="132" t="s">
        <v>302</v>
      </c>
      <c r="I85" s="133"/>
      <c r="J85" s="131" t="s">
        <v>302</v>
      </c>
      <c r="K85" s="131" t="s">
        <v>302</v>
      </c>
      <c r="L85" s="628"/>
      <c r="M85" s="83" t="s">
        <v>1359</v>
      </c>
      <c r="N85" s="806"/>
      <c r="AH85" s="43">
        <v>34</v>
      </c>
    </row>
    <row r="86" ht="19.95" customHeight="1" spans="1:34">
      <c r="A86" s="81"/>
      <c r="B86" s="81"/>
      <c r="D86" s="51"/>
      <c r="E86" s="295" t="s">
        <v>91</v>
      </c>
      <c r="F86" s="467" t="s">
        <v>1360</v>
      </c>
      <c r="G86" s="467"/>
      <c r="H86" s="467"/>
      <c r="I86" s="467"/>
      <c r="J86" s="467"/>
      <c r="K86" s="467"/>
      <c r="L86" s="467"/>
      <c r="M86" s="813"/>
      <c r="N86" s="806"/>
      <c r="AH86" s="43">
        <v>19</v>
      </c>
    </row>
    <row r="87" s="43" customFormat="1" ht="60.75" hidden="1" customHeight="1" spans="1:34">
      <c r="A87" s="81" t="s">
        <v>153</v>
      </c>
      <c r="B87" s="81" t="s">
        <v>154</v>
      </c>
      <c r="C87" s="789"/>
      <c r="D87" s="800"/>
      <c r="E87" s="295"/>
      <c r="F87" s="32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790" t="str">
        <f>INDEX(PT_DIFFERENTIATION_NTAR,MATCH(B87,PT_DIFFERENTIATION_NTAR_ID,0))</f>
        <v/>
      </c>
      <c r="H87" s="133"/>
      <c r="I87" s="803"/>
      <c r="J87" s="804"/>
      <c r="K87" s="263"/>
      <c r="L87" s="133" t="s">
        <v>302</v>
      </c>
      <c r="M87" s="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806"/>
      <c r="O87" s="151"/>
      <c r="P87" s="151"/>
      <c r="AH87" s="43">
        <v>0</v>
      </c>
    </row>
    <row r="88" s="43" customFormat="1" ht="18.75" hidden="1" customHeight="1" spans="1:34">
      <c r="A88" s="81"/>
      <c r="B88" s="81"/>
      <c r="C88" s="789" t="s">
        <v>1354</v>
      </c>
      <c r="D88" s="800"/>
      <c r="E88" s="295"/>
      <c r="F88" s="327"/>
      <c r="G88" s="790"/>
      <c r="H88" s="601"/>
      <c r="I88" s="332" t="s">
        <v>1353</v>
      </c>
      <c r="J88" s="780"/>
      <c r="K88" s="601"/>
      <c r="L88" s="580"/>
      <c r="M88" s="779"/>
      <c r="N88" s="806"/>
      <c r="O88" s="151"/>
      <c r="P88" s="151"/>
      <c r="AH88" s="43">
        <v>0</v>
      </c>
    </row>
    <row r="89" s="43" customFormat="1" ht="0.75" hidden="1" customHeight="1" spans="1:34">
      <c r="A89" s="81"/>
      <c r="B89" s="81"/>
      <c r="C89" s="789" t="s">
        <v>1361</v>
      </c>
      <c r="D89" s="800"/>
      <c r="E89" s="295"/>
      <c r="F89" s="327"/>
      <c r="G89" s="799"/>
      <c r="H89" s="601"/>
      <c r="I89" s="332"/>
      <c r="J89" s="780"/>
      <c r="K89" s="601"/>
      <c r="L89" s="580"/>
      <c r="M89" s="779"/>
      <c r="N89" s="806"/>
      <c r="O89" s="151"/>
      <c r="P89" s="151"/>
      <c r="AH89" s="43">
        <v>0</v>
      </c>
    </row>
    <row r="90" s="43" customFormat="1" ht="45" hidden="1" customHeight="1" spans="1:34">
      <c r="A90" s="81" t="s">
        <v>158</v>
      </c>
      <c r="B90" s="81" t="s">
        <v>159</v>
      </c>
      <c r="C90" s="789"/>
      <c r="D90" s="800"/>
      <c r="E90" s="295"/>
      <c r="F90" s="327" t="str">
        <f>INDEX(PT_DIFFERENTIATION_VTAR,MATCH(A90,PT_DIFFERENTIATION_VTAR_ID,0))</f>
        <v/>
      </c>
      <c r="G90" s="790" t="str">
        <f>INDEX(PT_DIFFERENTIATION_NTAR,MATCH(B90,PT_DIFFERENTIATION_NTAR_ID,0))</f>
        <v/>
      </c>
      <c r="H90" s="133"/>
      <c r="I90" s="803"/>
      <c r="J90" s="804"/>
      <c r="K90" s="263"/>
      <c r="L90" s="133" t="s">
        <v>302</v>
      </c>
      <c r="M90" s="584"/>
      <c r="N90" s="806"/>
      <c r="O90" s="151"/>
      <c r="P90" s="151"/>
      <c r="AH90" s="43">
        <v>0</v>
      </c>
    </row>
    <row r="91" s="43" customFormat="1" ht="18.75" hidden="1" customHeight="1" spans="1:34">
      <c r="A91" s="81"/>
      <c r="B91" s="81"/>
      <c r="C91" s="789" t="s">
        <v>1354</v>
      </c>
      <c r="D91" s="800"/>
      <c r="E91" s="295"/>
      <c r="F91" s="327"/>
      <c r="G91" s="790"/>
      <c r="H91" s="601"/>
      <c r="I91" s="332" t="s">
        <v>1353</v>
      </c>
      <c r="J91" s="780"/>
      <c r="K91" s="601"/>
      <c r="L91" s="580"/>
      <c r="M91" s="779"/>
      <c r="N91" s="806"/>
      <c r="O91" s="151"/>
      <c r="P91" s="151"/>
      <c r="AH91" s="43">
        <v>0</v>
      </c>
    </row>
    <row r="92" s="43" customFormat="1" ht="0.75" hidden="1" customHeight="1" spans="1:34">
      <c r="A92" s="81"/>
      <c r="B92" s="81"/>
      <c r="C92" s="789" t="s">
        <v>1361</v>
      </c>
      <c r="D92" s="800"/>
      <c r="E92" s="295"/>
      <c r="F92" s="327"/>
      <c r="G92" s="799"/>
      <c r="H92" s="601"/>
      <c r="I92" s="332"/>
      <c r="J92" s="780"/>
      <c r="K92" s="601"/>
      <c r="L92" s="580"/>
      <c r="M92" s="814"/>
      <c r="N92" s="806"/>
      <c r="O92" s="151"/>
      <c r="P92" s="151"/>
      <c r="AH92" s="43">
        <v>0</v>
      </c>
    </row>
    <row r="93" s="43" customFormat="1" ht="45" hidden="1" customHeight="1" spans="1:34">
      <c r="A93" s="81" t="s">
        <v>165</v>
      </c>
      <c r="B93" s="81" t="s">
        <v>166</v>
      </c>
      <c r="C93" s="789"/>
      <c r="D93" s="800"/>
      <c r="E93" s="295"/>
      <c r="F93" s="32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790" t="str">
        <f>INDEX(PT_DIFFERENTIATION_NTAR,MATCH(B93,PT_DIFFERENTIATION_NTAR_ID,0))</f>
        <v/>
      </c>
      <c r="H93" s="133"/>
      <c r="I93" s="803"/>
      <c r="J93" s="804"/>
      <c r="K93" s="263"/>
      <c r="L93" s="133" t="s">
        <v>302</v>
      </c>
      <c r="M93" s="814"/>
      <c r="N93" s="806"/>
      <c r="O93" s="151"/>
      <c r="P93" s="151"/>
      <c r="AH93" s="43">
        <v>0</v>
      </c>
    </row>
    <row r="94" s="43" customFormat="1" ht="18.75" hidden="1" customHeight="1" spans="1:34">
      <c r="A94" s="81"/>
      <c r="B94" s="81"/>
      <c r="C94" s="789" t="s">
        <v>1354</v>
      </c>
      <c r="D94" s="800"/>
      <c r="E94" s="295"/>
      <c r="F94" s="327"/>
      <c r="G94" s="790"/>
      <c r="H94" s="601"/>
      <c r="I94" s="332" t="s">
        <v>1353</v>
      </c>
      <c r="J94" s="780"/>
      <c r="K94" s="601"/>
      <c r="L94" s="580"/>
      <c r="M94" s="814"/>
      <c r="N94" s="806"/>
      <c r="O94" s="151"/>
      <c r="P94" s="151"/>
      <c r="AH94" s="43">
        <v>0</v>
      </c>
    </row>
    <row r="95" s="43" customFormat="1" ht="0.75" hidden="1" customHeight="1" spans="1:34">
      <c r="A95" s="81"/>
      <c r="B95" s="81"/>
      <c r="C95" s="789" t="s">
        <v>1361</v>
      </c>
      <c r="D95" s="800"/>
      <c r="E95" s="295"/>
      <c r="F95" s="327"/>
      <c r="G95" s="799"/>
      <c r="H95" s="601"/>
      <c r="I95" s="332"/>
      <c r="J95" s="780"/>
      <c r="K95" s="601"/>
      <c r="L95" s="580"/>
      <c r="M95" s="814"/>
      <c r="N95" s="806"/>
      <c r="O95" s="151"/>
      <c r="P95" s="151"/>
      <c r="AH95" s="43">
        <v>0</v>
      </c>
    </row>
    <row r="96" s="43" customFormat="1" ht="45" hidden="1" customHeight="1" spans="1:34">
      <c r="A96" s="81" t="s">
        <v>171</v>
      </c>
      <c r="B96" s="81" t="s">
        <v>172</v>
      </c>
      <c r="C96" s="789"/>
      <c r="D96" s="800"/>
      <c r="E96" s="295"/>
      <c r="F96" s="32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790" t="str">
        <f>INDEX(PT_DIFFERENTIATION_NTAR,MATCH(B96,PT_DIFFERENTIATION_NTAR_ID,0))</f>
        <v/>
      </c>
      <c r="H96" s="133"/>
      <c r="I96" s="803"/>
      <c r="J96" s="804"/>
      <c r="K96" s="263"/>
      <c r="L96" s="133" t="s">
        <v>302</v>
      </c>
      <c r="M96" s="814"/>
      <c r="N96" s="806"/>
      <c r="O96" s="151"/>
      <c r="P96" s="151"/>
      <c r="AH96" s="43">
        <v>0</v>
      </c>
    </row>
    <row r="97" s="43" customFormat="1" ht="18.75" hidden="1" customHeight="1" spans="1:34">
      <c r="A97" s="81"/>
      <c r="B97" s="81"/>
      <c r="C97" s="789" t="s">
        <v>1354</v>
      </c>
      <c r="D97" s="800"/>
      <c r="E97" s="295"/>
      <c r="F97" s="327"/>
      <c r="G97" s="790"/>
      <c r="H97" s="601"/>
      <c r="I97" s="332" t="s">
        <v>1353</v>
      </c>
      <c r="J97" s="780"/>
      <c r="K97" s="601"/>
      <c r="L97" s="580"/>
      <c r="M97" s="814"/>
      <c r="N97" s="806"/>
      <c r="O97" s="151"/>
      <c r="P97" s="151"/>
      <c r="AH97" s="43">
        <v>0</v>
      </c>
    </row>
    <row r="98" s="43" customFormat="1" ht="0.75" hidden="1" customHeight="1" spans="1:34">
      <c r="A98" s="81"/>
      <c r="B98" s="81"/>
      <c r="C98" s="789" t="s">
        <v>1361</v>
      </c>
      <c r="D98" s="800"/>
      <c r="E98" s="295"/>
      <c r="F98" s="327"/>
      <c r="G98" s="799"/>
      <c r="H98" s="601"/>
      <c r="I98" s="332"/>
      <c r="J98" s="780"/>
      <c r="K98" s="601"/>
      <c r="L98" s="580"/>
      <c r="M98" s="814"/>
      <c r="N98" s="806"/>
      <c r="O98" s="151"/>
      <c r="P98" s="151"/>
      <c r="AH98" s="43">
        <v>0</v>
      </c>
    </row>
    <row r="99" s="43" customFormat="1" ht="18.75" hidden="1" customHeight="1" spans="1:34">
      <c r="A99" s="81" t="s">
        <v>177</v>
      </c>
      <c r="B99" s="81" t="s">
        <v>178</v>
      </c>
      <c r="C99" s="789"/>
      <c r="D99" s="800"/>
      <c r="E99" s="295"/>
      <c r="F99" s="327" t="str">
        <f>INDEX(PT_DIFFERENTIATION_VTAR,MATCH(A99,PT_DIFFERENTIATION_VTAR_ID,0))</f>
        <v>Тарифы на услуги по передаче тепловой энергии</v>
      </c>
      <c r="G99" s="790" t="str">
        <f>INDEX(PT_DIFFERENTIATION_NTAR,MATCH(B99,PT_DIFFERENTIATION_NTAR_ID,0))</f>
        <v/>
      </c>
      <c r="H99" s="133"/>
      <c r="I99" s="803"/>
      <c r="J99" s="804"/>
      <c r="K99" s="263"/>
      <c r="L99" s="133" t="s">
        <v>302</v>
      </c>
      <c r="M99" s="814"/>
      <c r="N99" s="806"/>
      <c r="O99" s="151"/>
      <c r="P99" s="151"/>
      <c r="AH99" s="43">
        <v>0</v>
      </c>
    </row>
    <row r="100" s="43" customFormat="1" ht="18.75" hidden="1" customHeight="1" spans="1:34">
      <c r="A100" s="81"/>
      <c r="B100" s="81"/>
      <c r="C100" s="789" t="s">
        <v>1354</v>
      </c>
      <c r="D100" s="800"/>
      <c r="E100" s="295"/>
      <c r="F100" s="327"/>
      <c r="G100" s="790"/>
      <c r="H100" s="601"/>
      <c r="I100" s="332" t="s">
        <v>1353</v>
      </c>
      <c r="J100" s="780"/>
      <c r="K100" s="601"/>
      <c r="L100" s="580"/>
      <c r="M100" s="814"/>
      <c r="N100" s="806"/>
      <c r="O100" s="151"/>
      <c r="P100" s="151"/>
      <c r="AH100" s="43">
        <v>0</v>
      </c>
    </row>
    <row r="101" s="43" customFormat="1" ht="0.75" hidden="1" customHeight="1" spans="1:34">
      <c r="A101" s="81"/>
      <c r="B101" s="81"/>
      <c r="C101" s="789" t="s">
        <v>1361</v>
      </c>
      <c r="D101" s="800"/>
      <c r="E101" s="295"/>
      <c r="F101" s="327"/>
      <c r="G101" s="799"/>
      <c r="H101" s="601"/>
      <c r="I101" s="332"/>
      <c r="J101" s="780"/>
      <c r="K101" s="601"/>
      <c r="L101" s="580"/>
      <c r="M101" s="814"/>
      <c r="N101" s="806"/>
      <c r="O101" s="151"/>
      <c r="P101" s="151"/>
      <c r="AH101" s="43">
        <v>0</v>
      </c>
    </row>
    <row r="102" s="43" customFormat="1" ht="18.75" hidden="1" customHeight="1" spans="1:34">
      <c r="A102" s="81" t="s">
        <v>183</v>
      </c>
      <c r="B102" s="81" t="s">
        <v>184</v>
      </c>
      <c r="C102" s="789"/>
      <c r="D102" s="800"/>
      <c r="E102" s="295"/>
      <c r="F102" s="327" t="str">
        <f>INDEX(PT_DIFFERENTIATION_VTAR,MATCH(A102,PT_DIFFERENTIATION_VTAR_ID,0))</f>
        <v>Тарифы на услуги по передаче теплоносителя</v>
      </c>
      <c r="G102" s="790" t="str">
        <f>INDEX(PT_DIFFERENTIATION_NTAR,MATCH(B102,PT_DIFFERENTIATION_NTAR_ID,0))</f>
        <v/>
      </c>
      <c r="H102" s="133"/>
      <c r="I102" s="803"/>
      <c r="J102" s="804"/>
      <c r="K102" s="263"/>
      <c r="L102" s="133" t="s">
        <v>302</v>
      </c>
      <c r="M102" s="814"/>
      <c r="N102" s="806"/>
      <c r="O102" s="151"/>
      <c r="P102" s="151"/>
      <c r="AH102" s="43">
        <v>0</v>
      </c>
    </row>
    <row r="103" s="43" customFormat="1" ht="18.75" hidden="1" customHeight="1" spans="1:34">
      <c r="A103" s="81"/>
      <c r="B103" s="81"/>
      <c r="C103" s="789" t="s">
        <v>1354</v>
      </c>
      <c r="D103" s="800"/>
      <c r="E103" s="295"/>
      <c r="F103" s="327"/>
      <c r="G103" s="790"/>
      <c r="H103" s="601"/>
      <c r="I103" s="332" t="s">
        <v>1353</v>
      </c>
      <c r="J103" s="780"/>
      <c r="K103" s="601"/>
      <c r="L103" s="580"/>
      <c r="M103" s="814"/>
      <c r="N103" s="806"/>
      <c r="O103" s="151"/>
      <c r="P103" s="151"/>
      <c r="AH103" s="43">
        <v>0</v>
      </c>
    </row>
    <row r="104" s="43" customFormat="1" ht="0.75" hidden="1" customHeight="1" spans="1:34">
      <c r="A104" s="81"/>
      <c r="B104" s="81"/>
      <c r="C104" s="789" t="s">
        <v>1361</v>
      </c>
      <c r="D104" s="800"/>
      <c r="E104" s="295"/>
      <c r="F104" s="327"/>
      <c r="G104" s="799"/>
      <c r="H104" s="601"/>
      <c r="I104" s="332"/>
      <c r="J104" s="780"/>
      <c r="K104" s="601"/>
      <c r="L104" s="580"/>
      <c r="M104" s="814"/>
      <c r="N104" s="806"/>
      <c r="O104" s="151"/>
      <c r="P104" s="151"/>
      <c r="AH104" s="43">
        <v>0</v>
      </c>
    </row>
    <row r="105" s="43" customFormat="1" ht="18.75" hidden="1" customHeight="1" spans="1:34">
      <c r="A105" s="81" t="s">
        <v>189</v>
      </c>
      <c r="B105" s="81" t="s">
        <v>190</v>
      </c>
      <c r="C105" s="789"/>
      <c r="D105" s="800"/>
      <c r="E105" s="295"/>
      <c r="F105" s="32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790" t="str">
        <f>INDEX(PT_DIFFERENTIATION_NTAR,MATCH(B105,PT_DIFFERENTIATION_NTAR_ID,0))</f>
        <v/>
      </c>
      <c r="H105" s="133"/>
      <c r="I105" s="803"/>
      <c r="J105" s="804"/>
      <c r="K105" s="263"/>
      <c r="L105" s="133" t="s">
        <v>302</v>
      </c>
      <c r="M105" s="814"/>
      <c r="N105" s="806"/>
      <c r="O105" s="151"/>
      <c r="P105" s="151"/>
      <c r="AH105" s="43">
        <v>0</v>
      </c>
    </row>
    <row r="106" s="43" customFormat="1" ht="18.75" hidden="1" customHeight="1" spans="1:34">
      <c r="A106" s="81"/>
      <c r="B106" s="81"/>
      <c r="C106" s="789" t="s">
        <v>1354</v>
      </c>
      <c r="D106" s="800"/>
      <c r="E106" s="295"/>
      <c r="F106" s="327"/>
      <c r="G106" s="790"/>
      <c r="H106" s="601"/>
      <c r="I106" s="332" t="s">
        <v>1353</v>
      </c>
      <c r="J106" s="780"/>
      <c r="K106" s="601"/>
      <c r="L106" s="580"/>
      <c r="M106" s="814"/>
      <c r="N106" s="806"/>
      <c r="O106" s="151"/>
      <c r="P106" s="151"/>
      <c r="AH106" s="43">
        <v>0</v>
      </c>
    </row>
    <row r="107" s="43" customFormat="1" ht="0.75" hidden="1" customHeight="1" spans="1:34">
      <c r="A107" s="81"/>
      <c r="B107" s="81"/>
      <c r="C107" s="789" t="s">
        <v>1361</v>
      </c>
      <c r="D107" s="800"/>
      <c r="E107" s="295"/>
      <c r="F107" s="327"/>
      <c r="G107" s="799"/>
      <c r="H107" s="601"/>
      <c r="I107" s="332"/>
      <c r="J107" s="780"/>
      <c r="K107" s="601"/>
      <c r="L107" s="580"/>
      <c r="M107" s="814"/>
      <c r="N107" s="806"/>
      <c r="O107" s="151"/>
      <c r="P107" s="151"/>
      <c r="AH107" s="43">
        <v>0</v>
      </c>
    </row>
    <row r="108" s="43" customFormat="1" ht="18.75" hidden="1" customHeight="1" spans="1:34">
      <c r="A108" s="81" t="s">
        <v>195</v>
      </c>
      <c r="B108" s="81" t="s">
        <v>196</v>
      </c>
      <c r="C108" s="789"/>
      <c r="D108" s="800"/>
      <c r="E108" s="295"/>
      <c r="F108" s="327" t="str">
        <f>INDEX(PT_DIFFERENTIATION_VTAR,MATCH(A108,PT_DIFFERENTIATION_VTAR_ID,0))</f>
        <v>Плата за подключение (технологическое присоединение) к системе теплоснабжения</v>
      </c>
      <c r="G108" s="790" t="str">
        <f>INDEX(PT_DIFFERENTIATION_NTAR,MATCH(B108,PT_DIFFERENTIATION_NTAR_ID,0))</f>
        <v/>
      </c>
      <c r="H108" s="133"/>
      <c r="I108" s="803"/>
      <c r="J108" s="804"/>
      <c r="K108" s="263"/>
      <c r="L108" s="133" t="s">
        <v>302</v>
      </c>
      <c r="M108" s="814"/>
      <c r="N108" s="806"/>
      <c r="O108" s="151"/>
      <c r="P108" s="151"/>
      <c r="AH108" s="43">
        <v>0</v>
      </c>
    </row>
    <row r="109" s="43" customFormat="1" ht="18.75" hidden="1" customHeight="1" spans="1:34">
      <c r="A109" s="81"/>
      <c r="B109" s="81"/>
      <c r="C109" s="789" t="s">
        <v>1354</v>
      </c>
      <c r="D109" s="800"/>
      <c r="E109" s="295"/>
      <c r="F109" s="327"/>
      <c r="G109" s="790"/>
      <c r="H109" s="601"/>
      <c r="I109" s="332" t="s">
        <v>1353</v>
      </c>
      <c r="J109" s="780"/>
      <c r="K109" s="601"/>
      <c r="L109" s="580"/>
      <c r="M109" s="814"/>
      <c r="N109" s="806"/>
      <c r="O109" s="151"/>
      <c r="P109" s="151"/>
      <c r="AH109" s="43">
        <v>0</v>
      </c>
    </row>
    <row r="110" s="43" customFormat="1" ht="0.75" hidden="1" customHeight="1" spans="1:34">
      <c r="A110" s="81"/>
      <c r="B110" s="81"/>
      <c r="C110" s="789" t="s">
        <v>1361</v>
      </c>
      <c r="D110" s="800"/>
      <c r="E110" s="295"/>
      <c r="F110" s="327"/>
      <c r="G110" s="799"/>
      <c r="H110" s="601"/>
      <c r="I110" s="332"/>
      <c r="J110" s="780"/>
      <c r="K110" s="601"/>
      <c r="L110" s="580"/>
      <c r="M110" s="814"/>
      <c r="N110" s="806"/>
      <c r="O110" s="151"/>
      <c r="P110" s="151"/>
      <c r="AH110" s="43">
        <v>0</v>
      </c>
    </row>
    <row r="111" s="43" customFormat="1" ht="18.75" hidden="1" customHeight="1" spans="1:34">
      <c r="A111" s="81" t="s">
        <v>201</v>
      </c>
      <c r="B111" s="81" t="s">
        <v>202</v>
      </c>
      <c r="C111" s="789"/>
      <c r="D111" s="800"/>
      <c r="E111" s="295"/>
      <c r="F111" s="327" t="str">
        <f>INDEX(PT_DIFFERENTIATION_VTAR,MATCH(A111,PT_DIFFERENTIATION_VTAR_ID,0))</f>
        <v>Плата за подключение (технологическое присоединение) к системе теплоснабжения (индивидуальная)</v>
      </c>
      <c r="G111" s="790" t="str">
        <f>INDEX(PT_DIFFERENTIATION_NTAR,MATCH(B111,PT_DIFFERENTIATION_NTAR_ID,0))</f>
        <v/>
      </c>
      <c r="H111" s="133"/>
      <c r="I111" s="803"/>
      <c r="J111" s="804"/>
      <c r="K111" s="263"/>
      <c r="L111" s="133" t="s">
        <v>302</v>
      </c>
      <c r="M111" s="814"/>
      <c r="N111" s="806"/>
      <c r="O111" s="151"/>
      <c r="P111" s="151"/>
      <c r="AH111" s="43">
        <v>0</v>
      </c>
    </row>
    <row r="112" s="43" customFormat="1" ht="18.75" hidden="1" customHeight="1" spans="1:34">
      <c r="A112" s="81"/>
      <c r="B112" s="81"/>
      <c r="C112" s="789" t="s">
        <v>1354</v>
      </c>
      <c r="D112" s="800"/>
      <c r="E112" s="295"/>
      <c r="F112" s="327"/>
      <c r="G112" s="790"/>
      <c r="H112" s="601"/>
      <c r="I112" s="332" t="s">
        <v>1353</v>
      </c>
      <c r="J112" s="780"/>
      <c r="K112" s="601"/>
      <c r="L112" s="580"/>
      <c r="M112" s="814"/>
      <c r="N112" s="806"/>
      <c r="O112" s="151"/>
      <c r="P112" s="151"/>
      <c r="AH112" s="43">
        <v>0</v>
      </c>
    </row>
    <row r="113" s="43" customFormat="1" ht="0.75" hidden="1" customHeight="1" spans="1:34">
      <c r="A113" s="81"/>
      <c r="B113" s="81"/>
      <c r="C113" s="789" t="s">
        <v>1361</v>
      </c>
      <c r="D113" s="800"/>
      <c r="E113" s="295"/>
      <c r="F113" s="327"/>
      <c r="G113" s="799"/>
      <c r="H113" s="601"/>
      <c r="I113" s="332"/>
      <c r="J113" s="780"/>
      <c r="K113" s="601"/>
      <c r="L113" s="580"/>
      <c r="M113" s="814"/>
      <c r="N113" s="806"/>
      <c r="O113" s="151"/>
      <c r="P113" s="151"/>
      <c r="AH113" s="43">
        <v>0</v>
      </c>
    </row>
    <row r="114" s="43" customFormat="1" ht="18.75" hidden="1" customHeight="1" spans="1:34">
      <c r="A114" s="81" t="s">
        <v>221</v>
      </c>
      <c r="B114" s="81" t="s">
        <v>222</v>
      </c>
      <c r="C114" s="789"/>
      <c r="D114" s="800"/>
      <c r="E114" s="295"/>
      <c r="F114" s="327" t="str">
        <f>INDEX(PT_DIFFERENTIATION_VTAR,MATCH(A114,PT_DIFFERENTIATION_VTAR_ID,0))</f>
        <v>Тариф на питьевую воду (питьевое водоснабжение)</v>
      </c>
      <c r="G114" s="790" t="str">
        <f>INDEX(PT_DIFFERENTIATION_NTAR,MATCH(B114,PT_DIFFERENTIATION_NTAR_ID,0))</f>
        <v/>
      </c>
      <c r="H114" s="133"/>
      <c r="I114" s="803"/>
      <c r="J114" s="804"/>
      <c r="K114" s="263"/>
      <c r="L114" s="133" t="s">
        <v>302</v>
      </c>
      <c r="M114" s="814"/>
      <c r="N114" s="806"/>
      <c r="O114" s="151"/>
      <c r="P114" s="151"/>
      <c r="AH114" s="43">
        <v>0</v>
      </c>
    </row>
    <row r="115" s="43" customFormat="1" ht="18.75" hidden="1" customHeight="1" spans="1:34">
      <c r="A115" s="81"/>
      <c r="B115" s="81"/>
      <c r="C115" s="789" t="s">
        <v>1354</v>
      </c>
      <c r="D115" s="800"/>
      <c r="E115" s="295"/>
      <c r="F115" s="327"/>
      <c r="G115" s="790"/>
      <c r="H115" s="601"/>
      <c r="I115" s="332" t="s">
        <v>1353</v>
      </c>
      <c r="J115" s="780"/>
      <c r="K115" s="601"/>
      <c r="L115" s="580"/>
      <c r="M115" s="814"/>
      <c r="N115" s="806"/>
      <c r="O115" s="151"/>
      <c r="P115" s="151"/>
      <c r="AH115" s="43">
        <v>0</v>
      </c>
    </row>
    <row r="116" s="43" customFormat="1" ht="0.75" hidden="1" customHeight="1" spans="1:34">
      <c r="A116" s="81"/>
      <c r="B116" s="81"/>
      <c r="C116" s="789" t="s">
        <v>1361</v>
      </c>
      <c r="D116" s="800"/>
      <c r="E116" s="295"/>
      <c r="F116" s="327"/>
      <c r="G116" s="799"/>
      <c r="H116" s="601"/>
      <c r="I116" s="332"/>
      <c r="J116" s="780"/>
      <c r="K116" s="601"/>
      <c r="L116" s="580"/>
      <c r="M116" s="814"/>
      <c r="N116" s="806"/>
      <c r="O116" s="151"/>
      <c r="P116" s="151"/>
      <c r="AH116" s="43">
        <v>0</v>
      </c>
    </row>
    <row r="117" s="43" customFormat="1" ht="18.75" hidden="1" customHeight="1" spans="1:34">
      <c r="A117" s="81" t="s">
        <v>226</v>
      </c>
      <c r="B117" s="81" t="s">
        <v>227</v>
      </c>
      <c r="C117" s="789"/>
      <c r="D117" s="800"/>
      <c r="E117" s="295"/>
      <c r="F117" s="327" t="str">
        <f>INDEX(PT_DIFFERENTIATION_VTAR,MATCH(A117,PT_DIFFERENTIATION_VTAR_ID,0))</f>
        <v>Тариф на техническую воду</v>
      </c>
      <c r="G117" s="790" t="str">
        <f>INDEX(PT_DIFFERENTIATION_NTAR,MATCH(B117,PT_DIFFERENTIATION_NTAR_ID,0))</f>
        <v/>
      </c>
      <c r="H117" s="133"/>
      <c r="I117" s="803"/>
      <c r="J117" s="804"/>
      <c r="K117" s="263"/>
      <c r="L117" s="133" t="s">
        <v>302</v>
      </c>
      <c r="M117" s="814"/>
      <c r="N117" s="806"/>
      <c r="O117" s="151"/>
      <c r="P117" s="151"/>
      <c r="AH117" s="43">
        <v>0</v>
      </c>
    </row>
    <row r="118" s="43" customFormat="1" ht="18.75" hidden="1" customHeight="1" spans="1:34">
      <c r="A118" s="81"/>
      <c r="B118" s="81"/>
      <c r="C118" s="789" t="s">
        <v>1354</v>
      </c>
      <c r="D118" s="800"/>
      <c r="E118" s="295"/>
      <c r="F118" s="327"/>
      <c r="G118" s="790"/>
      <c r="H118" s="601"/>
      <c r="I118" s="332" t="s">
        <v>1353</v>
      </c>
      <c r="J118" s="780"/>
      <c r="K118" s="601"/>
      <c r="L118" s="580"/>
      <c r="M118" s="814"/>
      <c r="N118" s="806"/>
      <c r="O118" s="151"/>
      <c r="P118" s="151"/>
      <c r="AH118" s="43">
        <v>0</v>
      </c>
    </row>
    <row r="119" s="43" customFormat="1" ht="0.75" hidden="1" customHeight="1" spans="1:34">
      <c r="A119" s="81"/>
      <c r="B119" s="81"/>
      <c r="C119" s="789" t="s">
        <v>1361</v>
      </c>
      <c r="D119" s="800"/>
      <c r="E119" s="295"/>
      <c r="F119" s="327"/>
      <c r="G119" s="799"/>
      <c r="H119" s="601"/>
      <c r="I119" s="332"/>
      <c r="J119" s="780"/>
      <c r="K119" s="601"/>
      <c r="L119" s="580"/>
      <c r="M119" s="814"/>
      <c r="N119" s="806"/>
      <c r="O119" s="151"/>
      <c r="P119" s="151"/>
      <c r="AH119" s="43">
        <v>0</v>
      </c>
    </row>
    <row r="120" s="43" customFormat="1" ht="18.75" hidden="1" customHeight="1" spans="1:34">
      <c r="A120" s="81" t="s">
        <v>231</v>
      </c>
      <c r="B120" s="81" t="s">
        <v>232</v>
      </c>
      <c r="C120" s="789"/>
      <c r="D120" s="800"/>
      <c r="E120" s="295"/>
      <c r="F120" s="327" t="str">
        <f>INDEX(PT_DIFFERENTIATION_VTAR,MATCH(A120,PT_DIFFERENTIATION_VTAR_ID,0))</f>
        <v>Тариф на транспортировку воды</v>
      </c>
      <c r="G120" s="790" t="str">
        <f>INDEX(PT_DIFFERENTIATION_NTAR,MATCH(B120,PT_DIFFERENTIATION_NTAR_ID,0))</f>
        <v/>
      </c>
      <c r="H120" s="133"/>
      <c r="I120" s="803"/>
      <c r="J120" s="804"/>
      <c r="K120" s="263"/>
      <c r="L120" s="133" t="s">
        <v>302</v>
      </c>
      <c r="M120" s="814"/>
      <c r="N120" s="806"/>
      <c r="O120" s="151"/>
      <c r="P120" s="151"/>
      <c r="AH120" s="43">
        <v>0</v>
      </c>
    </row>
    <row r="121" s="43" customFormat="1" ht="18.75" hidden="1" customHeight="1" spans="1:34">
      <c r="A121" s="81"/>
      <c r="B121" s="81"/>
      <c r="C121" s="789" t="s">
        <v>1354</v>
      </c>
      <c r="D121" s="800"/>
      <c r="E121" s="295"/>
      <c r="F121" s="327"/>
      <c r="G121" s="790"/>
      <c r="H121" s="601"/>
      <c r="I121" s="332" t="s">
        <v>1353</v>
      </c>
      <c r="J121" s="780"/>
      <c r="K121" s="601"/>
      <c r="L121" s="580"/>
      <c r="M121" s="814"/>
      <c r="N121" s="806"/>
      <c r="O121" s="151"/>
      <c r="P121" s="151"/>
      <c r="AH121" s="43">
        <v>0</v>
      </c>
    </row>
    <row r="122" s="43" customFormat="1" ht="0.75" hidden="1" customHeight="1" spans="1:34">
      <c r="A122" s="81"/>
      <c r="B122" s="81"/>
      <c r="C122" s="789" t="s">
        <v>1361</v>
      </c>
      <c r="D122" s="800"/>
      <c r="E122" s="295"/>
      <c r="F122" s="327"/>
      <c r="G122" s="799"/>
      <c r="H122" s="601"/>
      <c r="I122" s="332"/>
      <c r="J122" s="780"/>
      <c r="K122" s="601"/>
      <c r="L122" s="580"/>
      <c r="M122" s="814"/>
      <c r="N122" s="806"/>
      <c r="O122" s="151"/>
      <c r="P122" s="151"/>
      <c r="AH122" s="43">
        <v>0</v>
      </c>
    </row>
    <row r="123" s="43" customFormat="1" ht="18.75" hidden="1" customHeight="1" spans="1:34">
      <c r="A123" s="81" t="s">
        <v>236</v>
      </c>
      <c r="B123" s="81" t="s">
        <v>237</v>
      </c>
      <c r="C123" s="789"/>
      <c r="D123" s="800"/>
      <c r="E123" s="295"/>
      <c r="F123" s="327" t="str">
        <f>INDEX(PT_DIFFERENTIATION_VTAR,MATCH(A123,PT_DIFFERENTIATION_VTAR_ID,0))</f>
        <v>Тариф на подвоз воды</v>
      </c>
      <c r="G123" s="790" t="str">
        <f>INDEX(PT_DIFFERENTIATION_NTAR,MATCH(B123,PT_DIFFERENTIATION_NTAR_ID,0))</f>
        <v/>
      </c>
      <c r="H123" s="133"/>
      <c r="I123" s="803"/>
      <c r="J123" s="804"/>
      <c r="K123" s="263"/>
      <c r="L123" s="133" t="s">
        <v>302</v>
      </c>
      <c r="M123" s="814"/>
      <c r="N123" s="806"/>
      <c r="O123" s="151"/>
      <c r="P123" s="151"/>
      <c r="AH123" s="43">
        <v>0</v>
      </c>
    </row>
    <row r="124" s="43" customFormat="1" ht="18.75" hidden="1" customHeight="1" spans="1:34">
      <c r="A124" s="81"/>
      <c r="B124" s="81"/>
      <c r="C124" s="789" t="s">
        <v>1354</v>
      </c>
      <c r="D124" s="800"/>
      <c r="E124" s="295"/>
      <c r="F124" s="327"/>
      <c r="G124" s="790"/>
      <c r="H124" s="601"/>
      <c r="I124" s="332" t="s">
        <v>1353</v>
      </c>
      <c r="J124" s="780"/>
      <c r="K124" s="601"/>
      <c r="L124" s="580"/>
      <c r="M124" s="814"/>
      <c r="N124" s="806"/>
      <c r="O124" s="151"/>
      <c r="P124" s="151"/>
      <c r="AH124" s="43">
        <v>0</v>
      </c>
    </row>
    <row r="125" s="43" customFormat="1" ht="0.75" hidden="1" customHeight="1" spans="1:34">
      <c r="A125" s="81"/>
      <c r="B125" s="81"/>
      <c r="C125" s="789" t="s">
        <v>1361</v>
      </c>
      <c r="D125" s="800"/>
      <c r="E125" s="295"/>
      <c r="F125" s="327"/>
      <c r="G125" s="799"/>
      <c r="H125" s="601"/>
      <c r="I125" s="332"/>
      <c r="J125" s="780"/>
      <c r="K125" s="601"/>
      <c r="L125" s="580"/>
      <c r="M125" s="814"/>
      <c r="N125" s="806"/>
      <c r="O125" s="151"/>
      <c r="P125" s="151"/>
      <c r="AH125" s="43">
        <v>0</v>
      </c>
    </row>
    <row r="126" s="43" customFormat="1" ht="18.75" hidden="1" customHeight="1" spans="1:34">
      <c r="A126" s="81" t="s">
        <v>241</v>
      </c>
      <c r="B126" s="81" t="s">
        <v>242</v>
      </c>
      <c r="C126" s="789"/>
      <c r="D126" s="800"/>
      <c r="E126" s="295"/>
      <c r="F126" s="32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790" t="str">
        <f>INDEX(PT_DIFFERENTIATION_NTAR,MATCH(B126,PT_DIFFERENTIATION_NTAR_ID,0))</f>
        <v/>
      </c>
      <c r="H126" s="133"/>
      <c r="I126" s="803"/>
      <c r="J126" s="804"/>
      <c r="K126" s="263"/>
      <c r="L126" s="133" t="s">
        <v>302</v>
      </c>
      <c r="M126" s="814"/>
      <c r="N126" s="806"/>
      <c r="O126" s="151"/>
      <c r="P126" s="151"/>
      <c r="AH126" s="43">
        <v>0</v>
      </c>
    </row>
    <row r="127" s="43" customFormat="1" ht="18.75" hidden="1" customHeight="1" spans="1:34">
      <c r="A127" s="81"/>
      <c r="B127" s="81"/>
      <c r="C127" s="789" t="s">
        <v>1354</v>
      </c>
      <c r="D127" s="800"/>
      <c r="E127" s="295"/>
      <c r="F127" s="327"/>
      <c r="G127" s="790"/>
      <c r="H127" s="601"/>
      <c r="I127" s="332" t="s">
        <v>1353</v>
      </c>
      <c r="J127" s="780"/>
      <c r="K127" s="601"/>
      <c r="L127" s="580"/>
      <c r="M127" s="814"/>
      <c r="N127" s="806"/>
      <c r="O127" s="151"/>
      <c r="P127" s="151"/>
      <c r="AH127" s="43">
        <v>0</v>
      </c>
    </row>
    <row r="128" s="43" customFormat="1" ht="0.75" hidden="1" customHeight="1" spans="1:34">
      <c r="A128" s="81"/>
      <c r="B128" s="81"/>
      <c r="C128" s="789" t="s">
        <v>1361</v>
      </c>
      <c r="D128" s="800"/>
      <c r="E128" s="295"/>
      <c r="F128" s="327"/>
      <c r="G128" s="799"/>
      <c r="H128" s="601"/>
      <c r="I128" s="332"/>
      <c r="J128" s="780"/>
      <c r="K128" s="601"/>
      <c r="L128" s="580"/>
      <c r="M128" s="814"/>
      <c r="N128" s="806"/>
      <c r="O128" s="151"/>
      <c r="P128" s="151"/>
      <c r="AH128" s="43">
        <v>0</v>
      </c>
    </row>
    <row r="129" s="43" customFormat="1" ht="18.75" hidden="1" customHeight="1" spans="1:34">
      <c r="A129" s="81" t="s">
        <v>246</v>
      </c>
      <c r="B129" s="81" t="s">
        <v>247</v>
      </c>
      <c r="C129" s="789"/>
      <c r="D129" s="800"/>
      <c r="E129" s="295"/>
      <c r="F129" s="327" t="str">
        <f>INDEX(PT_DIFFERENTIATION_VTAR,MATCH(A129,PT_DIFFERENTIATION_VTAR_ID,0))</f>
        <v>Тариф на горячую воду (горячее водоснабжение)</v>
      </c>
      <c r="G129" s="790" t="str">
        <f>INDEX(PT_DIFFERENTIATION_NTAR,MATCH(B129,PT_DIFFERENTIATION_NTAR_ID,0))</f>
        <v/>
      </c>
      <c r="H129" s="133"/>
      <c r="I129" s="803"/>
      <c r="J129" s="804"/>
      <c r="K129" s="263"/>
      <c r="L129" s="133" t="s">
        <v>302</v>
      </c>
      <c r="M129" s="814"/>
      <c r="N129" s="806"/>
      <c r="O129" s="151"/>
      <c r="P129" s="151"/>
      <c r="AH129" s="43">
        <v>0</v>
      </c>
    </row>
    <row r="130" s="43" customFormat="1" ht="18.75" hidden="1" customHeight="1" spans="1:34">
      <c r="A130" s="81"/>
      <c r="B130" s="81"/>
      <c r="C130" s="789" t="s">
        <v>1354</v>
      </c>
      <c r="D130" s="800"/>
      <c r="E130" s="295"/>
      <c r="F130" s="327"/>
      <c r="G130" s="790"/>
      <c r="H130" s="601"/>
      <c r="I130" s="332" t="s">
        <v>1353</v>
      </c>
      <c r="J130" s="780"/>
      <c r="K130" s="601"/>
      <c r="L130" s="580"/>
      <c r="M130" s="814"/>
      <c r="N130" s="806"/>
      <c r="O130" s="151"/>
      <c r="P130" s="151"/>
      <c r="AH130" s="43">
        <v>0</v>
      </c>
    </row>
    <row r="131" s="43" customFormat="1" ht="0.75" hidden="1" customHeight="1" spans="1:34">
      <c r="A131" s="81"/>
      <c r="B131" s="81"/>
      <c r="C131" s="789" t="s">
        <v>1361</v>
      </c>
      <c r="D131" s="800"/>
      <c r="E131" s="295"/>
      <c r="F131" s="327"/>
      <c r="G131" s="799"/>
      <c r="H131" s="601"/>
      <c r="I131" s="332"/>
      <c r="J131" s="780"/>
      <c r="K131" s="601"/>
      <c r="L131" s="580"/>
      <c r="M131" s="814"/>
      <c r="N131" s="806"/>
      <c r="O131" s="151"/>
      <c r="P131" s="151"/>
      <c r="AH131" s="43">
        <v>0</v>
      </c>
    </row>
    <row r="132" s="43" customFormat="1" ht="18.75" hidden="1" customHeight="1" spans="1:34">
      <c r="A132" s="81" t="s">
        <v>251</v>
      </c>
      <c r="B132" s="81" t="s">
        <v>252</v>
      </c>
      <c r="C132" s="789"/>
      <c r="D132" s="800"/>
      <c r="E132" s="295"/>
      <c r="F132" s="327" t="str">
        <f>INDEX(PT_DIFFERENTIATION_VTAR,MATCH(A132,PT_DIFFERENTIATION_VTAR_ID,0))</f>
        <v>Тариф на транспортировку горячей воды</v>
      </c>
      <c r="G132" s="790" t="str">
        <f>INDEX(PT_DIFFERENTIATION_NTAR,MATCH(B132,PT_DIFFERENTIATION_NTAR_ID,0))</f>
        <v/>
      </c>
      <c r="H132" s="133"/>
      <c r="I132" s="803"/>
      <c r="J132" s="804"/>
      <c r="K132" s="263"/>
      <c r="L132" s="133" t="s">
        <v>302</v>
      </c>
      <c r="M132" s="814"/>
      <c r="N132" s="806"/>
      <c r="O132" s="151"/>
      <c r="P132" s="151"/>
      <c r="AH132" s="43">
        <v>0</v>
      </c>
    </row>
    <row r="133" s="43" customFormat="1" ht="18.75" hidden="1" customHeight="1" spans="1:34">
      <c r="A133" s="81"/>
      <c r="B133" s="81"/>
      <c r="C133" s="789" t="s">
        <v>1354</v>
      </c>
      <c r="D133" s="800"/>
      <c r="E133" s="295"/>
      <c r="F133" s="327"/>
      <c r="G133" s="790"/>
      <c r="H133" s="601"/>
      <c r="I133" s="332" t="s">
        <v>1353</v>
      </c>
      <c r="J133" s="780"/>
      <c r="K133" s="601"/>
      <c r="L133" s="580"/>
      <c r="M133" s="814"/>
      <c r="N133" s="806"/>
      <c r="O133" s="151"/>
      <c r="P133" s="151"/>
      <c r="AH133" s="43">
        <v>0</v>
      </c>
    </row>
    <row r="134" s="43" customFormat="1" ht="0.75" hidden="1" customHeight="1" spans="1:34">
      <c r="A134" s="81"/>
      <c r="B134" s="81"/>
      <c r="C134" s="789" t="s">
        <v>1361</v>
      </c>
      <c r="D134" s="800"/>
      <c r="E134" s="295"/>
      <c r="F134" s="327"/>
      <c r="G134" s="799"/>
      <c r="H134" s="601"/>
      <c r="I134" s="332"/>
      <c r="J134" s="780"/>
      <c r="K134" s="601"/>
      <c r="L134" s="580"/>
      <c r="M134" s="814"/>
      <c r="N134" s="806"/>
      <c r="O134" s="151"/>
      <c r="P134" s="151"/>
      <c r="AH134" s="43">
        <v>0</v>
      </c>
    </row>
    <row r="135" s="43" customFormat="1" ht="18.75" hidden="1" customHeight="1" spans="1:34">
      <c r="A135" s="81" t="s">
        <v>256</v>
      </c>
      <c r="B135" s="81" t="s">
        <v>257</v>
      </c>
      <c r="C135" s="789"/>
      <c r="D135" s="800"/>
      <c r="E135" s="295"/>
      <c r="F135" s="327" t="str">
        <f>INDEX(PT_DIFFERENTIATION_VTAR,MATCH(A135,PT_DIFFERENTIATION_VTAR_ID,0))</f>
        <v>Тариф на подключение (технологическое присоединение) к централизованной системе горячего водоснабжения</v>
      </c>
      <c r="G135" s="790" t="str">
        <f>INDEX(PT_DIFFERENTIATION_NTAR,MATCH(B135,PT_DIFFERENTIATION_NTAR_ID,0))</f>
        <v/>
      </c>
      <c r="H135" s="133"/>
      <c r="I135" s="803"/>
      <c r="J135" s="804"/>
      <c r="K135" s="263"/>
      <c r="L135" s="133" t="s">
        <v>302</v>
      </c>
      <c r="M135" s="814"/>
      <c r="N135" s="806"/>
      <c r="O135" s="151"/>
      <c r="P135" s="151"/>
      <c r="AH135" s="43">
        <v>0</v>
      </c>
    </row>
    <row r="136" s="43" customFormat="1" ht="18.75" hidden="1" customHeight="1" spans="1:34">
      <c r="A136" s="81"/>
      <c r="B136" s="81"/>
      <c r="C136" s="789" t="s">
        <v>1354</v>
      </c>
      <c r="D136" s="800"/>
      <c r="E136" s="295"/>
      <c r="F136" s="327"/>
      <c r="G136" s="790"/>
      <c r="H136" s="601"/>
      <c r="I136" s="332" t="s">
        <v>1353</v>
      </c>
      <c r="J136" s="780"/>
      <c r="K136" s="601"/>
      <c r="L136" s="580"/>
      <c r="M136" s="814"/>
      <c r="N136" s="806"/>
      <c r="O136" s="151"/>
      <c r="P136" s="151"/>
      <c r="AH136" s="43">
        <v>0</v>
      </c>
    </row>
    <row r="137" s="43" customFormat="1" ht="0.75" hidden="1" customHeight="1" spans="1:34">
      <c r="A137" s="81"/>
      <c r="B137" s="81"/>
      <c r="C137" s="789" t="s">
        <v>1361</v>
      </c>
      <c r="D137" s="800"/>
      <c r="E137" s="295"/>
      <c r="F137" s="327"/>
      <c r="G137" s="799"/>
      <c r="H137" s="601"/>
      <c r="I137" s="332"/>
      <c r="J137" s="780"/>
      <c r="K137" s="601"/>
      <c r="L137" s="580"/>
      <c r="M137" s="814"/>
      <c r="N137" s="806"/>
      <c r="O137" s="151"/>
      <c r="P137" s="151"/>
      <c r="AH137" s="43">
        <v>0</v>
      </c>
    </row>
    <row r="138" s="43" customFormat="1" ht="18.75" hidden="1" customHeight="1" spans="1:34">
      <c r="A138" s="81" t="s">
        <v>261</v>
      </c>
      <c r="B138" s="81" t="s">
        <v>262</v>
      </c>
      <c r="C138" s="789"/>
      <c r="D138" s="800"/>
      <c r="E138" s="295"/>
      <c r="F138" s="327" t="str">
        <f>INDEX(PT_DIFFERENTIATION_VTAR,MATCH(A138,PT_DIFFERENTIATION_VTAR_ID,0))</f>
        <v>Тариф на водоотведение</v>
      </c>
      <c r="G138" s="790" t="str">
        <f>INDEX(PT_DIFFERENTIATION_NTAR,MATCH(B138,PT_DIFFERENTIATION_NTAR_ID,0))</f>
        <v/>
      </c>
      <c r="H138" s="133"/>
      <c r="I138" s="803"/>
      <c r="J138" s="804"/>
      <c r="K138" s="263"/>
      <c r="L138" s="133" t="s">
        <v>302</v>
      </c>
      <c r="M138" s="814"/>
      <c r="N138" s="806"/>
      <c r="O138" s="151"/>
      <c r="P138" s="151"/>
      <c r="AH138" s="43">
        <v>0</v>
      </c>
    </row>
    <row r="139" s="43" customFormat="1" ht="18.75" hidden="1" customHeight="1" spans="1:34">
      <c r="A139" s="81"/>
      <c r="B139" s="81"/>
      <c r="C139" s="789" t="s">
        <v>1354</v>
      </c>
      <c r="D139" s="800"/>
      <c r="E139" s="295"/>
      <c r="F139" s="327"/>
      <c r="G139" s="790"/>
      <c r="H139" s="601"/>
      <c r="I139" s="332" t="s">
        <v>1353</v>
      </c>
      <c r="J139" s="780"/>
      <c r="K139" s="601"/>
      <c r="L139" s="580"/>
      <c r="M139" s="814"/>
      <c r="N139" s="806"/>
      <c r="O139" s="151"/>
      <c r="P139" s="151"/>
      <c r="AH139" s="43">
        <v>0</v>
      </c>
    </row>
    <row r="140" s="43" customFormat="1" ht="0.75" hidden="1" customHeight="1" spans="1:34">
      <c r="A140" s="81"/>
      <c r="B140" s="81"/>
      <c r="C140" s="789" t="s">
        <v>1361</v>
      </c>
      <c r="D140" s="800"/>
      <c r="E140" s="295"/>
      <c r="F140" s="327"/>
      <c r="G140" s="799"/>
      <c r="H140" s="601"/>
      <c r="I140" s="332"/>
      <c r="J140" s="780"/>
      <c r="K140" s="601"/>
      <c r="L140" s="580"/>
      <c r="M140" s="814"/>
      <c r="N140" s="806"/>
      <c r="O140" s="151"/>
      <c r="P140" s="151"/>
      <c r="AH140" s="43">
        <v>0</v>
      </c>
    </row>
    <row r="141" s="43" customFormat="1" ht="18.75" hidden="1" customHeight="1" spans="1:34">
      <c r="A141" s="81" t="s">
        <v>266</v>
      </c>
      <c r="B141" s="81" t="s">
        <v>267</v>
      </c>
      <c r="C141" s="789"/>
      <c r="D141" s="800"/>
      <c r="E141" s="295"/>
      <c r="F141" s="327" t="str">
        <f>INDEX(PT_DIFFERENTIATION_VTAR,MATCH(A141,PT_DIFFERENTIATION_VTAR_ID,0))</f>
        <v>Тариф на транспортировку сточных вод</v>
      </c>
      <c r="G141" s="790" t="str">
        <f>INDEX(PT_DIFFERENTIATION_NTAR,MATCH(B141,PT_DIFFERENTIATION_NTAR_ID,0))</f>
        <v/>
      </c>
      <c r="H141" s="133"/>
      <c r="I141" s="803"/>
      <c r="J141" s="804"/>
      <c r="K141" s="263"/>
      <c r="L141" s="133" t="s">
        <v>302</v>
      </c>
      <c r="M141" s="814"/>
      <c r="N141" s="806"/>
      <c r="O141" s="151"/>
      <c r="P141" s="151"/>
      <c r="AH141" s="43">
        <v>0</v>
      </c>
    </row>
    <row r="142" s="43" customFormat="1" ht="18.75" hidden="1" customHeight="1" spans="1:34">
      <c r="A142" s="81"/>
      <c r="B142" s="81"/>
      <c r="C142" s="789" t="s">
        <v>1354</v>
      </c>
      <c r="D142" s="800"/>
      <c r="E142" s="295"/>
      <c r="F142" s="327"/>
      <c r="G142" s="790"/>
      <c r="H142" s="601"/>
      <c r="I142" s="332" t="s">
        <v>1353</v>
      </c>
      <c r="J142" s="780"/>
      <c r="K142" s="601"/>
      <c r="L142" s="580"/>
      <c r="M142" s="814"/>
      <c r="N142" s="806"/>
      <c r="O142" s="151"/>
      <c r="P142" s="151"/>
      <c r="AH142" s="43">
        <v>0</v>
      </c>
    </row>
    <row r="143" s="43" customFormat="1" ht="0.75" hidden="1" customHeight="1" spans="1:34">
      <c r="A143" s="81"/>
      <c r="B143" s="81"/>
      <c r="C143" s="789" t="s">
        <v>1361</v>
      </c>
      <c r="D143" s="800"/>
      <c r="E143" s="295"/>
      <c r="F143" s="327"/>
      <c r="G143" s="799"/>
      <c r="H143" s="601"/>
      <c r="I143" s="332"/>
      <c r="J143" s="780"/>
      <c r="K143" s="601"/>
      <c r="L143" s="580"/>
      <c r="M143" s="814"/>
      <c r="N143" s="806"/>
      <c r="O143" s="151"/>
      <c r="P143" s="151"/>
      <c r="AH143" s="43">
        <v>0</v>
      </c>
    </row>
    <row r="144" s="43" customFormat="1" ht="18.75" hidden="1" customHeight="1" spans="1:34">
      <c r="A144" s="81" t="s">
        <v>271</v>
      </c>
      <c r="B144" s="81" t="s">
        <v>272</v>
      </c>
      <c r="C144" s="789"/>
      <c r="D144" s="800"/>
      <c r="E144" s="295"/>
      <c r="F144" s="327" t="str">
        <f>INDEX(PT_DIFFERENTIATION_VTAR,MATCH(A144,PT_DIFFERENTIATION_VTAR_ID,0))</f>
        <v>Тариф на подключение (технологическое присоединение) к централизованной системе водоотведения</v>
      </c>
      <c r="G144" s="790" t="str">
        <f>INDEX(PT_DIFFERENTIATION_NTAR,MATCH(B144,PT_DIFFERENTIATION_NTAR_ID,0))</f>
        <v/>
      </c>
      <c r="H144" s="133"/>
      <c r="I144" s="803"/>
      <c r="J144" s="804"/>
      <c r="K144" s="263"/>
      <c r="L144" s="133" t="s">
        <v>302</v>
      </c>
      <c r="M144" s="814"/>
      <c r="N144" s="806"/>
      <c r="O144" s="151"/>
      <c r="P144" s="151"/>
      <c r="AH144" s="43">
        <v>0</v>
      </c>
    </row>
    <row r="145" s="43" customFormat="1" ht="18.75" hidden="1" customHeight="1" spans="1:34">
      <c r="A145" s="81"/>
      <c r="B145" s="81"/>
      <c r="C145" s="789" t="s">
        <v>1354</v>
      </c>
      <c r="D145" s="800"/>
      <c r="E145" s="295"/>
      <c r="F145" s="327"/>
      <c r="G145" s="790"/>
      <c r="H145" s="601"/>
      <c r="I145" s="332" t="s">
        <v>1353</v>
      </c>
      <c r="J145" s="780"/>
      <c r="K145" s="601"/>
      <c r="L145" s="580"/>
      <c r="M145" s="814"/>
      <c r="N145" s="806"/>
      <c r="O145" s="151"/>
      <c r="P145" s="151"/>
      <c r="AH145" s="43">
        <v>0</v>
      </c>
    </row>
    <row r="146" s="43" customFormat="1" ht="1.05" customHeight="1" spans="1:34">
      <c r="A146" s="81"/>
      <c r="B146" s="81"/>
      <c r="C146" s="789" t="s">
        <v>1361</v>
      </c>
      <c r="D146" s="800"/>
      <c r="E146" s="295"/>
      <c r="F146" s="327"/>
      <c r="G146" s="799"/>
      <c r="H146" s="601"/>
      <c r="I146" s="332"/>
      <c r="J146" s="780"/>
      <c r="K146" s="601"/>
      <c r="L146" s="580"/>
      <c r="M146" s="814"/>
      <c r="N146" s="806"/>
      <c r="O146" s="151"/>
      <c r="P146" s="151"/>
      <c r="AH146" s="43">
        <v>1</v>
      </c>
    </row>
    <row r="147" ht="19.95" customHeight="1" spans="1:34">
      <c r="A147" s="81"/>
      <c r="B147" s="81"/>
      <c r="D147" s="51"/>
      <c r="E147" s="295" t="s">
        <v>92</v>
      </c>
      <c r="F147" s="4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467"/>
      <c r="H147" s="467"/>
      <c r="I147" s="467"/>
      <c r="J147" s="467"/>
      <c r="K147" s="467"/>
      <c r="L147" s="467"/>
      <c r="M147" s="813"/>
      <c r="N147" s="806"/>
      <c r="AH147" s="43">
        <v>19</v>
      </c>
    </row>
    <row r="148" s="43" customFormat="1" ht="60.75" hidden="1" customHeight="1" spans="1:34">
      <c r="A148" s="81" t="s">
        <v>153</v>
      </c>
      <c r="B148" s="81" t="s">
        <v>154</v>
      </c>
      <c r="C148" s="789"/>
      <c r="D148" s="800"/>
      <c r="E148" s="295"/>
      <c r="F148" s="32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790" t="str">
        <f>INDEX(PT_DIFFERENTIATION_NTAR,MATCH(B148,PT_DIFFERENTIATION_NTAR_ID,0))</f>
        <v/>
      </c>
      <c r="H148" s="133"/>
      <c r="I148" s="803"/>
      <c r="J148" s="804"/>
      <c r="K148" s="263"/>
      <c r="L148" s="133" t="s">
        <v>302</v>
      </c>
      <c r="M148" s="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806"/>
      <c r="O148" s="151"/>
      <c r="P148" s="151"/>
      <c r="AH148" s="43">
        <v>0</v>
      </c>
    </row>
    <row r="149" s="43" customFormat="1" ht="18.75" hidden="1" customHeight="1" spans="1:34">
      <c r="A149" s="81"/>
      <c r="B149" s="81"/>
      <c r="C149" s="789" t="s">
        <v>1354</v>
      </c>
      <c r="D149" s="800"/>
      <c r="E149" s="295"/>
      <c r="F149" s="327"/>
      <c r="G149" s="790"/>
      <c r="H149" s="601"/>
      <c r="I149" s="332" t="s">
        <v>1353</v>
      </c>
      <c r="J149" s="780"/>
      <c r="K149" s="601"/>
      <c r="L149" s="580"/>
      <c r="M149" s="779"/>
      <c r="N149" s="806"/>
      <c r="O149" s="151"/>
      <c r="P149" s="151"/>
      <c r="AH149" s="43">
        <v>0</v>
      </c>
    </row>
    <row r="150" s="43" customFormat="1" ht="0.75" hidden="1" customHeight="1" spans="1:34">
      <c r="A150" s="81"/>
      <c r="B150" s="81"/>
      <c r="C150" s="789" t="s">
        <v>1361</v>
      </c>
      <c r="D150" s="800"/>
      <c r="E150" s="295"/>
      <c r="F150" s="327"/>
      <c r="G150" s="799"/>
      <c r="H150" s="601"/>
      <c r="I150" s="332"/>
      <c r="J150" s="780"/>
      <c r="K150" s="601"/>
      <c r="L150" s="580"/>
      <c r="M150" s="779"/>
      <c r="N150" s="806"/>
      <c r="O150" s="151"/>
      <c r="P150" s="151"/>
      <c r="AH150" s="43">
        <v>0</v>
      </c>
    </row>
    <row r="151" s="43" customFormat="1" ht="45" hidden="1" customHeight="1" spans="1:34">
      <c r="A151" s="81" t="s">
        <v>158</v>
      </c>
      <c r="B151" s="81" t="s">
        <v>159</v>
      </c>
      <c r="C151" s="789"/>
      <c r="D151" s="800"/>
      <c r="E151" s="295"/>
      <c r="F151" s="327" t="str">
        <f>INDEX(PT_DIFFERENTIATION_VTAR,MATCH(A151,PT_DIFFERENTIATION_VTAR_ID,0))</f>
        <v/>
      </c>
      <c r="G151" s="790" t="str">
        <f>INDEX(PT_DIFFERENTIATION_NTAR,MATCH(B151,PT_DIFFERENTIATION_NTAR_ID,0))</f>
        <v/>
      </c>
      <c r="H151" s="133"/>
      <c r="I151" s="803"/>
      <c r="J151" s="804"/>
      <c r="K151" s="263"/>
      <c r="L151" s="133" t="s">
        <v>302</v>
      </c>
      <c r="M151" s="584"/>
      <c r="N151" s="806"/>
      <c r="O151" s="151"/>
      <c r="P151" s="151"/>
      <c r="AH151" s="43">
        <v>0</v>
      </c>
    </row>
    <row r="152" s="43" customFormat="1" ht="18.75" hidden="1" customHeight="1" spans="1:34">
      <c r="A152" s="81"/>
      <c r="B152" s="81"/>
      <c r="C152" s="789" t="s">
        <v>1354</v>
      </c>
      <c r="D152" s="800"/>
      <c r="E152" s="295"/>
      <c r="F152" s="327"/>
      <c r="G152" s="790"/>
      <c r="H152" s="601"/>
      <c r="I152" s="332" t="s">
        <v>1353</v>
      </c>
      <c r="J152" s="780"/>
      <c r="K152" s="601"/>
      <c r="L152" s="580"/>
      <c r="M152" s="779"/>
      <c r="N152" s="806"/>
      <c r="O152" s="151"/>
      <c r="P152" s="151"/>
      <c r="AH152" s="43">
        <v>0</v>
      </c>
    </row>
    <row r="153" s="43" customFormat="1" ht="0.75" hidden="1" customHeight="1" spans="1:34">
      <c r="A153" s="81"/>
      <c r="B153" s="81"/>
      <c r="C153" s="789" t="s">
        <v>1361</v>
      </c>
      <c r="D153" s="800"/>
      <c r="E153" s="295"/>
      <c r="F153" s="327"/>
      <c r="G153" s="799"/>
      <c r="H153" s="601"/>
      <c r="I153" s="332"/>
      <c r="J153" s="780"/>
      <c r="K153" s="601"/>
      <c r="L153" s="580"/>
      <c r="M153" s="814"/>
      <c r="N153" s="806"/>
      <c r="O153" s="151"/>
      <c r="P153" s="151"/>
      <c r="AH153" s="43">
        <v>0</v>
      </c>
    </row>
    <row r="154" s="43" customFormat="1" ht="45" hidden="1" customHeight="1" spans="1:34">
      <c r="A154" s="81" t="s">
        <v>165</v>
      </c>
      <c r="B154" s="81" t="s">
        <v>166</v>
      </c>
      <c r="C154" s="789"/>
      <c r="D154" s="800"/>
      <c r="E154" s="295"/>
      <c r="F154" s="32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790" t="str">
        <f>INDEX(PT_DIFFERENTIATION_NTAR,MATCH(B154,PT_DIFFERENTIATION_NTAR_ID,0))</f>
        <v/>
      </c>
      <c r="H154" s="133"/>
      <c r="I154" s="803"/>
      <c r="J154" s="804"/>
      <c r="K154" s="263"/>
      <c r="L154" s="133" t="s">
        <v>302</v>
      </c>
      <c r="M154" s="814"/>
      <c r="N154" s="806"/>
      <c r="O154" s="151"/>
      <c r="P154" s="151"/>
      <c r="AH154" s="43">
        <v>0</v>
      </c>
    </row>
    <row r="155" s="43" customFormat="1" ht="18.75" hidden="1" customHeight="1" spans="1:34">
      <c r="A155" s="81"/>
      <c r="B155" s="81"/>
      <c r="C155" s="789" t="s">
        <v>1354</v>
      </c>
      <c r="D155" s="800"/>
      <c r="E155" s="295"/>
      <c r="F155" s="327"/>
      <c r="G155" s="790"/>
      <c r="H155" s="601"/>
      <c r="I155" s="332" t="s">
        <v>1353</v>
      </c>
      <c r="J155" s="780"/>
      <c r="K155" s="601"/>
      <c r="L155" s="580"/>
      <c r="M155" s="814"/>
      <c r="N155" s="806"/>
      <c r="O155" s="151"/>
      <c r="P155" s="151"/>
      <c r="AH155" s="43">
        <v>0</v>
      </c>
    </row>
    <row r="156" s="43" customFormat="1" ht="0.75" hidden="1" customHeight="1" spans="1:34">
      <c r="A156" s="81"/>
      <c r="B156" s="81"/>
      <c r="C156" s="789" t="s">
        <v>1361</v>
      </c>
      <c r="D156" s="800"/>
      <c r="E156" s="295"/>
      <c r="F156" s="327"/>
      <c r="G156" s="799"/>
      <c r="H156" s="601"/>
      <c r="I156" s="332"/>
      <c r="J156" s="780"/>
      <c r="K156" s="601"/>
      <c r="L156" s="580"/>
      <c r="M156" s="814"/>
      <c r="N156" s="806"/>
      <c r="O156" s="151"/>
      <c r="P156" s="151"/>
      <c r="AH156" s="43">
        <v>0</v>
      </c>
    </row>
    <row r="157" s="43" customFormat="1" ht="45" hidden="1" customHeight="1" spans="1:34">
      <c r="A157" s="81" t="s">
        <v>171</v>
      </c>
      <c r="B157" s="81" t="s">
        <v>172</v>
      </c>
      <c r="C157" s="789"/>
      <c r="D157" s="800"/>
      <c r="E157" s="295"/>
      <c r="F157" s="32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790" t="str">
        <f>INDEX(PT_DIFFERENTIATION_NTAR,MATCH(B157,PT_DIFFERENTIATION_NTAR_ID,0))</f>
        <v/>
      </c>
      <c r="H157" s="133"/>
      <c r="I157" s="803"/>
      <c r="J157" s="804"/>
      <c r="K157" s="263"/>
      <c r="L157" s="133" t="s">
        <v>302</v>
      </c>
      <c r="M157" s="814"/>
      <c r="N157" s="806"/>
      <c r="O157" s="151"/>
      <c r="P157" s="151"/>
      <c r="AH157" s="43">
        <v>0</v>
      </c>
    </row>
    <row r="158" s="43" customFormat="1" ht="18.75" hidden="1" customHeight="1" spans="1:34">
      <c r="A158" s="81"/>
      <c r="B158" s="81"/>
      <c r="C158" s="789" t="s">
        <v>1354</v>
      </c>
      <c r="D158" s="800"/>
      <c r="E158" s="295"/>
      <c r="F158" s="327"/>
      <c r="G158" s="790"/>
      <c r="H158" s="601"/>
      <c r="I158" s="332" t="s">
        <v>1353</v>
      </c>
      <c r="J158" s="780"/>
      <c r="K158" s="601"/>
      <c r="L158" s="580"/>
      <c r="M158" s="814"/>
      <c r="N158" s="806"/>
      <c r="O158" s="151"/>
      <c r="P158" s="151"/>
      <c r="AH158" s="43">
        <v>0</v>
      </c>
    </row>
    <row r="159" s="43" customFormat="1" ht="0.75" hidden="1" customHeight="1" spans="1:34">
      <c r="A159" s="81"/>
      <c r="B159" s="81"/>
      <c r="C159" s="789" t="s">
        <v>1361</v>
      </c>
      <c r="D159" s="800"/>
      <c r="E159" s="295"/>
      <c r="F159" s="327"/>
      <c r="G159" s="799"/>
      <c r="H159" s="601"/>
      <c r="I159" s="332"/>
      <c r="J159" s="780"/>
      <c r="K159" s="601"/>
      <c r="L159" s="580"/>
      <c r="M159" s="814"/>
      <c r="N159" s="806"/>
      <c r="O159" s="151"/>
      <c r="P159" s="151"/>
      <c r="AH159" s="43">
        <v>0</v>
      </c>
    </row>
    <row r="160" s="43" customFormat="1" ht="18.75" hidden="1" customHeight="1" spans="1:34">
      <c r="A160" s="81" t="s">
        <v>177</v>
      </c>
      <c r="B160" s="81" t="s">
        <v>178</v>
      </c>
      <c r="C160" s="789"/>
      <c r="D160" s="800"/>
      <c r="E160" s="295"/>
      <c r="F160" s="327" t="str">
        <f>INDEX(PT_DIFFERENTIATION_VTAR,MATCH(A160,PT_DIFFERENTIATION_VTAR_ID,0))</f>
        <v>Тарифы на услуги по передаче тепловой энергии</v>
      </c>
      <c r="G160" s="790" t="str">
        <f>INDEX(PT_DIFFERENTIATION_NTAR,MATCH(B160,PT_DIFFERENTIATION_NTAR_ID,0))</f>
        <v/>
      </c>
      <c r="H160" s="133"/>
      <c r="I160" s="803"/>
      <c r="J160" s="804"/>
      <c r="K160" s="263"/>
      <c r="L160" s="133" t="s">
        <v>302</v>
      </c>
      <c r="M160" s="814"/>
      <c r="N160" s="806"/>
      <c r="O160" s="151"/>
      <c r="P160" s="151"/>
      <c r="AH160" s="43">
        <v>0</v>
      </c>
    </row>
    <row r="161" s="43" customFormat="1" ht="18.75" hidden="1" customHeight="1" spans="1:34">
      <c r="A161" s="81"/>
      <c r="B161" s="81"/>
      <c r="C161" s="789" t="s">
        <v>1354</v>
      </c>
      <c r="D161" s="800"/>
      <c r="E161" s="295"/>
      <c r="F161" s="327"/>
      <c r="G161" s="790"/>
      <c r="H161" s="601"/>
      <c r="I161" s="332" t="s">
        <v>1353</v>
      </c>
      <c r="J161" s="780"/>
      <c r="K161" s="601"/>
      <c r="L161" s="580"/>
      <c r="M161" s="814"/>
      <c r="N161" s="806"/>
      <c r="O161" s="151"/>
      <c r="P161" s="151"/>
      <c r="AH161" s="43">
        <v>0</v>
      </c>
    </row>
    <row r="162" s="43" customFormat="1" ht="0.75" hidden="1" customHeight="1" spans="1:34">
      <c r="A162" s="81"/>
      <c r="B162" s="81"/>
      <c r="C162" s="789" t="s">
        <v>1361</v>
      </c>
      <c r="D162" s="800"/>
      <c r="E162" s="295"/>
      <c r="F162" s="327"/>
      <c r="G162" s="799"/>
      <c r="H162" s="601"/>
      <c r="I162" s="332"/>
      <c r="J162" s="780"/>
      <c r="K162" s="601"/>
      <c r="L162" s="580"/>
      <c r="M162" s="814"/>
      <c r="N162" s="806"/>
      <c r="O162" s="151"/>
      <c r="P162" s="151"/>
      <c r="AH162" s="43">
        <v>0</v>
      </c>
    </row>
    <row r="163" s="43" customFormat="1" ht="18.75" hidden="1" customHeight="1" spans="1:34">
      <c r="A163" s="81" t="s">
        <v>183</v>
      </c>
      <c r="B163" s="81" t="s">
        <v>184</v>
      </c>
      <c r="C163" s="789"/>
      <c r="D163" s="800"/>
      <c r="E163" s="295"/>
      <c r="F163" s="327" t="str">
        <f>INDEX(PT_DIFFERENTIATION_VTAR,MATCH(A163,PT_DIFFERENTIATION_VTAR_ID,0))</f>
        <v>Тарифы на услуги по передаче теплоносителя</v>
      </c>
      <c r="G163" s="790" t="str">
        <f>INDEX(PT_DIFFERENTIATION_NTAR,MATCH(B163,PT_DIFFERENTIATION_NTAR_ID,0))</f>
        <v/>
      </c>
      <c r="H163" s="133"/>
      <c r="I163" s="803"/>
      <c r="J163" s="804"/>
      <c r="K163" s="263"/>
      <c r="L163" s="133" t="s">
        <v>302</v>
      </c>
      <c r="M163" s="814"/>
      <c r="N163" s="806"/>
      <c r="O163" s="151"/>
      <c r="P163" s="151"/>
      <c r="AH163" s="43">
        <v>0</v>
      </c>
    </row>
    <row r="164" s="43" customFormat="1" ht="18.75" hidden="1" customHeight="1" spans="1:34">
      <c r="A164" s="81"/>
      <c r="B164" s="81"/>
      <c r="C164" s="789" t="s">
        <v>1354</v>
      </c>
      <c r="D164" s="800"/>
      <c r="E164" s="295"/>
      <c r="F164" s="327"/>
      <c r="G164" s="790"/>
      <c r="H164" s="601"/>
      <c r="I164" s="332" t="s">
        <v>1353</v>
      </c>
      <c r="J164" s="780"/>
      <c r="K164" s="601"/>
      <c r="L164" s="580"/>
      <c r="M164" s="814"/>
      <c r="N164" s="806"/>
      <c r="O164" s="151"/>
      <c r="P164" s="151"/>
      <c r="AH164" s="43">
        <v>0</v>
      </c>
    </row>
    <row r="165" s="43" customFormat="1" ht="0.75" hidden="1" customHeight="1" spans="1:34">
      <c r="A165" s="81"/>
      <c r="B165" s="81"/>
      <c r="C165" s="789" t="s">
        <v>1361</v>
      </c>
      <c r="D165" s="800"/>
      <c r="E165" s="295"/>
      <c r="F165" s="327"/>
      <c r="G165" s="799"/>
      <c r="H165" s="601"/>
      <c r="I165" s="332"/>
      <c r="J165" s="780"/>
      <c r="K165" s="601"/>
      <c r="L165" s="580"/>
      <c r="M165" s="814"/>
      <c r="N165" s="806"/>
      <c r="O165" s="151"/>
      <c r="P165" s="151"/>
      <c r="AH165" s="43">
        <v>0</v>
      </c>
    </row>
    <row r="166" s="43" customFormat="1" ht="18.75" hidden="1" customHeight="1" spans="1:34">
      <c r="A166" s="81" t="s">
        <v>189</v>
      </c>
      <c r="B166" s="81" t="s">
        <v>190</v>
      </c>
      <c r="C166" s="789"/>
      <c r="D166" s="800"/>
      <c r="E166" s="295"/>
      <c r="F166" s="32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790" t="str">
        <f>INDEX(PT_DIFFERENTIATION_NTAR,MATCH(B166,PT_DIFFERENTIATION_NTAR_ID,0))</f>
        <v/>
      </c>
      <c r="H166" s="133"/>
      <c r="I166" s="803"/>
      <c r="J166" s="804"/>
      <c r="K166" s="263"/>
      <c r="L166" s="133" t="s">
        <v>302</v>
      </c>
      <c r="M166" s="814"/>
      <c r="N166" s="806"/>
      <c r="O166" s="151"/>
      <c r="P166" s="151"/>
      <c r="AH166" s="43">
        <v>0</v>
      </c>
    </row>
    <row r="167" s="43" customFormat="1" ht="18.75" hidden="1" customHeight="1" spans="1:34">
      <c r="A167" s="81"/>
      <c r="B167" s="81"/>
      <c r="C167" s="789" t="s">
        <v>1354</v>
      </c>
      <c r="D167" s="800"/>
      <c r="E167" s="295"/>
      <c r="F167" s="327"/>
      <c r="G167" s="790"/>
      <c r="H167" s="601"/>
      <c r="I167" s="332" t="s">
        <v>1353</v>
      </c>
      <c r="J167" s="780"/>
      <c r="K167" s="601"/>
      <c r="L167" s="580"/>
      <c r="M167" s="814"/>
      <c r="N167" s="806"/>
      <c r="O167" s="151"/>
      <c r="P167" s="151"/>
      <c r="AH167" s="43">
        <v>0</v>
      </c>
    </row>
    <row r="168" s="43" customFormat="1" ht="0.75" hidden="1" customHeight="1" spans="1:34">
      <c r="A168" s="81"/>
      <c r="B168" s="81"/>
      <c r="C168" s="789" t="s">
        <v>1361</v>
      </c>
      <c r="D168" s="800"/>
      <c r="E168" s="295"/>
      <c r="F168" s="327"/>
      <c r="G168" s="799"/>
      <c r="H168" s="601"/>
      <c r="I168" s="332"/>
      <c r="J168" s="780"/>
      <c r="K168" s="601"/>
      <c r="L168" s="580"/>
      <c r="M168" s="814"/>
      <c r="N168" s="806"/>
      <c r="O168" s="151"/>
      <c r="P168" s="151"/>
      <c r="AH168" s="43">
        <v>0</v>
      </c>
    </row>
    <row r="169" s="43" customFormat="1" ht="18.75" hidden="1" customHeight="1" spans="1:34">
      <c r="A169" s="81" t="s">
        <v>195</v>
      </c>
      <c r="B169" s="81" t="s">
        <v>196</v>
      </c>
      <c r="C169" s="789"/>
      <c r="D169" s="800"/>
      <c r="E169" s="295"/>
      <c r="F169" s="327" t="str">
        <f>INDEX(PT_DIFFERENTIATION_VTAR,MATCH(A169,PT_DIFFERENTIATION_VTAR_ID,0))</f>
        <v>Плата за подключение (технологическое присоединение) к системе теплоснабжения</v>
      </c>
      <c r="G169" s="790" t="str">
        <f>INDEX(PT_DIFFERENTIATION_NTAR,MATCH(B169,PT_DIFFERENTIATION_NTAR_ID,0))</f>
        <v/>
      </c>
      <c r="H169" s="133"/>
      <c r="I169" s="803"/>
      <c r="J169" s="804"/>
      <c r="K169" s="263"/>
      <c r="L169" s="133" t="s">
        <v>302</v>
      </c>
      <c r="M169" s="814"/>
      <c r="N169" s="806"/>
      <c r="O169" s="151"/>
      <c r="P169" s="151"/>
      <c r="AH169" s="43">
        <v>0</v>
      </c>
    </row>
    <row r="170" s="43" customFormat="1" ht="18.75" hidden="1" customHeight="1" spans="1:34">
      <c r="A170" s="81"/>
      <c r="B170" s="81"/>
      <c r="C170" s="789" t="s">
        <v>1354</v>
      </c>
      <c r="D170" s="800"/>
      <c r="E170" s="295"/>
      <c r="F170" s="327"/>
      <c r="G170" s="790"/>
      <c r="H170" s="601"/>
      <c r="I170" s="332" t="s">
        <v>1353</v>
      </c>
      <c r="J170" s="780"/>
      <c r="K170" s="601"/>
      <c r="L170" s="580"/>
      <c r="M170" s="814"/>
      <c r="N170" s="806"/>
      <c r="O170" s="151"/>
      <c r="P170" s="151"/>
      <c r="AH170" s="43">
        <v>0</v>
      </c>
    </row>
    <row r="171" s="43" customFormat="1" ht="0.75" hidden="1" customHeight="1" spans="1:34">
      <c r="A171" s="81"/>
      <c r="B171" s="81"/>
      <c r="C171" s="789" t="s">
        <v>1361</v>
      </c>
      <c r="D171" s="800"/>
      <c r="E171" s="295"/>
      <c r="F171" s="327"/>
      <c r="G171" s="799"/>
      <c r="H171" s="601"/>
      <c r="I171" s="332"/>
      <c r="J171" s="780"/>
      <c r="K171" s="601"/>
      <c r="L171" s="580"/>
      <c r="M171" s="814"/>
      <c r="N171" s="806"/>
      <c r="O171" s="151"/>
      <c r="P171" s="151"/>
      <c r="AH171" s="43">
        <v>0</v>
      </c>
    </row>
    <row r="172" s="43" customFormat="1" ht="18.75" hidden="1" customHeight="1" spans="1:34">
      <c r="A172" s="81" t="s">
        <v>201</v>
      </c>
      <c r="B172" s="81" t="s">
        <v>202</v>
      </c>
      <c r="C172" s="789"/>
      <c r="D172" s="800"/>
      <c r="E172" s="295"/>
      <c r="F172" s="327" t="str">
        <f>INDEX(PT_DIFFERENTIATION_VTAR,MATCH(A172,PT_DIFFERENTIATION_VTAR_ID,0))</f>
        <v>Плата за подключение (технологическое присоединение) к системе теплоснабжения (индивидуальная)</v>
      </c>
      <c r="G172" s="790" t="str">
        <f>INDEX(PT_DIFFERENTIATION_NTAR,MATCH(B172,PT_DIFFERENTIATION_NTAR_ID,0))</f>
        <v/>
      </c>
      <c r="H172" s="133"/>
      <c r="I172" s="803"/>
      <c r="J172" s="804"/>
      <c r="K172" s="263"/>
      <c r="L172" s="133" t="s">
        <v>302</v>
      </c>
      <c r="M172" s="814"/>
      <c r="N172" s="806"/>
      <c r="O172" s="151"/>
      <c r="P172" s="151"/>
      <c r="AH172" s="43">
        <v>0</v>
      </c>
    </row>
    <row r="173" s="43" customFormat="1" ht="18.75" hidden="1" customHeight="1" spans="1:34">
      <c r="A173" s="81"/>
      <c r="B173" s="81"/>
      <c r="C173" s="789" t="s">
        <v>1354</v>
      </c>
      <c r="D173" s="800"/>
      <c r="E173" s="295"/>
      <c r="F173" s="327"/>
      <c r="G173" s="790"/>
      <c r="H173" s="601"/>
      <c r="I173" s="332" t="s">
        <v>1353</v>
      </c>
      <c r="J173" s="780"/>
      <c r="K173" s="601"/>
      <c r="L173" s="580"/>
      <c r="M173" s="814"/>
      <c r="N173" s="806"/>
      <c r="O173" s="151"/>
      <c r="P173" s="151"/>
      <c r="AH173" s="43">
        <v>0</v>
      </c>
    </row>
    <row r="174" s="43" customFormat="1" ht="0.75" hidden="1" customHeight="1" spans="1:34">
      <c r="A174" s="81"/>
      <c r="B174" s="81"/>
      <c r="C174" s="789" t="s">
        <v>1361</v>
      </c>
      <c r="D174" s="800"/>
      <c r="E174" s="295"/>
      <c r="F174" s="327"/>
      <c r="G174" s="799"/>
      <c r="H174" s="601"/>
      <c r="I174" s="332"/>
      <c r="J174" s="780"/>
      <c r="K174" s="601"/>
      <c r="L174" s="580"/>
      <c r="M174" s="814"/>
      <c r="N174" s="806"/>
      <c r="O174" s="151"/>
      <c r="P174" s="151"/>
      <c r="AH174" s="43">
        <v>0</v>
      </c>
    </row>
    <row r="175" s="43" customFormat="1" ht="18.75" hidden="1" customHeight="1" spans="1:34">
      <c r="A175" s="81" t="s">
        <v>221</v>
      </c>
      <c r="B175" s="81" t="s">
        <v>222</v>
      </c>
      <c r="C175" s="789"/>
      <c r="D175" s="800"/>
      <c r="E175" s="295"/>
      <c r="F175" s="327" t="str">
        <f>INDEX(PT_DIFFERENTIATION_VTAR,MATCH(A175,PT_DIFFERENTIATION_VTAR_ID,0))</f>
        <v>Тариф на питьевую воду (питьевое водоснабжение)</v>
      </c>
      <c r="G175" s="790" t="str">
        <f>INDEX(PT_DIFFERENTIATION_NTAR,MATCH(B175,PT_DIFFERENTIATION_NTAR_ID,0))</f>
        <v/>
      </c>
      <c r="H175" s="133"/>
      <c r="I175" s="803"/>
      <c r="J175" s="804"/>
      <c r="K175" s="263"/>
      <c r="L175" s="133" t="s">
        <v>302</v>
      </c>
      <c r="M175" s="814"/>
      <c r="N175" s="806"/>
      <c r="O175" s="151"/>
      <c r="P175" s="151"/>
      <c r="AH175" s="43">
        <v>0</v>
      </c>
    </row>
    <row r="176" s="43" customFormat="1" ht="18.75" hidden="1" customHeight="1" spans="1:34">
      <c r="A176" s="81"/>
      <c r="B176" s="81"/>
      <c r="C176" s="789" t="s">
        <v>1354</v>
      </c>
      <c r="D176" s="800"/>
      <c r="E176" s="295"/>
      <c r="F176" s="327"/>
      <c r="G176" s="790"/>
      <c r="H176" s="601"/>
      <c r="I176" s="332" t="s">
        <v>1353</v>
      </c>
      <c r="J176" s="780"/>
      <c r="K176" s="601"/>
      <c r="L176" s="580"/>
      <c r="M176" s="814"/>
      <c r="N176" s="806"/>
      <c r="O176" s="151"/>
      <c r="P176" s="151"/>
      <c r="AH176" s="43">
        <v>0</v>
      </c>
    </row>
    <row r="177" s="43" customFormat="1" ht="0.75" hidden="1" customHeight="1" spans="1:34">
      <c r="A177" s="81"/>
      <c r="B177" s="81"/>
      <c r="C177" s="789" t="s">
        <v>1361</v>
      </c>
      <c r="D177" s="800"/>
      <c r="E177" s="295"/>
      <c r="F177" s="327"/>
      <c r="G177" s="799"/>
      <c r="H177" s="601"/>
      <c r="I177" s="332"/>
      <c r="J177" s="780"/>
      <c r="K177" s="601"/>
      <c r="L177" s="580"/>
      <c r="M177" s="814"/>
      <c r="N177" s="806"/>
      <c r="O177" s="151"/>
      <c r="P177" s="151"/>
      <c r="AH177" s="43">
        <v>0</v>
      </c>
    </row>
    <row r="178" s="43" customFormat="1" ht="18.75" hidden="1" customHeight="1" spans="1:34">
      <c r="A178" s="81" t="s">
        <v>226</v>
      </c>
      <c r="B178" s="81" t="s">
        <v>227</v>
      </c>
      <c r="C178" s="789"/>
      <c r="D178" s="800"/>
      <c r="E178" s="295"/>
      <c r="F178" s="327" t="str">
        <f>INDEX(PT_DIFFERENTIATION_VTAR,MATCH(A178,PT_DIFFERENTIATION_VTAR_ID,0))</f>
        <v>Тариф на техническую воду</v>
      </c>
      <c r="G178" s="790" t="str">
        <f>INDEX(PT_DIFFERENTIATION_NTAR,MATCH(B178,PT_DIFFERENTIATION_NTAR_ID,0))</f>
        <v/>
      </c>
      <c r="H178" s="133"/>
      <c r="I178" s="803"/>
      <c r="J178" s="804"/>
      <c r="K178" s="263"/>
      <c r="L178" s="133" t="s">
        <v>302</v>
      </c>
      <c r="M178" s="814"/>
      <c r="N178" s="806"/>
      <c r="O178" s="151"/>
      <c r="P178" s="151"/>
      <c r="AH178" s="43">
        <v>0</v>
      </c>
    </row>
    <row r="179" s="43" customFormat="1" ht="18.75" hidden="1" customHeight="1" spans="1:34">
      <c r="A179" s="81"/>
      <c r="B179" s="81"/>
      <c r="C179" s="789" t="s">
        <v>1354</v>
      </c>
      <c r="D179" s="800"/>
      <c r="E179" s="295"/>
      <c r="F179" s="327"/>
      <c r="G179" s="790"/>
      <c r="H179" s="601"/>
      <c r="I179" s="332" t="s">
        <v>1353</v>
      </c>
      <c r="J179" s="780"/>
      <c r="K179" s="601"/>
      <c r="L179" s="580"/>
      <c r="M179" s="814"/>
      <c r="N179" s="806"/>
      <c r="O179" s="151"/>
      <c r="P179" s="151"/>
      <c r="AH179" s="43">
        <v>0</v>
      </c>
    </row>
    <row r="180" s="43" customFormat="1" ht="0.75" hidden="1" customHeight="1" spans="1:34">
      <c r="A180" s="81"/>
      <c r="B180" s="81"/>
      <c r="C180" s="789" t="s">
        <v>1361</v>
      </c>
      <c r="D180" s="800"/>
      <c r="E180" s="295"/>
      <c r="F180" s="327"/>
      <c r="G180" s="799"/>
      <c r="H180" s="601"/>
      <c r="I180" s="332"/>
      <c r="J180" s="780"/>
      <c r="K180" s="601"/>
      <c r="L180" s="580"/>
      <c r="M180" s="814"/>
      <c r="N180" s="806"/>
      <c r="O180" s="151"/>
      <c r="P180" s="151"/>
      <c r="AH180" s="43">
        <v>0</v>
      </c>
    </row>
    <row r="181" s="43" customFormat="1" ht="18.75" hidden="1" customHeight="1" spans="1:34">
      <c r="A181" s="81" t="s">
        <v>231</v>
      </c>
      <c r="B181" s="81" t="s">
        <v>232</v>
      </c>
      <c r="C181" s="789"/>
      <c r="D181" s="800"/>
      <c r="E181" s="295"/>
      <c r="F181" s="327" t="str">
        <f>INDEX(PT_DIFFERENTIATION_VTAR,MATCH(A181,PT_DIFFERENTIATION_VTAR_ID,0))</f>
        <v>Тариф на транспортировку воды</v>
      </c>
      <c r="G181" s="790" t="str">
        <f>INDEX(PT_DIFFERENTIATION_NTAR,MATCH(B181,PT_DIFFERENTIATION_NTAR_ID,0))</f>
        <v/>
      </c>
      <c r="H181" s="133"/>
      <c r="I181" s="803"/>
      <c r="J181" s="804"/>
      <c r="K181" s="263"/>
      <c r="L181" s="133" t="s">
        <v>302</v>
      </c>
      <c r="M181" s="814"/>
      <c r="N181" s="806"/>
      <c r="O181" s="151"/>
      <c r="P181" s="151"/>
      <c r="AH181" s="43">
        <v>0</v>
      </c>
    </row>
    <row r="182" s="43" customFormat="1" ht="18.75" hidden="1" customHeight="1" spans="1:34">
      <c r="A182" s="81"/>
      <c r="B182" s="81"/>
      <c r="C182" s="789" t="s">
        <v>1354</v>
      </c>
      <c r="D182" s="800"/>
      <c r="E182" s="295"/>
      <c r="F182" s="327"/>
      <c r="G182" s="790"/>
      <c r="H182" s="601"/>
      <c r="I182" s="332" t="s">
        <v>1353</v>
      </c>
      <c r="J182" s="780"/>
      <c r="K182" s="601"/>
      <c r="L182" s="580"/>
      <c r="M182" s="814"/>
      <c r="N182" s="806"/>
      <c r="O182" s="151"/>
      <c r="P182" s="151"/>
      <c r="AH182" s="43">
        <v>0</v>
      </c>
    </row>
    <row r="183" s="43" customFormat="1" ht="0.75" hidden="1" customHeight="1" spans="1:34">
      <c r="A183" s="81"/>
      <c r="B183" s="81"/>
      <c r="C183" s="789" t="s">
        <v>1361</v>
      </c>
      <c r="D183" s="800"/>
      <c r="E183" s="295"/>
      <c r="F183" s="327"/>
      <c r="G183" s="799"/>
      <c r="H183" s="601"/>
      <c r="I183" s="332"/>
      <c r="J183" s="780"/>
      <c r="K183" s="601"/>
      <c r="L183" s="580"/>
      <c r="M183" s="814"/>
      <c r="N183" s="806"/>
      <c r="O183" s="151"/>
      <c r="P183" s="151"/>
      <c r="AH183" s="43">
        <v>0</v>
      </c>
    </row>
    <row r="184" s="43" customFormat="1" ht="18.75" hidden="1" customHeight="1" spans="1:34">
      <c r="A184" s="81" t="s">
        <v>236</v>
      </c>
      <c r="B184" s="81" t="s">
        <v>237</v>
      </c>
      <c r="C184" s="789"/>
      <c r="D184" s="800"/>
      <c r="E184" s="295"/>
      <c r="F184" s="327" t="str">
        <f>INDEX(PT_DIFFERENTIATION_VTAR,MATCH(A184,PT_DIFFERENTIATION_VTAR_ID,0))</f>
        <v>Тариф на подвоз воды</v>
      </c>
      <c r="G184" s="790" t="str">
        <f>INDEX(PT_DIFFERENTIATION_NTAR,MATCH(B184,PT_DIFFERENTIATION_NTAR_ID,0))</f>
        <v/>
      </c>
      <c r="H184" s="133"/>
      <c r="I184" s="803"/>
      <c r="J184" s="804"/>
      <c r="K184" s="263"/>
      <c r="L184" s="133" t="s">
        <v>302</v>
      </c>
      <c r="M184" s="814"/>
      <c r="N184" s="806"/>
      <c r="O184" s="151"/>
      <c r="P184" s="151"/>
      <c r="AH184" s="43">
        <v>0</v>
      </c>
    </row>
    <row r="185" s="43" customFormat="1" ht="18.75" hidden="1" customHeight="1" spans="1:34">
      <c r="A185" s="81"/>
      <c r="B185" s="81"/>
      <c r="C185" s="789" t="s">
        <v>1354</v>
      </c>
      <c r="D185" s="800"/>
      <c r="E185" s="295"/>
      <c r="F185" s="327"/>
      <c r="G185" s="790"/>
      <c r="H185" s="601"/>
      <c r="I185" s="332" t="s">
        <v>1353</v>
      </c>
      <c r="J185" s="780"/>
      <c r="K185" s="601"/>
      <c r="L185" s="580"/>
      <c r="M185" s="814"/>
      <c r="N185" s="806"/>
      <c r="O185" s="151"/>
      <c r="P185" s="151"/>
      <c r="AH185" s="43">
        <v>0</v>
      </c>
    </row>
    <row r="186" s="43" customFormat="1" ht="0.75" hidden="1" customHeight="1" spans="1:34">
      <c r="A186" s="81"/>
      <c r="B186" s="81"/>
      <c r="C186" s="789" t="s">
        <v>1361</v>
      </c>
      <c r="D186" s="800"/>
      <c r="E186" s="295"/>
      <c r="F186" s="327"/>
      <c r="G186" s="799"/>
      <c r="H186" s="601"/>
      <c r="I186" s="332"/>
      <c r="J186" s="780"/>
      <c r="K186" s="601"/>
      <c r="L186" s="580"/>
      <c r="M186" s="814"/>
      <c r="N186" s="806"/>
      <c r="O186" s="151"/>
      <c r="P186" s="151"/>
      <c r="AH186" s="43">
        <v>0</v>
      </c>
    </row>
    <row r="187" s="43" customFormat="1" ht="18.75" hidden="1" customHeight="1" spans="1:34">
      <c r="A187" s="81" t="s">
        <v>241</v>
      </c>
      <c r="B187" s="81" t="s">
        <v>242</v>
      </c>
      <c r="C187" s="789"/>
      <c r="D187" s="800"/>
      <c r="E187" s="295"/>
      <c r="F187" s="32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790" t="str">
        <f>INDEX(PT_DIFFERENTIATION_NTAR,MATCH(B187,PT_DIFFERENTIATION_NTAR_ID,0))</f>
        <v/>
      </c>
      <c r="H187" s="133"/>
      <c r="I187" s="803"/>
      <c r="J187" s="804"/>
      <c r="K187" s="263"/>
      <c r="L187" s="133" t="s">
        <v>302</v>
      </c>
      <c r="M187" s="814"/>
      <c r="N187" s="806"/>
      <c r="O187" s="151"/>
      <c r="P187" s="151"/>
      <c r="AH187" s="43">
        <v>0</v>
      </c>
    </row>
    <row r="188" s="43" customFormat="1" ht="18.75" hidden="1" customHeight="1" spans="1:34">
      <c r="A188" s="81"/>
      <c r="B188" s="81"/>
      <c r="C188" s="789" t="s">
        <v>1354</v>
      </c>
      <c r="D188" s="800"/>
      <c r="E188" s="295"/>
      <c r="F188" s="327"/>
      <c r="G188" s="790"/>
      <c r="H188" s="601"/>
      <c r="I188" s="332" t="s">
        <v>1353</v>
      </c>
      <c r="J188" s="780"/>
      <c r="K188" s="601"/>
      <c r="L188" s="580"/>
      <c r="M188" s="814"/>
      <c r="N188" s="806"/>
      <c r="O188" s="151"/>
      <c r="P188" s="151"/>
      <c r="AH188" s="43">
        <v>0</v>
      </c>
    </row>
    <row r="189" s="43" customFormat="1" ht="0.75" hidden="1" customHeight="1" spans="1:34">
      <c r="A189" s="81"/>
      <c r="B189" s="81"/>
      <c r="C189" s="789" t="s">
        <v>1361</v>
      </c>
      <c r="D189" s="800"/>
      <c r="E189" s="295"/>
      <c r="F189" s="327"/>
      <c r="G189" s="799"/>
      <c r="H189" s="601"/>
      <c r="I189" s="332"/>
      <c r="J189" s="780"/>
      <c r="K189" s="601"/>
      <c r="L189" s="580"/>
      <c r="M189" s="814"/>
      <c r="N189" s="806"/>
      <c r="O189" s="151"/>
      <c r="P189" s="151"/>
      <c r="AH189" s="43">
        <v>0</v>
      </c>
    </row>
    <row r="190" s="43" customFormat="1" ht="18.75" hidden="1" customHeight="1" spans="1:34">
      <c r="A190" s="81" t="s">
        <v>246</v>
      </c>
      <c r="B190" s="81" t="s">
        <v>247</v>
      </c>
      <c r="C190" s="789"/>
      <c r="D190" s="800"/>
      <c r="E190" s="295"/>
      <c r="F190" s="327" t="str">
        <f>INDEX(PT_DIFFERENTIATION_VTAR,MATCH(A190,PT_DIFFERENTIATION_VTAR_ID,0))</f>
        <v>Тариф на горячую воду (горячее водоснабжение)</v>
      </c>
      <c r="G190" s="790" t="str">
        <f>INDEX(PT_DIFFERENTIATION_NTAR,MATCH(B190,PT_DIFFERENTIATION_NTAR_ID,0))</f>
        <v/>
      </c>
      <c r="H190" s="133"/>
      <c r="I190" s="803"/>
      <c r="J190" s="804"/>
      <c r="K190" s="263"/>
      <c r="L190" s="133" t="s">
        <v>302</v>
      </c>
      <c r="M190" s="814"/>
      <c r="N190" s="806"/>
      <c r="O190" s="151"/>
      <c r="P190" s="151"/>
      <c r="AH190" s="43">
        <v>0</v>
      </c>
    </row>
    <row r="191" s="43" customFormat="1" ht="18.75" hidden="1" customHeight="1" spans="1:34">
      <c r="A191" s="81"/>
      <c r="B191" s="81"/>
      <c r="C191" s="789" t="s">
        <v>1354</v>
      </c>
      <c r="D191" s="800"/>
      <c r="E191" s="295"/>
      <c r="F191" s="327"/>
      <c r="G191" s="790"/>
      <c r="H191" s="601"/>
      <c r="I191" s="332" t="s">
        <v>1353</v>
      </c>
      <c r="J191" s="780"/>
      <c r="K191" s="601"/>
      <c r="L191" s="580"/>
      <c r="M191" s="814"/>
      <c r="N191" s="806"/>
      <c r="O191" s="151"/>
      <c r="P191" s="151"/>
      <c r="AH191" s="43">
        <v>0</v>
      </c>
    </row>
    <row r="192" s="43" customFormat="1" ht="0.75" hidden="1" customHeight="1" spans="1:34">
      <c r="A192" s="81"/>
      <c r="B192" s="81"/>
      <c r="C192" s="789" t="s">
        <v>1361</v>
      </c>
      <c r="D192" s="800"/>
      <c r="E192" s="295"/>
      <c r="F192" s="327"/>
      <c r="G192" s="799"/>
      <c r="H192" s="601"/>
      <c r="I192" s="332"/>
      <c r="J192" s="780"/>
      <c r="K192" s="601"/>
      <c r="L192" s="580"/>
      <c r="M192" s="814"/>
      <c r="N192" s="806"/>
      <c r="O192" s="151"/>
      <c r="P192" s="151"/>
      <c r="AH192" s="43">
        <v>0</v>
      </c>
    </row>
    <row r="193" s="43" customFormat="1" ht="18.75" hidden="1" customHeight="1" spans="1:34">
      <c r="A193" s="81" t="s">
        <v>251</v>
      </c>
      <c r="B193" s="81" t="s">
        <v>252</v>
      </c>
      <c r="C193" s="789"/>
      <c r="D193" s="800"/>
      <c r="E193" s="295"/>
      <c r="F193" s="327" t="str">
        <f>INDEX(PT_DIFFERENTIATION_VTAR,MATCH(A193,PT_DIFFERENTIATION_VTAR_ID,0))</f>
        <v>Тариф на транспортировку горячей воды</v>
      </c>
      <c r="G193" s="790" t="str">
        <f>INDEX(PT_DIFFERENTIATION_NTAR,MATCH(B193,PT_DIFFERENTIATION_NTAR_ID,0))</f>
        <v/>
      </c>
      <c r="H193" s="133"/>
      <c r="I193" s="803"/>
      <c r="J193" s="804"/>
      <c r="K193" s="263"/>
      <c r="L193" s="133" t="s">
        <v>302</v>
      </c>
      <c r="M193" s="814"/>
      <c r="N193" s="806"/>
      <c r="O193" s="151"/>
      <c r="P193" s="151"/>
      <c r="AH193" s="43">
        <v>0</v>
      </c>
    </row>
    <row r="194" s="43" customFormat="1" ht="18.75" hidden="1" customHeight="1" spans="1:34">
      <c r="A194" s="81"/>
      <c r="B194" s="81"/>
      <c r="C194" s="789" t="s">
        <v>1354</v>
      </c>
      <c r="D194" s="800"/>
      <c r="E194" s="295"/>
      <c r="F194" s="327"/>
      <c r="G194" s="790"/>
      <c r="H194" s="601"/>
      <c r="I194" s="332" t="s">
        <v>1353</v>
      </c>
      <c r="J194" s="780"/>
      <c r="K194" s="601"/>
      <c r="L194" s="580"/>
      <c r="M194" s="814"/>
      <c r="N194" s="806"/>
      <c r="O194" s="151"/>
      <c r="P194" s="151"/>
      <c r="AH194" s="43">
        <v>0</v>
      </c>
    </row>
    <row r="195" s="43" customFormat="1" ht="0.75" hidden="1" customHeight="1" spans="1:34">
      <c r="A195" s="81"/>
      <c r="B195" s="81"/>
      <c r="C195" s="789" t="s">
        <v>1361</v>
      </c>
      <c r="D195" s="800"/>
      <c r="E195" s="295"/>
      <c r="F195" s="327"/>
      <c r="G195" s="799"/>
      <c r="H195" s="601"/>
      <c r="I195" s="332"/>
      <c r="J195" s="780"/>
      <c r="K195" s="601"/>
      <c r="L195" s="580"/>
      <c r="M195" s="814"/>
      <c r="N195" s="806"/>
      <c r="O195" s="151"/>
      <c r="P195" s="151"/>
      <c r="AH195" s="43">
        <v>0</v>
      </c>
    </row>
    <row r="196" s="43" customFormat="1" ht="18.75" hidden="1" customHeight="1" spans="1:34">
      <c r="A196" s="81" t="s">
        <v>256</v>
      </c>
      <c r="B196" s="81" t="s">
        <v>257</v>
      </c>
      <c r="C196" s="789"/>
      <c r="D196" s="800"/>
      <c r="E196" s="295"/>
      <c r="F196" s="327" t="str">
        <f>INDEX(PT_DIFFERENTIATION_VTAR,MATCH(A196,PT_DIFFERENTIATION_VTAR_ID,0))</f>
        <v>Тариф на подключение (технологическое присоединение) к централизованной системе горячего водоснабжения</v>
      </c>
      <c r="G196" s="790" t="str">
        <f>INDEX(PT_DIFFERENTIATION_NTAR,MATCH(B196,PT_DIFFERENTIATION_NTAR_ID,0))</f>
        <v/>
      </c>
      <c r="H196" s="133"/>
      <c r="I196" s="803"/>
      <c r="J196" s="804"/>
      <c r="K196" s="263"/>
      <c r="L196" s="133" t="s">
        <v>302</v>
      </c>
      <c r="M196" s="814"/>
      <c r="N196" s="806"/>
      <c r="O196" s="151"/>
      <c r="P196" s="151"/>
      <c r="AH196" s="43">
        <v>0</v>
      </c>
    </row>
    <row r="197" s="43" customFormat="1" ht="18.75" hidden="1" customHeight="1" spans="1:34">
      <c r="A197" s="81"/>
      <c r="B197" s="81"/>
      <c r="C197" s="789" t="s">
        <v>1354</v>
      </c>
      <c r="D197" s="800"/>
      <c r="E197" s="295"/>
      <c r="F197" s="327"/>
      <c r="G197" s="790"/>
      <c r="H197" s="601"/>
      <c r="I197" s="332" t="s">
        <v>1353</v>
      </c>
      <c r="J197" s="780"/>
      <c r="K197" s="601"/>
      <c r="L197" s="580"/>
      <c r="M197" s="814"/>
      <c r="N197" s="806"/>
      <c r="O197" s="151"/>
      <c r="P197" s="151"/>
      <c r="AH197" s="43">
        <v>0</v>
      </c>
    </row>
    <row r="198" s="43" customFormat="1" ht="0.75" hidden="1" customHeight="1" spans="1:34">
      <c r="A198" s="81"/>
      <c r="B198" s="81"/>
      <c r="C198" s="789" t="s">
        <v>1361</v>
      </c>
      <c r="D198" s="800"/>
      <c r="E198" s="295"/>
      <c r="F198" s="327"/>
      <c r="G198" s="799"/>
      <c r="H198" s="601"/>
      <c r="I198" s="332"/>
      <c r="J198" s="780"/>
      <c r="K198" s="601"/>
      <c r="L198" s="580"/>
      <c r="M198" s="814"/>
      <c r="N198" s="806"/>
      <c r="O198" s="151"/>
      <c r="P198" s="151"/>
      <c r="AH198" s="43">
        <v>0</v>
      </c>
    </row>
    <row r="199" s="43" customFormat="1" ht="18.75" hidden="1" customHeight="1" spans="1:34">
      <c r="A199" s="81" t="s">
        <v>261</v>
      </c>
      <c r="B199" s="81" t="s">
        <v>262</v>
      </c>
      <c r="C199" s="789"/>
      <c r="D199" s="800"/>
      <c r="E199" s="295"/>
      <c r="F199" s="327" t="str">
        <f>INDEX(PT_DIFFERENTIATION_VTAR,MATCH(A199,PT_DIFFERENTIATION_VTAR_ID,0))</f>
        <v>Тариф на водоотведение</v>
      </c>
      <c r="G199" s="790" t="str">
        <f>INDEX(PT_DIFFERENTIATION_NTAR,MATCH(B199,PT_DIFFERENTIATION_NTAR_ID,0))</f>
        <v/>
      </c>
      <c r="H199" s="133"/>
      <c r="I199" s="803"/>
      <c r="J199" s="804"/>
      <c r="K199" s="263"/>
      <c r="L199" s="133" t="s">
        <v>302</v>
      </c>
      <c r="M199" s="814"/>
      <c r="N199" s="806"/>
      <c r="O199" s="151"/>
      <c r="P199" s="151"/>
      <c r="AH199" s="43">
        <v>0</v>
      </c>
    </row>
    <row r="200" s="43" customFormat="1" ht="18.75" hidden="1" customHeight="1" spans="1:34">
      <c r="A200" s="81"/>
      <c r="B200" s="81"/>
      <c r="C200" s="789" t="s">
        <v>1354</v>
      </c>
      <c r="D200" s="800"/>
      <c r="E200" s="295"/>
      <c r="F200" s="327"/>
      <c r="G200" s="790"/>
      <c r="H200" s="601"/>
      <c r="I200" s="332" t="s">
        <v>1353</v>
      </c>
      <c r="J200" s="780"/>
      <c r="K200" s="601"/>
      <c r="L200" s="580"/>
      <c r="M200" s="814"/>
      <c r="N200" s="806"/>
      <c r="O200" s="151"/>
      <c r="P200" s="151"/>
      <c r="AH200" s="43">
        <v>0</v>
      </c>
    </row>
    <row r="201" s="43" customFormat="1" ht="0.75" hidden="1" customHeight="1" spans="1:34">
      <c r="A201" s="81"/>
      <c r="B201" s="81"/>
      <c r="C201" s="789" t="s">
        <v>1361</v>
      </c>
      <c r="D201" s="800"/>
      <c r="E201" s="295"/>
      <c r="F201" s="327"/>
      <c r="G201" s="799"/>
      <c r="H201" s="601"/>
      <c r="I201" s="332"/>
      <c r="J201" s="780"/>
      <c r="K201" s="601"/>
      <c r="L201" s="580"/>
      <c r="M201" s="814"/>
      <c r="N201" s="806"/>
      <c r="O201" s="151"/>
      <c r="P201" s="151"/>
      <c r="AH201" s="43">
        <v>0</v>
      </c>
    </row>
    <row r="202" s="43" customFormat="1" ht="18.75" hidden="1" customHeight="1" spans="1:34">
      <c r="A202" s="81" t="s">
        <v>266</v>
      </c>
      <c r="B202" s="81" t="s">
        <v>267</v>
      </c>
      <c r="C202" s="789"/>
      <c r="D202" s="800"/>
      <c r="E202" s="295"/>
      <c r="F202" s="327" t="str">
        <f>INDEX(PT_DIFFERENTIATION_VTAR,MATCH(A202,PT_DIFFERENTIATION_VTAR_ID,0))</f>
        <v>Тариф на транспортировку сточных вод</v>
      </c>
      <c r="G202" s="790" t="str">
        <f>INDEX(PT_DIFFERENTIATION_NTAR,MATCH(B202,PT_DIFFERENTIATION_NTAR_ID,0))</f>
        <v/>
      </c>
      <c r="H202" s="133"/>
      <c r="I202" s="803"/>
      <c r="J202" s="804"/>
      <c r="K202" s="263"/>
      <c r="L202" s="133" t="s">
        <v>302</v>
      </c>
      <c r="M202" s="814"/>
      <c r="N202" s="806"/>
      <c r="O202" s="151"/>
      <c r="P202" s="151"/>
      <c r="AH202" s="43">
        <v>0</v>
      </c>
    </row>
    <row r="203" s="43" customFormat="1" ht="18.75" hidden="1" customHeight="1" spans="1:34">
      <c r="A203" s="81"/>
      <c r="B203" s="81"/>
      <c r="C203" s="789" t="s">
        <v>1354</v>
      </c>
      <c r="D203" s="800"/>
      <c r="E203" s="295"/>
      <c r="F203" s="327"/>
      <c r="G203" s="790"/>
      <c r="H203" s="601"/>
      <c r="I203" s="332" t="s">
        <v>1353</v>
      </c>
      <c r="J203" s="780"/>
      <c r="K203" s="601"/>
      <c r="L203" s="580"/>
      <c r="M203" s="814"/>
      <c r="N203" s="806"/>
      <c r="O203" s="151"/>
      <c r="P203" s="151"/>
      <c r="AH203" s="43">
        <v>0</v>
      </c>
    </row>
    <row r="204" s="43" customFormat="1" ht="0.75" hidden="1" customHeight="1" spans="1:34">
      <c r="A204" s="81"/>
      <c r="B204" s="81"/>
      <c r="C204" s="789" t="s">
        <v>1361</v>
      </c>
      <c r="D204" s="800"/>
      <c r="E204" s="295"/>
      <c r="F204" s="327"/>
      <c r="G204" s="799"/>
      <c r="H204" s="601"/>
      <c r="I204" s="332"/>
      <c r="J204" s="780"/>
      <c r="K204" s="601"/>
      <c r="L204" s="580"/>
      <c r="M204" s="814"/>
      <c r="N204" s="806"/>
      <c r="O204" s="151"/>
      <c r="P204" s="151"/>
      <c r="AH204" s="43">
        <v>0</v>
      </c>
    </row>
    <row r="205" s="43" customFormat="1" ht="18.75" hidden="1" customHeight="1" spans="1:34">
      <c r="A205" s="81" t="s">
        <v>271</v>
      </c>
      <c r="B205" s="81" t="s">
        <v>272</v>
      </c>
      <c r="C205" s="789"/>
      <c r="D205" s="800"/>
      <c r="E205" s="295"/>
      <c r="F205" s="327" t="str">
        <f>INDEX(PT_DIFFERENTIATION_VTAR,MATCH(A205,PT_DIFFERENTIATION_VTAR_ID,0))</f>
        <v>Тариф на подключение (технологическое присоединение) к централизованной системе водоотведения</v>
      </c>
      <c r="G205" s="790" t="str">
        <f>INDEX(PT_DIFFERENTIATION_NTAR,MATCH(B205,PT_DIFFERENTIATION_NTAR_ID,0))</f>
        <v/>
      </c>
      <c r="H205" s="133"/>
      <c r="I205" s="803"/>
      <c r="J205" s="804"/>
      <c r="K205" s="263"/>
      <c r="L205" s="133" t="s">
        <v>302</v>
      </c>
      <c r="M205" s="814"/>
      <c r="N205" s="806"/>
      <c r="O205" s="151"/>
      <c r="P205" s="151"/>
      <c r="AH205" s="43">
        <v>0</v>
      </c>
    </row>
    <row r="206" s="43" customFormat="1" ht="18.75" hidden="1" customHeight="1" spans="1:34">
      <c r="A206" s="81"/>
      <c r="B206" s="81"/>
      <c r="C206" s="789" t="s">
        <v>1354</v>
      </c>
      <c r="D206" s="800"/>
      <c r="E206" s="295"/>
      <c r="F206" s="327"/>
      <c r="G206" s="790"/>
      <c r="H206" s="601"/>
      <c r="I206" s="332" t="s">
        <v>1353</v>
      </c>
      <c r="J206" s="780"/>
      <c r="K206" s="601"/>
      <c r="L206" s="580"/>
      <c r="M206" s="814"/>
      <c r="N206" s="806"/>
      <c r="O206" s="151"/>
      <c r="P206" s="151"/>
      <c r="AH206" s="43">
        <v>0</v>
      </c>
    </row>
    <row r="207" s="43" customFormat="1" ht="1.05" customHeight="1" spans="1:34">
      <c r="A207" s="81"/>
      <c r="B207" s="81"/>
      <c r="C207" s="789" t="s">
        <v>1361</v>
      </c>
      <c r="D207" s="800"/>
      <c r="E207" s="295"/>
      <c r="F207" s="327"/>
      <c r="G207" s="799"/>
      <c r="H207" s="601"/>
      <c r="I207" s="332"/>
      <c r="J207" s="780"/>
      <c r="K207" s="601"/>
      <c r="L207" s="580"/>
      <c r="M207" s="814"/>
      <c r="N207" s="806"/>
      <c r="O207" s="151"/>
      <c r="P207" s="151"/>
      <c r="AH207" s="43">
        <v>1</v>
      </c>
    </row>
    <row r="208" ht="27.3" customHeight="1" spans="1:34">
      <c r="A208" s="81"/>
      <c r="B208" s="81"/>
      <c r="D208" s="51"/>
      <c r="E208" s="295" t="s">
        <v>109</v>
      </c>
      <c r="F208" s="4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467"/>
      <c r="H208" s="467"/>
      <c r="I208" s="467"/>
      <c r="J208" s="467"/>
      <c r="K208" s="467"/>
      <c r="L208" s="467"/>
      <c r="M208" s="813"/>
      <c r="N208" s="806"/>
      <c r="AH208" s="43">
        <v>26</v>
      </c>
    </row>
    <row r="209" s="43" customFormat="1" ht="60.75" hidden="1" customHeight="1" spans="1:34">
      <c r="A209" s="81" t="s">
        <v>153</v>
      </c>
      <c r="B209" s="81" t="s">
        <v>154</v>
      </c>
      <c r="C209" s="789"/>
      <c r="D209" s="800"/>
      <c r="E209" s="295"/>
      <c r="F209" s="32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790" t="str">
        <f>INDEX(PT_DIFFERENTIATION_NTAR,MATCH(B209,PT_DIFFERENTIATION_NTAR_ID,0))</f>
        <v/>
      </c>
      <c r="H209" s="133"/>
      <c r="I209" s="803"/>
      <c r="J209" s="804"/>
      <c r="K209" s="263"/>
      <c r="L209" s="133" t="s">
        <v>302</v>
      </c>
      <c r="M209" s="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806"/>
      <c r="O209" s="151"/>
      <c r="P209" s="151"/>
      <c r="AH209" s="43">
        <v>0</v>
      </c>
    </row>
    <row r="210" s="43" customFormat="1" ht="18.75" hidden="1" customHeight="1" spans="1:34">
      <c r="A210" s="81"/>
      <c r="B210" s="81"/>
      <c r="C210" s="789" t="s">
        <v>1354</v>
      </c>
      <c r="D210" s="800"/>
      <c r="E210" s="295"/>
      <c r="F210" s="327"/>
      <c r="G210" s="790"/>
      <c r="H210" s="601"/>
      <c r="I210" s="332" t="s">
        <v>1353</v>
      </c>
      <c r="J210" s="780"/>
      <c r="K210" s="601"/>
      <c r="L210" s="580"/>
      <c r="M210" s="779"/>
      <c r="N210" s="806"/>
      <c r="O210" s="151"/>
      <c r="P210" s="151"/>
      <c r="AH210" s="43">
        <v>0</v>
      </c>
    </row>
    <row r="211" s="43" customFormat="1" ht="0.75" hidden="1" customHeight="1" spans="1:34">
      <c r="A211" s="81"/>
      <c r="B211" s="81"/>
      <c r="C211" s="789" t="s">
        <v>1361</v>
      </c>
      <c r="D211" s="800"/>
      <c r="E211" s="295"/>
      <c r="F211" s="327"/>
      <c r="G211" s="799"/>
      <c r="H211" s="601"/>
      <c r="I211" s="332"/>
      <c r="J211" s="780"/>
      <c r="K211" s="601"/>
      <c r="L211" s="580"/>
      <c r="M211" s="779"/>
      <c r="N211" s="806"/>
      <c r="O211" s="151"/>
      <c r="P211" s="151"/>
      <c r="AH211" s="43">
        <v>0</v>
      </c>
    </row>
    <row r="212" s="43" customFormat="1" ht="45" hidden="1" customHeight="1" spans="1:34">
      <c r="A212" s="81" t="s">
        <v>158</v>
      </c>
      <c r="B212" s="81" t="s">
        <v>159</v>
      </c>
      <c r="C212" s="789"/>
      <c r="D212" s="800"/>
      <c r="E212" s="295"/>
      <c r="F212" s="327" t="str">
        <f>INDEX(PT_DIFFERENTIATION_VTAR,MATCH(A212,PT_DIFFERENTIATION_VTAR_ID,0))</f>
        <v/>
      </c>
      <c r="G212" s="790" t="str">
        <f>INDEX(PT_DIFFERENTIATION_NTAR,MATCH(B212,PT_DIFFERENTIATION_NTAR_ID,0))</f>
        <v/>
      </c>
      <c r="H212" s="133"/>
      <c r="I212" s="803"/>
      <c r="J212" s="804"/>
      <c r="K212" s="263"/>
      <c r="L212" s="133" t="s">
        <v>302</v>
      </c>
      <c r="M212" s="584"/>
      <c r="N212" s="806"/>
      <c r="O212" s="151"/>
      <c r="P212" s="151"/>
      <c r="AH212" s="43">
        <v>0</v>
      </c>
    </row>
    <row r="213" s="43" customFormat="1" ht="18.75" hidden="1" customHeight="1" spans="1:34">
      <c r="A213" s="81"/>
      <c r="B213" s="81"/>
      <c r="C213" s="789" t="s">
        <v>1354</v>
      </c>
      <c r="D213" s="800"/>
      <c r="E213" s="295"/>
      <c r="F213" s="327"/>
      <c r="G213" s="790"/>
      <c r="H213" s="601"/>
      <c r="I213" s="332" t="s">
        <v>1353</v>
      </c>
      <c r="J213" s="780"/>
      <c r="K213" s="601"/>
      <c r="L213" s="580"/>
      <c r="M213" s="779"/>
      <c r="N213" s="806"/>
      <c r="O213" s="151"/>
      <c r="P213" s="151"/>
      <c r="AH213" s="43">
        <v>0</v>
      </c>
    </row>
    <row r="214" s="43" customFormat="1" ht="0.75" hidden="1" customHeight="1" spans="1:34">
      <c r="A214" s="81"/>
      <c r="B214" s="81"/>
      <c r="C214" s="789" t="s">
        <v>1361</v>
      </c>
      <c r="D214" s="800"/>
      <c r="E214" s="295"/>
      <c r="F214" s="327"/>
      <c r="G214" s="799"/>
      <c r="H214" s="601"/>
      <c r="I214" s="332"/>
      <c r="J214" s="780"/>
      <c r="K214" s="601"/>
      <c r="L214" s="580"/>
      <c r="M214" s="814"/>
      <c r="N214" s="806"/>
      <c r="O214" s="151"/>
      <c r="P214" s="151"/>
      <c r="AH214" s="43">
        <v>0</v>
      </c>
    </row>
    <row r="215" s="43" customFormat="1" ht="45" hidden="1" customHeight="1" spans="1:34">
      <c r="A215" s="81" t="s">
        <v>165</v>
      </c>
      <c r="B215" s="81" t="s">
        <v>166</v>
      </c>
      <c r="C215" s="789"/>
      <c r="D215" s="800"/>
      <c r="E215" s="295"/>
      <c r="F215" s="32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790" t="str">
        <f>INDEX(PT_DIFFERENTIATION_NTAR,MATCH(B215,PT_DIFFERENTIATION_NTAR_ID,0))</f>
        <v/>
      </c>
      <c r="H215" s="133"/>
      <c r="I215" s="803"/>
      <c r="J215" s="804"/>
      <c r="K215" s="263"/>
      <c r="L215" s="133" t="s">
        <v>302</v>
      </c>
      <c r="M215" s="814"/>
      <c r="N215" s="806"/>
      <c r="O215" s="151"/>
      <c r="P215" s="151"/>
      <c r="AH215" s="43">
        <v>0</v>
      </c>
    </row>
    <row r="216" s="43" customFormat="1" ht="18.75" hidden="1" customHeight="1" spans="1:34">
      <c r="A216" s="81"/>
      <c r="B216" s="81"/>
      <c r="C216" s="789" t="s">
        <v>1354</v>
      </c>
      <c r="D216" s="800"/>
      <c r="E216" s="295"/>
      <c r="F216" s="327"/>
      <c r="G216" s="790"/>
      <c r="H216" s="601"/>
      <c r="I216" s="332" t="s">
        <v>1353</v>
      </c>
      <c r="J216" s="780"/>
      <c r="K216" s="601"/>
      <c r="L216" s="580"/>
      <c r="M216" s="814"/>
      <c r="N216" s="806"/>
      <c r="O216" s="151"/>
      <c r="P216" s="151"/>
      <c r="AH216" s="43">
        <v>0</v>
      </c>
    </row>
    <row r="217" s="43" customFormat="1" ht="0.75" hidden="1" customHeight="1" spans="1:34">
      <c r="A217" s="81"/>
      <c r="B217" s="81"/>
      <c r="C217" s="789" t="s">
        <v>1361</v>
      </c>
      <c r="D217" s="800"/>
      <c r="E217" s="295"/>
      <c r="F217" s="327"/>
      <c r="G217" s="799"/>
      <c r="H217" s="601"/>
      <c r="I217" s="332"/>
      <c r="J217" s="780"/>
      <c r="K217" s="601"/>
      <c r="L217" s="580"/>
      <c r="M217" s="814"/>
      <c r="N217" s="806"/>
      <c r="O217" s="151"/>
      <c r="P217" s="151"/>
      <c r="AH217" s="43">
        <v>0</v>
      </c>
    </row>
    <row r="218" s="43" customFormat="1" ht="45" hidden="1" customHeight="1" spans="1:34">
      <c r="A218" s="81" t="s">
        <v>171</v>
      </c>
      <c r="B218" s="81" t="s">
        <v>172</v>
      </c>
      <c r="C218" s="789"/>
      <c r="D218" s="800"/>
      <c r="E218" s="295"/>
      <c r="F218" s="32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790" t="str">
        <f>INDEX(PT_DIFFERENTIATION_NTAR,MATCH(B218,PT_DIFFERENTIATION_NTAR_ID,0))</f>
        <v/>
      </c>
      <c r="H218" s="133"/>
      <c r="I218" s="803"/>
      <c r="J218" s="804"/>
      <c r="K218" s="263"/>
      <c r="L218" s="133" t="s">
        <v>302</v>
      </c>
      <c r="M218" s="814"/>
      <c r="N218" s="806"/>
      <c r="O218" s="151"/>
      <c r="P218" s="151"/>
      <c r="AH218" s="43">
        <v>0</v>
      </c>
    </row>
    <row r="219" s="43" customFormat="1" ht="18.75" hidden="1" customHeight="1" spans="1:34">
      <c r="A219" s="81"/>
      <c r="B219" s="81"/>
      <c r="C219" s="789" t="s">
        <v>1354</v>
      </c>
      <c r="D219" s="800"/>
      <c r="E219" s="295"/>
      <c r="F219" s="327"/>
      <c r="G219" s="790"/>
      <c r="H219" s="601"/>
      <c r="I219" s="332" t="s">
        <v>1353</v>
      </c>
      <c r="J219" s="780"/>
      <c r="K219" s="601"/>
      <c r="L219" s="580"/>
      <c r="M219" s="814"/>
      <c r="N219" s="806"/>
      <c r="O219" s="151"/>
      <c r="P219" s="151"/>
      <c r="AH219" s="43">
        <v>0</v>
      </c>
    </row>
    <row r="220" s="43" customFormat="1" ht="0.75" hidden="1" customHeight="1" spans="1:34">
      <c r="A220" s="81"/>
      <c r="B220" s="81"/>
      <c r="C220" s="789" t="s">
        <v>1361</v>
      </c>
      <c r="D220" s="800"/>
      <c r="E220" s="295"/>
      <c r="F220" s="327"/>
      <c r="G220" s="799"/>
      <c r="H220" s="601"/>
      <c r="I220" s="332"/>
      <c r="J220" s="780"/>
      <c r="K220" s="601"/>
      <c r="L220" s="580"/>
      <c r="M220" s="814"/>
      <c r="N220" s="806"/>
      <c r="O220" s="151"/>
      <c r="P220" s="151"/>
      <c r="AH220" s="43">
        <v>0</v>
      </c>
    </row>
    <row r="221" s="43" customFormat="1" ht="18.75" hidden="1" customHeight="1" spans="1:34">
      <c r="A221" s="81" t="s">
        <v>177</v>
      </c>
      <c r="B221" s="81" t="s">
        <v>178</v>
      </c>
      <c r="C221" s="789"/>
      <c r="D221" s="800"/>
      <c r="E221" s="295"/>
      <c r="F221" s="327" t="str">
        <f>INDEX(PT_DIFFERENTIATION_VTAR,MATCH(A221,PT_DIFFERENTIATION_VTAR_ID,0))</f>
        <v>Тарифы на услуги по передаче тепловой энергии</v>
      </c>
      <c r="G221" s="790" t="str">
        <f>INDEX(PT_DIFFERENTIATION_NTAR,MATCH(B221,PT_DIFFERENTIATION_NTAR_ID,0))</f>
        <v/>
      </c>
      <c r="H221" s="133"/>
      <c r="I221" s="803"/>
      <c r="J221" s="804"/>
      <c r="K221" s="263"/>
      <c r="L221" s="133" t="s">
        <v>302</v>
      </c>
      <c r="M221" s="814"/>
      <c r="N221" s="806"/>
      <c r="O221" s="151"/>
      <c r="P221" s="151"/>
      <c r="AH221" s="43">
        <v>0</v>
      </c>
    </row>
    <row r="222" s="43" customFormat="1" ht="18.75" hidden="1" customHeight="1" spans="1:34">
      <c r="A222" s="81"/>
      <c r="B222" s="81"/>
      <c r="C222" s="789" t="s">
        <v>1354</v>
      </c>
      <c r="D222" s="800"/>
      <c r="E222" s="295"/>
      <c r="F222" s="327"/>
      <c r="G222" s="790"/>
      <c r="H222" s="601"/>
      <c r="I222" s="332" t="s">
        <v>1353</v>
      </c>
      <c r="J222" s="780"/>
      <c r="K222" s="601"/>
      <c r="L222" s="580"/>
      <c r="M222" s="814"/>
      <c r="N222" s="806"/>
      <c r="O222" s="151"/>
      <c r="P222" s="151"/>
      <c r="AH222" s="43">
        <v>0</v>
      </c>
    </row>
    <row r="223" s="43" customFormat="1" ht="0.75" hidden="1" customHeight="1" spans="1:34">
      <c r="A223" s="81"/>
      <c r="B223" s="81"/>
      <c r="C223" s="789" t="s">
        <v>1361</v>
      </c>
      <c r="D223" s="800"/>
      <c r="E223" s="295"/>
      <c r="F223" s="327"/>
      <c r="G223" s="799"/>
      <c r="H223" s="601"/>
      <c r="I223" s="332"/>
      <c r="J223" s="780"/>
      <c r="K223" s="601"/>
      <c r="L223" s="580"/>
      <c r="M223" s="814"/>
      <c r="N223" s="806"/>
      <c r="O223" s="151"/>
      <c r="P223" s="151"/>
      <c r="AH223" s="43">
        <v>0</v>
      </c>
    </row>
    <row r="224" s="43" customFormat="1" ht="18.75" hidden="1" customHeight="1" spans="1:34">
      <c r="A224" s="81" t="s">
        <v>183</v>
      </c>
      <c r="B224" s="81" t="s">
        <v>184</v>
      </c>
      <c r="C224" s="789"/>
      <c r="D224" s="800"/>
      <c r="E224" s="295"/>
      <c r="F224" s="327" t="str">
        <f>INDEX(PT_DIFFERENTIATION_VTAR,MATCH(A224,PT_DIFFERENTIATION_VTAR_ID,0))</f>
        <v>Тарифы на услуги по передаче теплоносителя</v>
      </c>
      <c r="G224" s="790" t="str">
        <f>INDEX(PT_DIFFERENTIATION_NTAR,MATCH(B224,PT_DIFFERENTIATION_NTAR_ID,0))</f>
        <v/>
      </c>
      <c r="H224" s="133"/>
      <c r="I224" s="803"/>
      <c r="J224" s="804"/>
      <c r="K224" s="263"/>
      <c r="L224" s="133" t="s">
        <v>302</v>
      </c>
      <c r="M224" s="814"/>
      <c r="N224" s="806"/>
      <c r="O224" s="151"/>
      <c r="P224" s="151"/>
      <c r="AH224" s="43">
        <v>0</v>
      </c>
    </row>
    <row r="225" s="43" customFormat="1" ht="18.75" hidden="1" customHeight="1" spans="1:34">
      <c r="A225" s="81"/>
      <c r="B225" s="81"/>
      <c r="C225" s="789" t="s">
        <v>1354</v>
      </c>
      <c r="D225" s="800"/>
      <c r="E225" s="295"/>
      <c r="F225" s="327"/>
      <c r="G225" s="790"/>
      <c r="H225" s="601"/>
      <c r="I225" s="332" t="s">
        <v>1353</v>
      </c>
      <c r="J225" s="780"/>
      <c r="K225" s="601"/>
      <c r="L225" s="580"/>
      <c r="M225" s="814"/>
      <c r="N225" s="806"/>
      <c r="O225" s="151"/>
      <c r="P225" s="151"/>
      <c r="AH225" s="43">
        <v>0</v>
      </c>
    </row>
    <row r="226" s="43" customFormat="1" ht="0.75" hidden="1" customHeight="1" spans="1:34">
      <c r="A226" s="81"/>
      <c r="B226" s="81"/>
      <c r="C226" s="789" t="s">
        <v>1361</v>
      </c>
      <c r="D226" s="800"/>
      <c r="E226" s="295"/>
      <c r="F226" s="327"/>
      <c r="G226" s="799"/>
      <c r="H226" s="601"/>
      <c r="I226" s="332"/>
      <c r="J226" s="780"/>
      <c r="K226" s="601"/>
      <c r="L226" s="580"/>
      <c r="M226" s="814"/>
      <c r="N226" s="806"/>
      <c r="O226" s="151"/>
      <c r="P226" s="151"/>
      <c r="AH226" s="43">
        <v>0</v>
      </c>
    </row>
    <row r="227" s="43" customFormat="1" ht="18.75" hidden="1" customHeight="1" spans="1:34">
      <c r="A227" s="81" t="s">
        <v>189</v>
      </c>
      <c r="B227" s="81" t="s">
        <v>190</v>
      </c>
      <c r="C227" s="789"/>
      <c r="D227" s="800"/>
      <c r="E227" s="295"/>
      <c r="F227" s="32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790" t="str">
        <f>INDEX(PT_DIFFERENTIATION_NTAR,MATCH(B227,PT_DIFFERENTIATION_NTAR_ID,0))</f>
        <v/>
      </c>
      <c r="H227" s="133"/>
      <c r="I227" s="803"/>
      <c r="J227" s="804"/>
      <c r="K227" s="263"/>
      <c r="L227" s="133" t="s">
        <v>302</v>
      </c>
      <c r="M227" s="814"/>
      <c r="N227" s="806"/>
      <c r="O227" s="151"/>
      <c r="P227" s="151"/>
      <c r="AH227" s="43">
        <v>0</v>
      </c>
    </row>
    <row r="228" s="43" customFormat="1" ht="18.75" hidden="1" customHeight="1" spans="1:34">
      <c r="A228" s="81"/>
      <c r="B228" s="81"/>
      <c r="C228" s="789" t="s">
        <v>1354</v>
      </c>
      <c r="D228" s="800"/>
      <c r="E228" s="295"/>
      <c r="F228" s="327"/>
      <c r="G228" s="790"/>
      <c r="H228" s="601"/>
      <c r="I228" s="332" t="s">
        <v>1353</v>
      </c>
      <c r="J228" s="780"/>
      <c r="K228" s="601"/>
      <c r="L228" s="580"/>
      <c r="M228" s="814"/>
      <c r="N228" s="806"/>
      <c r="O228" s="151"/>
      <c r="P228" s="151"/>
      <c r="AH228" s="43">
        <v>0</v>
      </c>
    </row>
    <row r="229" s="43" customFormat="1" ht="0.75" hidden="1" customHeight="1" spans="1:34">
      <c r="A229" s="81"/>
      <c r="B229" s="81"/>
      <c r="C229" s="789" t="s">
        <v>1361</v>
      </c>
      <c r="D229" s="800"/>
      <c r="E229" s="295"/>
      <c r="F229" s="327"/>
      <c r="G229" s="799"/>
      <c r="H229" s="601"/>
      <c r="I229" s="332"/>
      <c r="J229" s="780"/>
      <c r="K229" s="601"/>
      <c r="L229" s="580"/>
      <c r="M229" s="814"/>
      <c r="N229" s="806"/>
      <c r="O229" s="151"/>
      <c r="P229" s="151"/>
      <c r="AH229" s="43">
        <v>0</v>
      </c>
    </row>
    <row r="230" s="43" customFormat="1" ht="18.75" hidden="1" customHeight="1" spans="1:34">
      <c r="A230" s="81" t="s">
        <v>195</v>
      </c>
      <c r="B230" s="81" t="s">
        <v>196</v>
      </c>
      <c r="C230" s="789"/>
      <c r="D230" s="800"/>
      <c r="E230" s="295"/>
      <c r="F230" s="327" t="str">
        <f>INDEX(PT_DIFFERENTIATION_VTAR,MATCH(A230,PT_DIFFERENTIATION_VTAR_ID,0))</f>
        <v>Плата за подключение (технологическое присоединение) к системе теплоснабжения</v>
      </c>
      <c r="G230" s="790" t="str">
        <f>INDEX(PT_DIFFERENTIATION_NTAR,MATCH(B230,PT_DIFFERENTIATION_NTAR_ID,0))</f>
        <v/>
      </c>
      <c r="H230" s="133"/>
      <c r="I230" s="803"/>
      <c r="J230" s="804"/>
      <c r="K230" s="263"/>
      <c r="L230" s="133" t="s">
        <v>302</v>
      </c>
      <c r="M230" s="814"/>
      <c r="N230" s="806"/>
      <c r="O230" s="151"/>
      <c r="P230" s="151"/>
      <c r="AH230" s="43">
        <v>0</v>
      </c>
    </row>
    <row r="231" s="43" customFormat="1" ht="18.75" hidden="1" customHeight="1" spans="1:34">
      <c r="A231" s="81"/>
      <c r="B231" s="81"/>
      <c r="C231" s="789" t="s">
        <v>1354</v>
      </c>
      <c r="D231" s="800"/>
      <c r="E231" s="295"/>
      <c r="F231" s="327"/>
      <c r="G231" s="790"/>
      <c r="H231" s="601"/>
      <c r="I231" s="332" t="s">
        <v>1353</v>
      </c>
      <c r="J231" s="780"/>
      <c r="K231" s="601"/>
      <c r="L231" s="580"/>
      <c r="M231" s="814"/>
      <c r="N231" s="806"/>
      <c r="O231" s="151"/>
      <c r="P231" s="151"/>
      <c r="AH231" s="43">
        <v>0</v>
      </c>
    </row>
    <row r="232" s="43" customFormat="1" ht="0.75" hidden="1" customHeight="1" spans="1:34">
      <c r="A232" s="81"/>
      <c r="B232" s="81"/>
      <c r="C232" s="789" t="s">
        <v>1361</v>
      </c>
      <c r="D232" s="800"/>
      <c r="E232" s="295"/>
      <c r="F232" s="327"/>
      <c r="G232" s="799"/>
      <c r="H232" s="601"/>
      <c r="I232" s="332"/>
      <c r="J232" s="780"/>
      <c r="K232" s="601"/>
      <c r="L232" s="580"/>
      <c r="M232" s="814"/>
      <c r="N232" s="806"/>
      <c r="O232" s="151"/>
      <c r="P232" s="151"/>
      <c r="AH232" s="43">
        <v>0</v>
      </c>
    </row>
    <row r="233" s="43" customFormat="1" ht="18.75" hidden="1" customHeight="1" spans="1:34">
      <c r="A233" s="81" t="s">
        <v>201</v>
      </c>
      <c r="B233" s="81" t="s">
        <v>202</v>
      </c>
      <c r="C233" s="789"/>
      <c r="D233" s="800"/>
      <c r="E233" s="295"/>
      <c r="F233" s="327" t="str">
        <f>INDEX(PT_DIFFERENTIATION_VTAR,MATCH(A233,PT_DIFFERENTIATION_VTAR_ID,0))</f>
        <v>Плата за подключение (технологическое присоединение) к системе теплоснабжения (индивидуальная)</v>
      </c>
      <c r="G233" s="790" t="str">
        <f>INDEX(PT_DIFFERENTIATION_NTAR,MATCH(B233,PT_DIFFERENTIATION_NTAR_ID,0))</f>
        <v/>
      </c>
      <c r="H233" s="133"/>
      <c r="I233" s="803"/>
      <c r="J233" s="804"/>
      <c r="K233" s="263"/>
      <c r="L233" s="133" t="s">
        <v>302</v>
      </c>
      <c r="M233" s="814"/>
      <c r="N233" s="806"/>
      <c r="O233" s="151"/>
      <c r="P233" s="151"/>
      <c r="AH233" s="43">
        <v>0</v>
      </c>
    </row>
    <row r="234" s="43" customFormat="1" ht="18.75" hidden="1" customHeight="1" spans="1:34">
      <c r="A234" s="81"/>
      <c r="B234" s="81"/>
      <c r="C234" s="789" t="s">
        <v>1354</v>
      </c>
      <c r="D234" s="800"/>
      <c r="E234" s="295"/>
      <c r="F234" s="327"/>
      <c r="G234" s="790"/>
      <c r="H234" s="601"/>
      <c r="I234" s="332" t="s">
        <v>1353</v>
      </c>
      <c r="J234" s="780"/>
      <c r="K234" s="601"/>
      <c r="L234" s="580"/>
      <c r="M234" s="814"/>
      <c r="N234" s="806"/>
      <c r="O234" s="151"/>
      <c r="P234" s="151"/>
      <c r="AH234" s="43">
        <v>0</v>
      </c>
    </row>
    <row r="235" s="43" customFormat="1" ht="0.75" hidden="1" customHeight="1" spans="1:34">
      <c r="A235" s="81"/>
      <c r="B235" s="81"/>
      <c r="C235" s="789" t="s">
        <v>1361</v>
      </c>
      <c r="D235" s="800"/>
      <c r="E235" s="295"/>
      <c r="F235" s="327"/>
      <c r="G235" s="799"/>
      <c r="H235" s="601"/>
      <c r="I235" s="332"/>
      <c r="J235" s="780"/>
      <c r="K235" s="601"/>
      <c r="L235" s="580"/>
      <c r="M235" s="814"/>
      <c r="N235" s="806"/>
      <c r="O235" s="151"/>
      <c r="P235" s="151"/>
      <c r="AH235" s="43">
        <v>0</v>
      </c>
    </row>
    <row r="236" s="43" customFormat="1" ht="18.75" hidden="1" customHeight="1" spans="1:34">
      <c r="A236" s="81" t="s">
        <v>221</v>
      </c>
      <c r="B236" s="81" t="s">
        <v>222</v>
      </c>
      <c r="C236" s="789"/>
      <c r="D236" s="800"/>
      <c r="E236" s="295"/>
      <c r="F236" s="327" t="str">
        <f>INDEX(PT_DIFFERENTIATION_VTAR,MATCH(A236,PT_DIFFERENTIATION_VTAR_ID,0))</f>
        <v>Тариф на питьевую воду (питьевое водоснабжение)</v>
      </c>
      <c r="G236" s="790" t="str">
        <f>INDEX(PT_DIFFERENTIATION_NTAR,MATCH(B236,PT_DIFFERENTIATION_NTAR_ID,0))</f>
        <v/>
      </c>
      <c r="H236" s="133"/>
      <c r="I236" s="803"/>
      <c r="J236" s="804"/>
      <c r="K236" s="263"/>
      <c r="L236" s="133" t="s">
        <v>302</v>
      </c>
      <c r="M236" s="814"/>
      <c r="N236" s="806"/>
      <c r="O236" s="151"/>
      <c r="P236" s="151"/>
      <c r="AH236" s="43">
        <v>0</v>
      </c>
    </row>
    <row r="237" s="43" customFormat="1" ht="18.75" hidden="1" customHeight="1" spans="1:34">
      <c r="A237" s="81"/>
      <c r="B237" s="81"/>
      <c r="C237" s="789" t="s">
        <v>1354</v>
      </c>
      <c r="D237" s="800"/>
      <c r="E237" s="295"/>
      <c r="F237" s="327"/>
      <c r="G237" s="790"/>
      <c r="H237" s="601"/>
      <c r="I237" s="332" t="s">
        <v>1353</v>
      </c>
      <c r="J237" s="780"/>
      <c r="K237" s="601"/>
      <c r="L237" s="580"/>
      <c r="M237" s="814"/>
      <c r="N237" s="806"/>
      <c r="O237" s="151"/>
      <c r="P237" s="151"/>
      <c r="AH237" s="43">
        <v>0</v>
      </c>
    </row>
    <row r="238" s="43" customFormat="1" ht="0.75" hidden="1" customHeight="1" spans="1:34">
      <c r="A238" s="81"/>
      <c r="B238" s="81"/>
      <c r="C238" s="789" t="s">
        <v>1361</v>
      </c>
      <c r="D238" s="800"/>
      <c r="E238" s="295"/>
      <c r="F238" s="327"/>
      <c r="G238" s="799"/>
      <c r="H238" s="601"/>
      <c r="I238" s="332"/>
      <c r="J238" s="780"/>
      <c r="K238" s="601"/>
      <c r="L238" s="580"/>
      <c r="M238" s="814"/>
      <c r="N238" s="806"/>
      <c r="O238" s="151"/>
      <c r="P238" s="151"/>
      <c r="AH238" s="43">
        <v>0</v>
      </c>
    </row>
    <row r="239" s="43" customFormat="1" ht="18.75" hidden="1" customHeight="1" spans="1:34">
      <c r="A239" s="81" t="s">
        <v>226</v>
      </c>
      <c r="B239" s="81" t="s">
        <v>227</v>
      </c>
      <c r="C239" s="789"/>
      <c r="D239" s="800"/>
      <c r="E239" s="295"/>
      <c r="F239" s="327" t="str">
        <f>INDEX(PT_DIFFERENTIATION_VTAR,MATCH(A239,PT_DIFFERENTIATION_VTAR_ID,0))</f>
        <v>Тариф на техническую воду</v>
      </c>
      <c r="G239" s="790" t="str">
        <f>INDEX(PT_DIFFERENTIATION_NTAR,MATCH(B239,PT_DIFFERENTIATION_NTAR_ID,0))</f>
        <v/>
      </c>
      <c r="H239" s="133"/>
      <c r="I239" s="803"/>
      <c r="J239" s="804"/>
      <c r="K239" s="263"/>
      <c r="L239" s="133" t="s">
        <v>302</v>
      </c>
      <c r="M239" s="814"/>
      <c r="N239" s="806"/>
      <c r="O239" s="151"/>
      <c r="P239" s="151"/>
      <c r="AH239" s="43">
        <v>0</v>
      </c>
    </row>
    <row r="240" s="43" customFormat="1" ht="18.75" hidden="1" customHeight="1" spans="1:34">
      <c r="A240" s="81"/>
      <c r="B240" s="81"/>
      <c r="C240" s="789" t="s">
        <v>1354</v>
      </c>
      <c r="D240" s="800"/>
      <c r="E240" s="295"/>
      <c r="F240" s="327"/>
      <c r="G240" s="790"/>
      <c r="H240" s="601"/>
      <c r="I240" s="332" t="s">
        <v>1353</v>
      </c>
      <c r="J240" s="780"/>
      <c r="K240" s="601"/>
      <c r="L240" s="580"/>
      <c r="M240" s="814"/>
      <c r="N240" s="806"/>
      <c r="O240" s="151"/>
      <c r="P240" s="151"/>
      <c r="AH240" s="43">
        <v>0</v>
      </c>
    </row>
    <row r="241" s="43" customFormat="1" ht="0.75" hidden="1" customHeight="1" spans="1:34">
      <c r="A241" s="81"/>
      <c r="B241" s="81"/>
      <c r="C241" s="789" t="s">
        <v>1361</v>
      </c>
      <c r="D241" s="800"/>
      <c r="E241" s="295"/>
      <c r="F241" s="327"/>
      <c r="G241" s="799"/>
      <c r="H241" s="601"/>
      <c r="I241" s="332"/>
      <c r="J241" s="780"/>
      <c r="K241" s="601"/>
      <c r="L241" s="580"/>
      <c r="M241" s="814"/>
      <c r="N241" s="806"/>
      <c r="O241" s="151"/>
      <c r="P241" s="151"/>
      <c r="AH241" s="43">
        <v>0</v>
      </c>
    </row>
    <row r="242" s="43" customFormat="1" ht="18.75" hidden="1" customHeight="1" spans="1:34">
      <c r="A242" s="81" t="s">
        <v>231</v>
      </c>
      <c r="B242" s="81" t="s">
        <v>232</v>
      </c>
      <c r="C242" s="789"/>
      <c r="D242" s="800"/>
      <c r="E242" s="295"/>
      <c r="F242" s="327" t="str">
        <f>INDEX(PT_DIFFERENTIATION_VTAR,MATCH(A242,PT_DIFFERENTIATION_VTAR_ID,0))</f>
        <v>Тариф на транспортировку воды</v>
      </c>
      <c r="G242" s="790" t="str">
        <f>INDEX(PT_DIFFERENTIATION_NTAR,MATCH(B242,PT_DIFFERENTIATION_NTAR_ID,0))</f>
        <v/>
      </c>
      <c r="H242" s="133"/>
      <c r="I242" s="803"/>
      <c r="J242" s="804"/>
      <c r="K242" s="263"/>
      <c r="L242" s="133" t="s">
        <v>302</v>
      </c>
      <c r="M242" s="814"/>
      <c r="N242" s="806"/>
      <c r="O242" s="151"/>
      <c r="P242" s="151"/>
      <c r="AH242" s="43">
        <v>0</v>
      </c>
    </row>
    <row r="243" s="43" customFormat="1" ht="18.75" hidden="1" customHeight="1" spans="1:34">
      <c r="A243" s="81"/>
      <c r="B243" s="81"/>
      <c r="C243" s="789" t="s">
        <v>1354</v>
      </c>
      <c r="D243" s="800"/>
      <c r="E243" s="295"/>
      <c r="F243" s="327"/>
      <c r="G243" s="790"/>
      <c r="H243" s="601"/>
      <c r="I243" s="332" t="s">
        <v>1353</v>
      </c>
      <c r="J243" s="780"/>
      <c r="K243" s="601"/>
      <c r="L243" s="580"/>
      <c r="M243" s="814"/>
      <c r="N243" s="806"/>
      <c r="O243" s="151"/>
      <c r="P243" s="151"/>
      <c r="AH243" s="43">
        <v>0</v>
      </c>
    </row>
    <row r="244" s="43" customFormat="1" ht="0.75" hidden="1" customHeight="1" spans="1:34">
      <c r="A244" s="81"/>
      <c r="B244" s="81"/>
      <c r="C244" s="789" t="s">
        <v>1361</v>
      </c>
      <c r="D244" s="800"/>
      <c r="E244" s="295"/>
      <c r="F244" s="327"/>
      <c r="G244" s="799"/>
      <c r="H244" s="601"/>
      <c r="I244" s="332"/>
      <c r="J244" s="780"/>
      <c r="K244" s="601"/>
      <c r="L244" s="580"/>
      <c r="M244" s="814"/>
      <c r="N244" s="806"/>
      <c r="O244" s="151"/>
      <c r="P244" s="151"/>
      <c r="AH244" s="43">
        <v>0</v>
      </c>
    </row>
    <row r="245" s="43" customFormat="1" ht="18.75" hidden="1" customHeight="1" spans="1:34">
      <c r="A245" s="81" t="s">
        <v>236</v>
      </c>
      <c r="B245" s="81" t="s">
        <v>237</v>
      </c>
      <c r="C245" s="789"/>
      <c r="D245" s="800"/>
      <c r="E245" s="295"/>
      <c r="F245" s="327" t="str">
        <f>INDEX(PT_DIFFERENTIATION_VTAR,MATCH(A245,PT_DIFFERENTIATION_VTAR_ID,0))</f>
        <v>Тариф на подвоз воды</v>
      </c>
      <c r="G245" s="790" t="str">
        <f>INDEX(PT_DIFFERENTIATION_NTAR,MATCH(B245,PT_DIFFERENTIATION_NTAR_ID,0))</f>
        <v/>
      </c>
      <c r="H245" s="133"/>
      <c r="I245" s="803"/>
      <c r="J245" s="804"/>
      <c r="K245" s="263"/>
      <c r="L245" s="133" t="s">
        <v>302</v>
      </c>
      <c r="M245" s="814"/>
      <c r="N245" s="806"/>
      <c r="O245" s="151"/>
      <c r="P245" s="151"/>
      <c r="AH245" s="43">
        <v>0</v>
      </c>
    </row>
    <row r="246" s="43" customFormat="1" ht="18.75" hidden="1" customHeight="1" spans="1:34">
      <c r="A246" s="81"/>
      <c r="B246" s="81"/>
      <c r="C246" s="789" t="s">
        <v>1354</v>
      </c>
      <c r="D246" s="800"/>
      <c r="E246" s="295"/>
      <c r="F246" s="327"/>
      <c r="G246" s="790"/>
      <c r="H246" s="601"/>
      <c r="I246" s="332" t="s">
        <v>1353</v>
      </c>
      <c r="J246" s="780"/>
      <c r="K246" s="601"/>
      <c r="L246" s="580"/>
      <c r="M246" s="814"/>
      <c r="N246" s="806"/>
      <c r="O246" s="151"/>
      <c r="P246" s="151"/>
      <c r="AH246" s="43">
        <v>0</v>
      </c>
    </row>
    <row r="247" s="43" customFormat="1" ht="0.75" hidden="1" customHeight="1" spans="1:34">
      <c r="A247" s="81"/>
      <c r="B247" s="81"/>
      <c r="C247" s="789" t="s">
        <v>1361</v>
      </c>
      <c r="D247" s="800"/>
      <c r="E247" s="295"/>
      <c r="F247" s="327"/>
      <c r="G247" s="799"/>
      <c r="H247" s="601"/>
      <c r="I247" s="332"/>
      <c r="J247" s="780"/>
      <c r="K247" s="601"/>
      <c r="L247" s="580"/>
      <c r="M247" s="814"/>
      <c r="N247" s="806"/>
      <c r="O247" s="151"/>
      <c r="P247" s="151"/>
      <c r="AH247" s="43">
        <v>0</v>
      </c>
    </row>
    <row r="248" s="43" customFormat="1" ht="18.75" hidden="1" customHeight="1" spans="1:34">
      <c r="A248" s="81" t="s">
        <v>241</v>
      </c>
      <c r="B248" s="81" t="s">
        <v>242</v>
      </c>
      <c r="C248" s="789"/>
      <c r="D248" s="800"/>
      <c r="E248" s="295"/>
      <c r="F248" s="32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790" t="str">
        <f>INDEX(PT_DIFFERENTIATION_NTAR,MATCH(B248,PT_DIFFERENTIATION_NTAR_ID,0))</f>
        <v/>
      </c>
      <c r="H248" s="133"/>
      <c r="I248" s="803"/>
      <c r="J248" s="804"/>
      <c r="K248" s="263"/>
      <c r="L248" s="133" t="s">
        <v>302</v>
      </c>
      <c r="M248" s="814"/>
      <c r="N248" s="806"/>
      <c r="O248" s="151"/>
      <c r="P248" s="151"/>
      <c r="AH248" s="43">
        <v>0</v>
      </c>
    </row>
    <row r="249" s="43" customFormat="1" ht="18.75" hidden="1" customHeight="1" spans="1:34">
      <c r="A249" s="81"/>
      <c r="B249" s="81"/>
      <c r="C249" s="789" t="s">
        <v>1354</v>
      </c>
      <c r="D249" s="800"/>
      <c r="E249" s="295"/>
      <c r="F249" s="327"/>
      <c r="G249" s="790"/>
      <c r="H249" s="601"/>
      <c r="I249" s="332" t="s">
        <v>1353</v>
      </c>
      <c r="J249" s="780"/>
      <c r="K249" s="601"/>
      <c r="L249" s="580"/>
      <c r="M249" s="814"/>
      <c r="N249" s="806"/>
      <c r="O249" s="151"/>
      <c r="P249" s="151"/>
      <c r="AH249" s="43">
        <v>0</v>
      </c>
    </row>
    <row r="250" s="43" customFormat="1" ht="0.75" hidden="1" customHeight="1" spans="1:34">
      <c r="A250" s="81"/>
      <c r="B250" s="81"/>
      <c r="C250" s="789" t="s">
        <v>1361</v>
      </c>
      <c r="D250" s="800"/>
      <c r="E250" s="295"/>
      <c r="F250" s="327"/>
      <c r="G250" s="799"/>
      <c r="H250" s="601"/>
      <c r="I250" s="332"/>
      <c r="J250" s="780"/>
      <c r="K250" s="601"/>
      <c r="L250" s="580"/>
      <c r="M250" s="814"/>
      <c r="N250" s="806"/>
      <c r="O250" s="151"/>
      <c r="P250" s="151"/>
      <c r="AH250" s="43">
        <v>0</v>
      </c>
    </row>
    <row r="251" s="43" customFormat="1" ht="18.75" hidden="1" customHeight="1" spans="1:34">
      <c r="A251" s="81" t="s">
        <v>246</v>
      </c>
      <c r="B251" s="81" t="s">
        <v>247</v>
      </c>
      <c r="C251" s="789"/>
      <c r="D251" s="800"/>
      <c r="E251" s="295"/>
      <c r="F251" s="327" t="str">
        <f>INDEX(PT_DIFFERENTIATION_VTAR,MATCH(A251,PT_DIFFERENTIATION_VTAR_ID,0))</f>
        <v>Тариф на горячую воду (горячее водоснабжение)</v>
      </c>
      <c r="G251" s="790" t="str">
        <f>INDEX(PT_DIFFERENTIATION_NTAR,MATCH(B251,PT_DIFFERENTIATION_NTAR_ID,0))</f>
        <v/>
      </c>
      <c r="H251" s="133"/>
      <c r="I251" s="803"/>
      <c r="J251" s="804"/>
      <c r="K251" s="263"/>
      <c r="L251" s="133" t="s">
        <v>302</v>
      </c>
      <c r="M251" s="814"/>
      <c r="N251" s="806"/>
      <c r="O251" s="151"/>
      <c r="P251" s="151"/>
      <c r="AH251" s="43">
        <v>0</v>
      </c>
    </row>
    <row r="252" s="43" customFormat="1" ht="18.75" hidden="1" customHeight="1" spans="1:34">
      <c r="A252" s="81"/>
      <c r="B252" s="81"/>
      <c r="C252" s="789" t="s">
        <v>1354</v>
      </c>
      <c r="D252" s="800"/>
      <c r="E252" s="295"/>
      <c r="F252" s="327"/>
      <c r="G252" s="790"/>
      <c r="H252" s="601"/>
      <c r="I252" s="332" t="s">
        <v>1353</v>
      </c>
      <c r="J252" s="780"/>
      <c r="K252" s="601"/>
      <c r="L252" s="580"/>
      <c r="M252" s="814"/>
      <c r="N252" s="806"/>
      <c r="O252" s="151"/>
      <c r="P252" s="151"/>
      <c r="AH252" s="43">
        <v>0</v>
      </c>
    </row>
    <row r="253" s="43" customFormat="1" ht="0.75" hidden="1" customHeight="1" spans="1:34">
      <c r="A253" s="81"/>
      <c r="B253" s="81"/>
      <c r="C253" s="789" t="s">
        <v>1361</v>
      </c>
      <c r="D253" s="800"/>
      <c r="E253" s="295"/>
      <c r="F253" s="327"/>
      <c r="G253" s="799"/>
      <c r="H253" s="601"/>
      <c r="I253" s="332"/>
      <c r="J253" s="780"/>
      <c r="K253" s="601"/>
      <c r="L253" s="580"/>
      <c r="M253" s="814"/>
      <c r="N253" s="806"/>
      <c r="O253" s="151"/>
      <c r="P253" s="151"/>
      <c r="AH253" s="43">
        <v>0</v>
      </c>
    </row>
    <row r="254" s="43" customFormat="1" ht="18.75" hidden="1" customHeight="1" spans="1:34">
      <c r="A254" s="81" t="s">
        <v>251</v>
      </c>
      <c r="B254" s="81" t="s">
        <v>252</v>
      </c>
      <c r="C254" s="789"/>
      <c r="D254" s="800"/>
      <c r="E254" s="295"/>
      <c r="F254" s="327" t="str">
        <f>INDEX(PT_DIFFERENTIATION_VTAR,MATCH(A254,PT_DIFFERENTIATION_VTAR_ID,0))</f>
        <v>Тариф на транспортировку горячей воды</v>
      </c>
      <c r="G254" s="790" t="str">
        <f>INDEX(PT_DIFFERENTIATION_NTAR,MATCH(B254,PT_DIFFERENTIATION_NTAR_ID,0))</f>
        <v/>
      </c>
      <c r="H254" s="133"/>
      <c r="I254" s="803"/>
      <c r="J254" s="804"/>
      <c r="K254" s="263"/>
      <c r="L254" s="133" t="s">
        <v>302</v>
      </c>
      <c r="M254" s="814"/>
      <c r="N254" s="806"/>
      <c r="O254" s="151"/>
      <c r="P254" s="151"/>
      <c r="AH254" s="43">
        <v>0</v>
      </c>
    </row>
    <row r="255" s="43" customFormat="1" ht="18.75" hidden="1" customHeight="1" spans="1:34">
      <c r="A255" s="81"/>
      <c r="B255" s="81"/>
      <c r="C255" s="789" t="s">
        <v>1354</v>
      </c>
      <c r="D255" s="800"/>
      <c r="E255" s="295"/>
      <c r="F255" s="327"/>
      <c r="G255" s="790"/>
      <c r="H255" s="601"/>
      <c r="I255" s="332" t="s">
        <v>1353</v>
      </c>
      <c r="J255" s="780"/>
      <c r="K255" s="601"/>
      <c r="L255" s="580"/>
      <c r="M255" s="814"/>
      <c r="N255" s="806"/>
      <c r="O255" s="151"/>
      <c r="P255" s="151"/>
      <c r="AH255" s="43">
        <v>0</v>
      </c>
    </row>
    <row r="256" s="43" customFormat="1" ht="0.75" hidden="1" customHeight="1" spans="1:34">
      <c r="A256" s="81"/>
      <c r="B256" s="81"/>
      <c r="C256" s="789" t="s">
        <v>1361</v>
      </c>
      <c r="D256" s="800"/>
      <c r="E256" s="295"/>
      <c r="F256" s="327"/>
      <c r="G256" s="799"/>
      <c r="H256" s="601"/>
      <c r="I256" s="332"/>
      <c r="J256" s="780"/>
      <c r="K256" s="601"/>
      <c r="L256" s="580"/>
      <c r="M256" s="814"/>
      <c r="N256" s="806"/>
      <c r="O256" s="151"/>
      <c r="P256" s="151"/>
      <c r="AH256" s="43">
        <v>0</v>
      </c>
    </row>
    <row r="257" s="43" customFormat="1" ht="18.75" hidden="1" customHeight="1" spans="1:34">
      <c r="A257" s="81" t="s">
        <v>256</v>
      </c>
      <c r="B257" s="81" t="s">
        <v>257</v>
      </c>
      <c r="C257" s="789"/>
      <c r="D257" s="800"/>
      <c r="E257" s="295"/>
      <c r="F257" s="327" t="str">
        <f>INDEX(PT_DIFFERENTIATION_VTAR,MATCH(A257,PT_DIFFERENTIATION_VTAR_ID,0))</f>
        <v>Тариф на подключение (технологическое присоединение) к централизованной системе горячего водоснабжения</v>
      </c>
      <c r="G257" s="790" t="str">
        <f>INDEX(PT_DIFFERENTIATION_NTAR,MATCH(B257,PT_DIFFERENTIATION_NTAR_ID,0))</f>
        <v/>
      </c>
      <c r="H257" s="133"/>
      <c r="I257" s="803"/>
      <c r="J257" s="804"/>
      <c r="K257" s="263"/>
      <c r="L257" s="133" t="s">
        <v>302</v>
      </c>
      <c r="M257" s="814"/>
      <c r="N257" s="806"/>
      <c r="O257" s="151"/>
      <c r="P257" s="151"/>
      <c r="AH257" s="43">
        <v>0</v>
      </c>
    </row>
    <row r="258" s="43" customFormat="1" ht="18.75" hidden="1" customHeight="1" spans="1:34">
      <c r="A258" s="81"/>
      <c r="B258" s="81"/>
      <c r="C258" s="789" t="s">
        <v>1354</v>
      </c>
      <c r="D258" s="800"/>
      <c r="E258" s="295"/>
      <c r="F258" s="327"/>
      <c r="G258" s="790"/>
      <c r="H258" s="601"/>
      <c r="I258" s="332" t="s">
        <v>1353</v>
      </c>
      <c r="J258" s="780"/>
      <c r="K258" s="601"/>
      <c r="L258" s="580"/>
      <c r="M258" s="814"/>
      <c r="N258" s="806"/>
      <c r="O258" s="151"/>
      <c r="P258" s="151"/>
      <c r="AH258" s="43">
        <v>0</v>
      </c>
    </row>
    <row r="259" s="43" customFormat="1" ht="0.75" hidden="1" customHeight="1" spans="1:34">
      <c r="A259" s="81"/>
      <c r="B259" s="81"/>
      <c r="C259" s="789" t="s">
        <v>1361</v>
      </c>
      <c r="D259" s="800"/>
      <c r="E259" s="295"/>
      <c r="F259" s="327"/>
      <c r="G259" s="799"/>
      <c r="H259" s="601"/>
      <c r="I259" s="332"/>
      <c r="J259" s="780"/>
      <c r="K259" s="601"/>
      <c r="L259" s="580"/>
      <c r="M259" s="814"/>
      <c r="N259" s="806"/>
      <c r="O259" s="151"/>
      <c r="P259" s="151"/>
      <c r="AH259" s="43">
        <v>0</v>
      </c>
    </row>
    <row r="260" s="43" customFormat="1" ht="18.75" hidden="1" customHeight="1" spans="1:34">
      <c r="A260" s="81" t="s">
        <v>261</v>
      </c>
      <c r="B260" s="81" t="s">
        <v>262</v>
      </c>
      <c r="C260" s="789"/>
      <c r="D260" s="800"/>
      <c r="E260" s="295"/>
      <c r="F260" s="327" t="str">
        <f>INDEX(PT_DIFFERENTIATION_VTAR,MATCH(A260,PT_DIFFERENTIATION_VTAR_ID,0))</f>
        <v>Тариф на водоотведение</v>
      </c>
      <c r="G260" s="790" t="str">
        <f>INDEX(PT_DIFFERENTIATION_NTAR,MATCH(B260,PT_DIFFERENTIATION_NTAR_ID,0))</f>
        <v/>
      </c>
      <c r="H260" s="133"/>
      <c r="I260" s="803"/>
      <c r="J260" s="804"/>
      <c r="K260" s="263"/>
      <c r="L260" s="133" t="s">
        <v>302</v>
      </c>
      <c r="M260" s="814"/>
      <c r="N260" s="806"/>
      <c r="O260" s="151"/>
      <c r="P260" s="151"/>
      <c r="AH260" s="43">
        <v>0</v>
      </c>
    </row>
    <row r="261" s="43" customFormat="1" ht="18.75" hidden="1" customHeight="1" spans="1:34">
      <c r="A261" s="81"/>
      <c r="B261" s="81"/>
      <c r="C261" s="789" t="s">
        <v>1354</v>
      </c>
      <c r="D261" s="800"/>
      <c r="E261" s="295"/>
      <c r="F261" s="327"/>
      <c r="G261" s="790"/>
      <c r="H261" s="601"/>
      <c r="I261" s="332" t="s">
        <v>1353</v>
      </c>
      <c r="J261" s="780"/>
      <c r="K261" s="601"/>
      <c r="L261" s="580"/>
      <c r="M261" s="814"/>
      <c r="N261" s="806"/>
      <c r="O261" s="151"/>
      <c r="P261" s="151"/>
      <c r="AH261" s="43">
        <v>0</v>
      </c>
    </row>
    <row r="262" s="43" customFormat="1" ht="0.75" hidden="1" customHeight="1" spans="1:34">
      <c r="A262" s="81"/>
      <c r="B262" s="81"/>
      <c r="C262" s="789" t="s">
        <v>1361</v>
      </c>
      <c r="D262" s="800"/>
      <c r="E262" s="295"/>
      <c r="F262" s="327"/>
      <c r="G262" s="799"/>
      <c r="H262" s="601"/>
      <c r="I262" s="332"/>
      <c r="J262" s="780"/>
      <c r="K262" s="601"/>
      <c r="L262" s="580"/>
      <c r="M262" s="814"/>
      <c r="N262" s="806"/>
      <c r="O262" s="151"/>
      <c r="P262" s="151"/>
      <c r="AH262" s="43">
        <v>0</v>
      </c>
    </row>
    <row r="263" s="43" customFormat="1" ht="18.75" hidden="1" customHeight="1" spans="1:34">
      <c r="A263" s="81" t="s">
        <v>266</v>
      </c>
      <c r="B263" s="81" t="s">
        <v>267</v>
      </c>
      <c r="C263" s="789"/>
      <c r="D263" s="800"/>
      <c r="E263" s="295"/>
      <c r="F263" s="327" t="str">
        <f>INDEX(PT_DIFFERENTIATION_VTAR,MATCH(A263,PT_DIFFERENTIATION_VTAR_ID,0))</f>
        <v>Тариф на транспортировку сточных вод</v>
      </c>
      <c r="G263" s="790" t="str">
        <f>INDEX(PT_DIFFERENTIATION_NTAR,MATCH(B263,PT_DIFFERENTIATION_NTAR_ID,0))</f>
        <v/>
      </c>
      <c r="H263" s="133"/>
      <c r="I263" s="803"/>
      <c r="J263" s="804"/>
      <c r="K263" s="263"/>
      <c r="L263" s="133" t="s">
        <v>302</v>
      </c>
      <c r="M263" s="814"/>
      <c r="N263" s="806"/>
      <c r="O263" s="151"/>
      <c r="P263" s="151"/>
      <c r="AH263" s="43">
        <v>0</v>
      </c>
    </row>
    <row r="264" s="43" customFormat="1" ht="18.75" hidden="1" customHeight="1" spans="1:34">
      <c r="A264" s="81"/>
      <c r="B264" s="81"/>
      <c r="C264" s="789" t="s">
        <v>1354</v>
      </c>
      <c r="D264" s="800"/>
      <c r="E264" s="295"/>
      <c r="F264" s="327"/>
      <c r="G264" s="790"/>
      <c r="H264" s="601"/>
      <c r="I264" s="332" t="s">
        <v>1353</v>
      </c>
      <c r="J264" s="780"/>
      <c r="K264" s="601"/>
      <c r="L264" s="580"/>
      <c r="M264" s="814"/>
      <c r="N264" s="806"/>
      <c r="O264" s="151"/>
      <c r="P264" s="151"/>
      <c r="AH264" s="43">
        <v>0</v>
      </c>
    </row>
    <row r="265" s="43" customFormat="1" ht="0.75" hidden="1" customHeight="1" spans="1:34">
      <c r="A265" s="81"/>
      <c r="B265" s="81"/>
      <c r="C265" s="789" t="s">
        <v>1361</v>
      </c>
      <c r="D265" s="800"/>
      <c r="E265" s="295"/>
      <c r="F265" s="327"/>
      <c r="G265" s="799"/>
      <c r="H265" s="601"/>
      <c r="I265" s="332"/>
      <c r="J265" s="780"/>
      <c r="K265" s="601"/>
      <c r="L265" s="580"/>
      <c r="M265" s="814"/>
      <c r="N265" s="806"/>
      <c r="O265" s="151"/>
      <c r="P265" s="151"/>
      <c r="AH265" s="43">
        <v>0</v>
      </c>
    </row>
    <row r="266" s="43" customFormat="1" ht="18.75" hidden="1" customHeight="1" spans="1:34">
      <c r="A266" s="81" t="s">
        <v>271</v>
      </c>
      <c r="B266" s="81" t="s">
        <v>272</v>
      </c>
      <c r="C266" s="789"/>
      <c r="D266" s="800"/>
      <c r="E266" s="295"/>
      <c r="F266" s="327" t="str">
        <f>INDEX(PT_DIFFERENTIATION_VTAR,MATCH(A266,PT_DIFFERENTIATION_VTAR_ID,0))</f>
        <v>Тариф на подключение (технологическое присоединение) к централизованной системе водоотведения</v>
      </c>
      <c r="G266" s="790" t="str">
        <f>INDEX(PT_DIFFERENTIATION_NTAR,MATCH(B266,PT_DIFFERENTIATION_NTAR_ID,0))</f>
        <v/>
      </c>
      <c r="H266" s="133"/>
      <c r="I266" s="803"/>
      <c r="J266" s="804"/>
      <c r="K266" s="263"/>
      <c r="L266" s="133" t="s">
        <v>302</v>
      </c>
      <c r="M266" s="814"/>
      <c r="N266" s="806"/>
      <c r="O266" s="151"/>
      <c r="P266" s="151"/>
      <c r="AH266" s="43">
        <v>0</v>
      </c>
    </row>
    <row r="267" s="43" customFormat="1" ht="18.75" hidden="1" customHeight="1" spans="1:34">
      <c r="A267" s="81"/>
      <c r="B267" s="81"/>
      <c r="C267" s="789" t="s">
        <v>1354</v>
      </c>
      <c r="D267" s="800"/>
      <c r="E267" s="295"/>
      <c r="F267" s="327"/>
      <c r="G267" s="790"/>
      <c r="H267" s="601"/>
      <c r="I267" s="332" t="s">
        <v>1353</v>
      </c>
      <c r="J267" s="780"/>
      <c r="K267" s="601"/>
      <c r="L267" s="580"/>
      <c r="M267" s="814"/>
      <c r="N267" s="806"/>
      <c r="O267" s="151"/>
      <c r="P267" s="151"/>
      <c r="AH267" s="43">
        <v>0</v>
      </c>
    </row>
    <row r="268" s="43" customFormat="1" ht="1.05" customHeight="1" spans="1:34">
      <c r="A268" s="81"/>
      <c r="B268" s="81"/>
      <c r="C268" s="789" t="s">
        <v>1361</v>
      </c>
      <c r="D268" s="800"/>
      <c r="E268" s="295"/>
      <c r="F268" s="327"/>
      <c r="G268" s="799"/>
      <c r="H268" s="601"/>
      <c r="I268" s="332"/>
      <c r="J268" s="780"/>
      <c r="K268" s="601"/>
      <c r="L268" s="580"/>
      <c r="M268" s="814"/>
      <c r="N268" s="806"/>
      <c r="O268" s="151"/>
      <c r="P268" s="151"/>
      <c r="AH268" s="43">
        <v>1</v>
      </c>
    </row>
    <row r="269" ht="27.3" customHeight="1" spans="1:34">
      <c r="A269" s="81"/>
      <c r="B269" s="81"/>
      <c r="D269" s="51"/>
      <c r="E269" s="295" t="s">
        <v>93</v>
      </c>
      <c r="F269" s="4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467"/>
      <c r="H269" s="467"/>
      <c r="I269" s="467"/>
      <c r="J269" s="467"/>
      <c r="K269" s="467"/>
      <c r="L269" s="467"/>
      <c r="M269" s="813"/>
      <c r="N269" s="806"/>
      <c r="AH269" s="43">
        <v>26</v>
      </c>
    </row>
    <row r="270" s="43" customFormat="1" ht="60.75" hidden="1" customHeight="1" spans="1:34">
      <c r="A270" s="81" t="s">
        <v>153</v>
      </c>
      <c r="B270" s="81" t="s">
        <v>154</v>
      </c>
      <c r="C270" s="789"/>
      <c r="D270" s="800"/>
      <c r="E270" s="295"/>
      <c r="F270" s="32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790" t="str">
        <f>INDEX(PT_DIFFERENTIATION_NTAR,MATCH(B270,PT_DIFFERENTIATION_NTAR_ID,0))</f>
        <v/>
      </c>
      <c r="H270" s="133"/>
      <c r="I270" s="803"/>
      <c r="J270" s="804"/>
      <c r="K270" s="263"/>
      <c r="L270" s="133" t="s">
        <v>302</v>
      </c>
      <c r="M270" s="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806"/>
      <c r="O270" s="151"/>
      <c r="P270" s="151"/>
      <c r="AH270" s="43">
        <v>0</v>
      </c>
    </row>
    <row r="271" s="43" customFormat="1" ht="18.75" hidden="1" customHeight="1" spans="1:34">
      <c r="A271" s="81"/>
      <c r="B271" s="81"/>
      <c r="C271" s="789" t="s">
        <v>1354</v>
      </c>
      <c r="D271" s="800"/>
      <c r="E271" s="295"/>
      <c r="F271" s="327"/>
      <c r="G271" s="790"/>
      <c r="H271" s="601"/>
      <c r="I271" s="332" t="s">
        <v>1353</v>
      </c>
      <c r="J271" s="780"/>
      <c r="K271" s="601"/>
      <c r="L271" s="580"/>
      <c r="M271" s="779"/>
      <c r="N271" s="806"/>
      <c r="O271" s="151"/>
      <c r="P271" s="151"/>
      <c r="AH271" s="43">
        <v>0</v>
      </c>
    </row>
    <row r="272" s="43" customFormat="1" ht="0.75" hidden="1" customHeight="1" spans="1:34">
      <c r="A272" s="81"/>
      <c r="B272" s="81"/>
      <c r="C272" s="789" t="s">
        <v>1361</v>
      </c>
      <c r="D272" s="800"/>
      <c r="E272" s="295"/>
      <c r="F272" s="327"/>
      <c r="G272" s="799"/>
      <c r="H272" s="601"/>
      <c r="I272" s="332"/>
      <c r="J272" s="780"/>
      <c r="K272" s="601"/>
      <c r="L272" s="580"/>
      <c r="M272" s="779"/>
      <c r="N272" s="806"/>
      <c r="O272" s="151"/>
      <c r="P272" s="151"/>
      <c r="AH272" s="43">
        <v>0</v>
      </c>
    </row>
    <row r="273" s="43" customFormat="1" ht="45" hidden="1" customHeight="1" spans="1:34">
      <c r="A273" s="81" t="s">
        <v>158</v>
      </c>
      <c r="B273" s="81" t="s">
        <v>159</v>
      </c>
      <c r="C273" s="789"/>
      <c r="D273" s="800"/>
      <c r="E273" s="295"/>
      <c r="F273" s="327" t="str">
        <f>INDEX(PT_DIFFERENTIATION_VTAR,MATCH(A273,PT_DIFFERENTIATION_VTAR_ID,0))</f>
        <v/>
      </c>
      <c r="G273" s="790" t="str">
        <f>INDEX(PT_DIFFERENTIATION_NTAR,MATCH(B273,PT_DIFFERENTIATION_NTAR_ID,0))</f>
        <v/>
      </c>
      <c r="H273" s="133"/>
      <c r="I273" s="803"/>
      <c r="J273" s="804"/>
      <c r="K273" s="263"/>
      <c r="L273" s="133" t="s">
        <v>302</v>
      </c>
      <c r="M273" s="584"/>
      <c r="N273" s="806"/>
      <c r="O273" s="151"/>
      <c r="P273" s="151"/>
      <c r="AH273" s="43">
        <v>0</v>
      </c>
    </row>
    <row r="274" s="43" customFormat="1" ht="18.75" hidden="1" customHeight="1" spans="1:34">
      <c r="A274" s="81"/>
      <c r="B274" s="81"/>
      <c r="C274" s="789" t="s">
        <v>1354</v>
      </c>
      <c r="D274" s="800"/>
      <c r="E274" s="295"/>
      <c r="F274" s="327"/>
      <c r="G274" s="790"/>
      <c r="H274" s="601"/>
      <c r="I274" s="332" t="s">
        <v>1353</v>
      </c>
      <c r="J274" s="780"/>
      <c r="K274" s="601"/>
      <c r="L274" s="580"/>
      <c r="M274" s="779"/>
      <c r="N274" s="806"/>
      <c r="O274" s="151"/>
      <c r="P274" s="151"/>
      <c r="AH274" s="43">
        <v>0</v>
      </c>
    </row>
    <row r="275" s="43" customFormat="1" ht="0.75" hidden="1" customHeight="1" spans="1:34">
      <c r="A275" s="81"/>
      <c r="B275" s="81"/>
      <c r="C275" s="789" t="s">
        <v>1361</v>
      </c>
      <c r="D275" s="800"/>
      <c r="E275" s="295"/>
      <c r="F275" s="327"/>
      <c r="G275" s="799"/>
      <c r="H275" s="601"/>
      <c r="I275" s="332"/>
      <c r="J275" s="780"/>
      <c r="K275" s="601"/>
      <c r="L275" s="580"/>
      <c r="M275" s="814"/>
      <c r="N275" s="806"/>
      <c r="O275" s="151"/>
      <c r="P275" s="151"/>
      <c r="AH275" s="43">
        <v>0</v>
      </c>
    </row>
    <row r="276" s="43" customFormat="1" ht="45" hidden="1" customHeight="1" spans="1:34">
      <c r="A276" s="81" t="s">
        <v>165</v>
      </c>
      <c r="B276" s="81" t="s">
        <v>166</v>
      </c>
      <c r="C276" s="789"/>
      <c r="D276" s="800"/>
      <c r="E276" s="295"/>
      <c r="F276" s="32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790" t="str">
        <f>INDEX(PT_DIFFERENTIATION_NTAR,MATCH(B276,PT_DIFFERENTIATION_NTAR_ID,0))</f>
        <v/>
      </c>
      <c r="H276" s="133"/>
      <c r="I276" s="803"/>
      <c r="J276" s="804"/>
      <c r="K276" s="263"/>
      <c r="L276" s="133" t="s">
        <v>302</v>
      </c>
      <c r="M276" s="814"/>
      <c r="N276" s="806"/>
      <c r="O276" s="151"/>
      <c r="P276" s="151"/>
      <c r="AH276" s="43">
        <v>0</v>
      </c>
    </row>
    <row r="277" s="43" customFormat="1" ht="18.75" hidden="1" customHeight="1" spans="1:34">
      <c r="A277" s="81"/>
      <c r="B277" s="81"/>
      <c r="C277" s="789" t="s">
        <v>1354</v>
      </c>
      <c r="D277" s="800"/>
      <c r="E277" s="295"/>
      <c r="F277" s="327"/>
      <c r="G277" s="790"/>
      <c r="H277" s="601"/>
      <c r="I277" s="332" t="s">
        <v>1353</v>
      </c>
      <c r="J277" s="780"/>
      <c r="K277" s="601"/>
      <c r="L277" s="580"/>
      <c r="M277" s="814"/>
      <c r="N277" s="806"/>
      <c r="O277" s="151"/>
      <c r="P277" s="151"/>
      <c r="AH277" s="43">
        <v>0</v>
      </c>
    </row>
    <row r="278" s="43" customFormat="1" ht="0.75" hidden="1" customHeight="1" spans="1:34">
      <c r="A278" s="81"/>
      <c r="B278" s="81"/>
      <c r="C278" s="789" t="s">
        <v>1361</v>
      </c>
      <c r="D278" s="800"/>
      <c r="E278" s="295"/>
      <c r="F278" s="327"/>
      <c r="G278" s="799"/>
      <c r="H278" s="601"/>
      <c r="I278" s="332"/>
      <c r="J278" s="780"/>
      <c r="K278" s="601"/>
      <c r="L278" s="580"/>
      <c r="M278" s="814"/>
      <c r="N278" s="806"/>
      <c r="O278" s="151"/>
      <c r="P278" s="151"/>
      <c r="AH278" s="43">
        <v>0</v>
      </c>
    </row>
    <row r="279" s="43" customFormat="1" ht="45" hidden="1" customHeight="1" spans="1:34">
      <c r="A279" s="81" t="s">
        <v>171</v>
      </c>
      <c r="B279" s="81" t="s">
        <v>172</v>
      </c>
      <c r="C279" s="789"/>
      <c r="D279" s="800"/>
      <c r="E279" s="295"/>
      <c r="F279" s="32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790" t="str">
        <f>INDEX(PT_DIFFERENTIATION_NTAR,MATCH(B279,PT_DIFFERENTIATION_NTAR_ID,0))</f>
        <v/>
      </c>
      <c r="H279" s="133"/>
      <c r="I279" s="803"/>
      <c r="J279" s="804"/>
      <c r="K279" s="263"/>
      <c r="L279" s="133" t="s">
        <v>302</v>
      </c>
      <c r="M279" s="814"/>
      <c r="N279" s="806"/>
      <c r="O279" s="151"/>
      <c r="P279" s="151"/>
      <c r="AH279" s="43">
        <v>0</v>
      </c>
    </row>
    <row r="280" s="43" customFormat="1" ht="18.75" hidden="1" customHeight="1" spans="1:34">
      <c r="A280" s="81"/>
      <c r="B280" s="81"/>
      <c r="C280" s="789" t="s">
        <v>1354</v>
      </c>
      <c r="D280" s="800"/>
      <c r="E280" s="295"/>
      <c r="F280" s="327"/>
      <c r="G280" s="790"/>
      <c r="H280" s="601"/>
      <c r="I280" s="332" t="s">
        <v>1353</v>
      </c>
      <c r="J280" s="780"/>
      <c r="K280" s="601"/>
      <c r="L280" s="580"/>
      <c r="M280" s="814"/>
      <c r="N280" s="806"/>
      <c r="O280" s="151"/>
      <c r="P280" s="151"/>
      <c r="AH280" s="43">
        <v>0</v>
      </c>
    </row>
    <row r="281" s="43" customFormat="1" ht="0.75" hidden="1" customHeight="1" spans="1:34">
      <c r="A281" s="81"/>
      <c r="B281" s="81"/>
      <c r="C281" s="789" t="s">
        <v>1361</v>
      </c>
      <c r="D281" s="800"/>
      <c r="E281" s="295"/>
      <c r="F281" s="327"/>
      <c r="G281" s="799"/>
      <c r="H281" s="601"/>
      <c r="I281" s="332"/>
      <c r="J281" s="780"/>
      <c r="K281" s="601"/>
      <c r="L281" s="580"/>
      <c r="M281" s="814"/>
      <c r="N281" s="806"/>
      <c r="O281" s="151"/>
      <c r="P281" s="151"/>
      <c r="AH281" s="43">
        <v>0</v>
      </c>
    </row>
    <row r="282" s="43" customFormat="1" ht="18.75" hidden="1" customHeight="1" spans="1:34">
      <c r="A282" s="81" t="s">
        <v>177</v>
      </c>
      <c r="B282" s="81" t="s">
        <v>178</v>
      </c>
      <c r="C282" s="789"/>
      <c r="D282" s="800"/>
      <c r="E282" s="295"/>
      <c r="F282" s="327" t="str">
        <f>INDEX(PT_DIFFERENTIATION_VTAR,MATCH(A282,PT_DIFFERENTIATION_VTAR_ID,0))</f>
        <v>Тарифы на услуги по передаче тепловой энергии</v>
      </c>
      <c r="G282" s="790" t="str">
        <f>INDEX(PT_DIFFERENTIATION_NTAR,MATCH(B282,PT_DIFFERENTIATION_NTAR_ID,0))</f>
        <v/>
      </c>
      <c r="H282" s="133"/>
      <c r="I282" s="803"/>
      <c r="J282" s="804"/>
      <c r="K282" s="263"/>
      <c r="L282" s="133" t="s">
        <v>302</v>
      </c>
      <c r="M282" s="814"/>
      <c r="N282" s="806"/>
      <c r="O282" s="151"/>
      <c r="P282" s="151"/>
      <c r="AH282" s="43">
        <v>0</v>
      </c>
    </row>
    <row r="283" s="43" customFormat="1" ht="18.75" hidden="1" customHeight="1" spans="1:34">
      <c r="A283" s="81"/>
      <c r="B283" s="81"/>
      <c r="C283" s="789" t="s">
        <v>1354</v>
      </c>
      <c r="D283" s="800"/>
      <c r="E283" s="295"/>
      <c r="F283" s="327"/>
      <c r="G283" s="790"/>
      <c r="H283" s="601"/>
      <c r="I283" s="332" t="s">
        <v>1353</v>
      </c>
      <c r="J283" s="780"/>
      <c r="K283" s="601"/>
      <c r="L283" s="580"/>
      <c r="M283" s="814"/>
      <c r="N283" s="806"/>
      <c r="O283" s="151"/>
      <c r="P283" s="151"/>
      <c r="AH283" s="43">
        <v>0</v>
      </c>
    </row>
    <row r="284" s="43" customFormat="1" ht="0.75" hidden="1" customHeight="1" spans="1:34">
      <c r="A284" s="81"/>
      <c r="B284" s="81"/>
      <c r="C284" s="789" t="s">
        <v>1361</v>
      </c>
      <c r="D284" s="800"/>
      <c r="E284" s="295"/>
      <c r="F284" s="327"/>
      <c r="G284" s="799"/>
      <c r="H284" s="601"/>
      <c r="I284" s="332"/>
      <c r="J284" s="780"/>
      <c r="K284" s="601"/>
      <c r="L284" s="580"/>
      <c r="M284" s="814"/>
      <c r="N284" s="806"/>
      <c r="O284" s="151"/>
      <c r="P284" s="151"/>
      <c r="AH284" s="43">
        <v>0</v>
      </c>
    </row>
    <row r="285" s="43" customFormat="1" ht="18.75" hidden="1" customHeight="1" spans="1:34">
      <c r="A285" s="81" t="s">
        <v>183</v>
      </c>
      <c r="B285" s="81" t="s">
        <v>184</v>
      </c>
      <c r="C285" s="789"/>
      <c r="D285" s="800"/>
      <c r="E285" s="295"/>
      <c r="F285" s="327" t="str">
        <f>INDEX(PT_DIFFERENTIATION_VTAR,MATCH(A285,PT_DIFFERENTIATION_VTAR_ID,0))</f>
        <v>Тарифы на услуги по передаче теплоносителя</v>
      </c>
      <c r="G285" s="790" t="str">
        <f>INDEX(PT_DIFFERENTIATION_NTAR,MATCH(B285,PT_DIFFERENTIATION_NTAR_ID,0))</f>
        <v/>
      </c>
      <c r="H285" s="133"/>
      <c r="I285" s="803"/>
      <c r="J285" s="804"/>
      <c r="K285" s="263"/>
      <c r="L285" s="133" t="s">
        <v>302</v>
      </c>
      <c r="M285" s="814"/>
      <c r="N285" s="806"/>
      <c r="O285" s="151"/>
      <c r="P285" s="151"/>
      <c r="AH285" s="43">
        <v>0</v>
      </c>
    </row>
    <row r="286" s="43" customFormat="1" ht="18.75" hidden="1" customHeight="1" spans="1:34">
      <c r="A286" s="81"/>
      <c r="B286" s="81"/>
      <c r="C286" s="789" t="s">
        <v>1354</v>
      </c>
      <c r="D286" s="800"/>
      <c r="E286" s="295"/>
      <c r="F286" s="327"/>
      <c r="G286" s="790"/>
      <c r="H286" s="601"/>
      <c r="I286" s="332" t="s">
        <v>1353</v>
      </c>
      <c r="J286" s="780"/>
      <c r="K286" s="601"/>
      <c r="L286" s="580"/>
      <c r="M286" s="814"/>
      <c r="N286" s="806"/>
      <c r="O286" s="151"/>
      <c r="P286" s="151"/>
      <c r="AH286" s="43">
        <v>0</v>
      </c>
    </row>
    <row r="287" s="43" customFormat="1" ht="0.75" hidden="1" customHeight="1" spans="1:34">
      <c r="A287" s="81"/>
      <c r="B287" s="81"/>
      <c r="C287" s="789" t="s">
        <v>1361</v>
      </c>
      <c r="D287" s="800"/>
      <c r="E287" s="295"/>
      <c r="F287" s="327"/>
      <c r="G287" s="799"/>
      <c r="H287" s="601"/>
      <c r="I287" s="332"/>
      <c r="J287" s="780"/>
      <c r="K287" s="601"/>
      <c r="L287" s="580"/>
      <c r="M287" s="814"/>
      <c r="N287" s="806"/>
      <c r="O287" s="151"/>
      <c r="P287" s="151"/>
      <c r="AH287" s="43">
        <v>0</v>
      </c>
    </row>
    <row r="288" s="43" customFormat="1" ht="18.75" hidden="1" customHeight="1" spans="1:34">
      <c r="A288" s="81" t="s">
        <v>189</v>
      </c>
      <c r="B288" s="81" t="s">
        <v>190</v>
      </c>
      <c r="C288" s="789"/>
      <c r="D288" s="800"/>
      <c r="E288" s="295"/>
      <c r="F288" s="32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790" t="str">
        <f>INDEX(PT_DIFFERENTIATION_NTAR,MATCH(B288,PT_DIFFERENTIATION_NTAR_ID,0))</f>
        <v/>
      </c>
      <c r="H288" s="133"/>
      <c r="I288" s="803"/>
      <c r="J288" s="804"/>
      <c r="K288" s="263"/>
      <c r="L288" s="133" t="s">
        <v>302</v>
      </c>
      <c r="M288" s="814"/>
      <c r="N288" s="806"/>
      <c r="O288" s="151"/>
      <c r="P288" s="151"/>
      <c r="AH288" s="43">
        <v>0</v>
      </c>
    </row>
    <row r="289" s="43" customFormat="1" ht="18.75" hidden="1" customHeight="1" spans="1:34">
      <c r="A289" s="81"/>
      <c r="B289" s="81"/>
      <c r="C289" s="789" t="s">
        <v>1354</v>
      </c>
      <c r="D289" s="800"/>
      <c r="E289" s="295"/>
      <c r="F289" s="327"/>
      <c r="G289" s="790"/>
      <c r="H289" s="601"/>
      <c r="I289" s="332" t="s">
        <v>1353</v>
      </c>
      <c r="J289" s="780"/>
      <c r="K289" s="601"/>
      <c r="L289" s="580"/>
      <c r="M289" s="814"/>
      <c r="N289" s="806"/>
      <c r="O289" s="151"/>
      <c r="P289" s="151"/>
      <c r="AH289" s="43">
        <v>0</v>
      </c>
    </row>
    <row r="290" s="43" customFormat="1" ht="0.75" hidden="1" customHeight="1" spans="1:34">
      <c r="A290" s="81"/>
      <c r="B290" s="81"/>
      <c r="C290" s="789" t="s">
        <v>1361</v>
      </c>
      <c r="D290" s="800"/>
      <c r="E290" s="295"/>
      <c r="F290" s="327"/>
      <c r="G290" s="799"/>
      <c r="H290" s="601"/>
      <c r="I290" s="332"/>
      <c r="J290" s="780"/>
      <c r="K290" s="601"/>
      <c r="L290" s="580"/>
      <c r="M290" s="814"/>
      <c r="N290" s="806"/>
      <c r="O290" s="151"/>
      <c r="P290" s="151"/>
      <c r="AH290" s="43">
        <v>0</v>
      </c>
    </row>
    <row r="291" s="43" customFormat="1" ht="18.75" hidden="1" customHeight="1" spans="1:34">
      <c r="A291" s="81" t="s">
        <v>195</v>
      </c>
      <c r="B291" s="81" t="s">
        <v>196</v>
      </c>
      <c r="C291" s="789"/>
      <c r="D291" s="800"/>
      <c r="E291" s="295"/>
      <c r="F291" s="327" t="str">
        <f>INDEX(PT_DIFFERENTIATION_VTAR,MATCH(A291,PT_DIFFERENTIATION_VTAR_ID,0))</f>
        <v>Плата за подключение (технологическое присоединение) к системе теплоснабжения</v>
      </c>
      <c r="G291" s="790" t="str">
        <f>INDEX(PT_DIFFERENTIATION_NTAR,MATCH(B291,PT_DIFFERENTIATION_NTAR_ID,0))</f>
        <v/>
      </c>
      <c r="H291" s="133"/>
      <c r="I291" s="803"/>
      <c r="J291" s="804"/>
      <c r="K291" s="263"/>
      <c r="L291" s="133" t="s">
        <v>302</v>
      </c>
      <c r="M291" s="814"/>
      <c r="N291" s="806"/>
      <c r="O291" s="151"/>
      <c r="P291" s="151"/>
      <c r="AH291" s="43">
        <v>0</v>
      </c>
    </row>
    <row r="292" s="43" customFormat="1" ht="18.75" hidden="1" customHeight="1" spans="1:34">
      <c r="A292" s="81"/>
      <c r="B292" s="81"/>
      <c r="C292" s="789" t="s">
        <v>1354</v>
      </c>
      <c r="D292" s="800"/>
      <c r="E292" s="295"/>
      <c r="F292" s="327"/>
      <c r="G292" s="790"/>
      <c r="H292" s="601"/>
      <c r="I292" s="332" t="s">
        <v>1353</v>
      </c>
      <c r="J292" s="780"/>
      <c r="K292" s="601"/>
      <c r="L292" s="580"/>
      <c r="M292" s="814"/>
      <c r="N292" s="806"/>
      <c r="O292" s="151"/>
      <c r="P292" s="151"/>
      <c r="AH292" s="43">
        <v>0</v>
      </c>
    </row>
    <row r="293" s="43" customFormat="1" ht="0.75" hidden="1" customHeight="1" spans="1:34">
      <c r="A293" s="81"/>
      <c r="B293" s="81"/>
      <c r="C293" s="789" t="s">
        <v>1361</v>
      </c>
      <c r="D293" s="800"/>
      <c r="E293" s="295"/>
      <c r="F293" s="327"/>
      <c r="G293" s="799"/>
      <c r="H293" s="601"/>
      <c r="I293" s="332"/>
      <c r="J293" s="780"/>
      <c r="K293" s="601"/>
      <c r="L293" s="580"/>
      <c r="M293" s="814"/>
      <c r="N293" s="806"/>
      <c r="O293" s="151"/>
      <c r="P293" s="151"/>
      <c r="AH293" s="43">
        <v>0</v>
      </c>
    </row>
    <row r="294" s="43" customFormat="1" ht="18.75" hidden="1" customHeight="1" spans="1:34">
      <c r="A294" s="81" t="s">
        <v>201</v>
      </c>
      <c r="B294" s="81" t="s">
        <v>202</v>
      </c>
      <c r="C294" s="789"/>
      <c r="D294" s="800"/>
      <c r="E294" s="295"/>
      <c r="F294" s="327" t="str">
        <f>INDEX(PT_DIFFERENTIATION_VTAR,MATCH(A294,PT_DIFFERENTIATION_VTAR_ID,0))</f>
        <v>Плата за подключение (технологическое присоединение) к системе теплоснабжения (индивидуальная)</v>
      </c>
      <c r="G294" s="790" t="str">
        <f>INDEX(PT_DIFFERENTIATION_NTAR,MATCH(B294,PT_DIFFERENTIATION_NTAR_ID,0))</f>
        <v/>
      </c>
      <c r="H294" s="133"/>
      <c r="I294" s="803"/>
      <c r="J294" s="804"/>
      <c r="K294" s="263"/>
      <c r="L294" s="133" t="s">
        <v>302</v>
      </c>
      <c r="M294" s="814"/>
      <c r="N294" s="806"/>
      <c r="O294" s="151"/>
      <c r="P294" s="151"/>
      <c r="AH294" s="43">
        <v>0</v>
      </c>
    </row>
    <row r="295" s="43" customFormat="1" ht="18.75" hidden="1" customHeight="1" spans="1:34">
      <c r="A295" s="81"/>
      <c r="B295" s="81"/>
      <c r="C295" s="789" t="s">
        <v>1354</v>
      </c>
      <c r="D295" s="800"/>
      <c r="E295" s="295"/>
      <c r="F295" s="327"/>
      <c r="G295" s="790"/>
      <c r="H295" s="601"/>
      <c r="I295" s="332" t="s">
        <v>1353</v>
      </c>
      <c r="J295" s="780"/>
      <c r="K295" s="601"/>
      <c r="L295" s="580"/>
      <c r="M295" s="814"/>
      <c r="N295" s="806"/>
      <c r="O295" s="151"/>
      <c r="P295" s="151"/>
      <c r="AH295" s="43">
        <v>0</v>
      </c>
    </row>
    <row r="296" s="43" customFormat="1" ht="0.75" hidden="1" customHeight="1" spans="1:34">
      <c r="A296" s="81"/>
      <c r="B296" s="81"/>
      <c r="C296" s="789" t="s">
        <v>1361</v>
      </c>
      <c r="D296" s="800"/>
      <c r="E296" s="295"/>
      <c r="F296" s="327"/>
      <c r="G296" s="799"/>
      <c r="H296" s="601"/>
      <c r="I296" s="332"/>
      <c r="J296" s="780"/>
      <c r="K296" s="601"/>
      <c r="L296" s="580"/>
      <c r="M296" s="814"/>
      <c r="N296" s="806"/>
      <c r="O296" s="151"/>
      <c r="P296" s="151"/>
      <c r="AH296" s="43">
        <v>0</v>
      </c>
    </row>
    <row r="297" s="43" customFormat="1" ht="18.75" hidden="1" customHeight="1" spans="1:34">
      <c r="A297" s="81" t="s">
        <v>221</v>
      </c>
      <c r="B297" s="81" t="s">
        <v>222</v>
      </c>
      <c r="C297" s="789"/>
      <c r="D297" s="800"/>
      <c r="E297" s="295"/>
      <c r="F297" s="327" t="str">
        <f>INDEX(PT_DIFFERENTIATION_VTAR,MATCH(A297,PT_DIFFERENTIATION_VTAR_ID,0))</f>
        <v>Тариф на питьевую воду (питьевое водоснабжение)</v>
      </c>
      <c r="G297" s="790" t="str">
        <f>INDEX(PT_DIFFERENTIATION_NTAR,MATCH(B297,PT_DIFFERENTIATION_NTAR_ID,0))</f>
        <v/>
      </c>
      <c r="H297" s="133"/>
      <c r="I297" s="803"/>
      <c r="J297" s="804"/>
      <c r="K297" s="263"/>
      <c r="L297" s="133" t="s">
        <v>302</v>
      </c>
      <c r="M297" s="814"/>
      <c r="N297" s="806"/>
      <c r="O297" s="151"/>
      <c r="P297" s="151"/>
      <c r="AH297" s="43">
        <v>0</v>
      </c>
    </row>
    <row r="298" s="43" customFormat="1" ht="18.75" hidden="1" customHeight="1" spans="1:34">
      <c r="A298" s="81"/>
      <c r="B298" s="81"/>
      <c r="C298" s="789" t="s">
        <v>1354</v>
      </c>
      <c r="D298" s="800"/>
      <c r="E298" s="295"/>
      <c r="F298" s="327"/>
      <c r="G298" s="790"/>
      <c r="H298" s="601"/>
      <c r="I298" s="332" t="s">
        <v>1353</v>
      </c>
      <c r="J298" s="780"/>
      <c r="K298" s="601"/>
      <c r="L298" s="580"/>
      <c r="M298" s="814"/>
      <c r="N298" s="806"/>
      <c r="O298" s="151"/>
      <c r="P298" s="151"/>
      <c r="AH298" s="43">
        <v>0</v>
      </c>
    </row>
    <row r="299" s="43" customFormat="1" ht="0.75" hidden="1" customHeight="1" spans="1:34">
      <c r="A299" s="81"/>
      <c r="B299" s="81"/>
      <c r="C299" s="789" t="s">
        <v>1361</v>
      </c>
      <c r="D299" s="800"/>
      <c r="E299" s="295"/>
      <c r="F299" s="327"/>
      <c r="G299" s="799"/>
      <c r="H299" s="601"/>
      <c r="I299" s="332"/>
      <c r="J299" s="780"/>
      <c r="K299" s="601"/>
      <c r="L299" s="580"/>
      <c r="M299" s="814"/>
      <c r="N299" s="806"/>
      <c r="O299" s="151"/>
      <c r="P299" s="151"/>
      <c r="AH299" s="43">
        <v>0</v>
      </c>
    </row>
    <row r="300" s="43" customFormat="1" ht="18.75" hidden="1" customHeight="1" spans="1:34">
      <c r="A300" s="81" t="s">
        <v>226</v>
      </c>
      <c r="B300" s="81" t="s">
        <v>227</v>
      </c>
      <c r="C300" s="789"/>
      <c r="D300" s="800"/>
      <c r="E300" s="295"/>
      <c r="F300" s="327" t="str">
        <f>INDEX(PT_DIFFERENTIATION_VTAR,MATCH(A300,PT_DIFFERENTIATION_VTAR_ID,0))</f>
        <v>Тариф на техническую воду</v>
      </c>
      <c r="G300" s="790" t="str">
        <f>INDEX(PT_DIFFERENTIATION_NTAR,MATCH(B300,PT_DIFFERENTIATION_NTAR_ID,0))</f>
        <v/>
      </c>
      <c r="H300" s="133"/>
      <c r="I300" s="803"/>
      <c r="J300" s="804"/>
      <c r="K300" s="263"/>
      <c r="L300" s="133" t="s">
        <v>302</v>
      </c>
      <c r="M300" s="814"/>
      <c r="N300" s="806"/>
      <c r="O300" s="151"/>
      <c r="P300" s="151"/>
      <c r="AH300" s="43">
        <v>0</v>
      </c>
    </row>
    <row r="301" s="43" customFormat="1" ht="18.75" hidden="1" customHeight="1" spans="1:34">
      <c r="A301" s="81"/>
      <c r="B301" s="81"/>
      <c r="C301" s="789" t="s">
        <v>1354</v>
      </c>
      <c r="D301" s="800"/>
      <c r="E301" s="295"/>
      <c r="F301" s="327"/>
      <c r="G301" s="790"/>
      <c r="H301" s="601"/>
      <c r="I301" s="332" t="s">
        <v>1353</v>
      </c>
      <c r="J301" s="780"/>
      <c r="K301" s="601"/>
      <c r="L301" s="580"/>
      <c r="M301" s="814"/>
      <c r="N301" s="806"/>
      <c r="O301" s="151"/>
      <c r="P301" s="151"/>
      <c r="AH301" s="43">
        <v>0</v>
      </c>
    </row>
    <row r="302" s="43" customFormat="1" ht="0.75" hidden="1" customHeight="1" spans="1:34">
      <c r="A302" s="81"/>
      <c r="B302" s="81"/>
      <c r="C302" s="789" t="s">
        <v>1361</v>
      </c>
      <c r="D302" s="800"/>
      <c r="E302" s="295"/>
      <c r="F302" s="327"/>
      <c r="G302" s="799"/>
      <c r="H302" s="601"/>
      <c r="I302" s="332"/>
      <c r="J302" s="780"/>
      <c r="K302" s="601"/>
      <c r="L302" s="580"/>
      <c r="M302" s="814"/>
      <c r="N302" s="806"/>
      <c r="O302" s="151"/>
      <c r="P302" s="151"/>
      <c r="AH302" s="43">
        <v>0</v>
      </c>
    </row>
    <row r="303" s="43" customFormat="1" ht="18.75" hidden="1" customHeight="1" spans="1:34">
      <c r="A303" s="81" t="s">
        <v>231</v>
      </c>
      <c r="B303" s="81" t="s">
        <v>232</v>
      </c>
      <c r="C303" s="789"/>
      <c r="D303" s="800"/>
      <c r="E303" s="295"/>
      <c r="F303" s="327" t="str">
        <f>INDEX(PT_DIFFERENTIATION_VTAR,MATCH(A303,PT_DIFFERENTIATION_VTAR_ID,0))</f>
        <v>Тариф на транспортировку воды</v>
      </c>
      <c r="G303" s="790" t="str">
        <f>INDEX(PT_DIFFERENTIATION_NTAR,MATCH(B303,PT_DIFFERENTIATION_NTAR_ID,0))</f>
        <v/>
      </c>
      <c r="H303" s="133"/>
      <c r="I303" s="803"/>
      <c r="J303" s="804"/>
      <c r="K303" s="263"/>
      <c r="L303" s="133" t="s">
        <v>302</v>
      </c>
      <c r="M303" s="814"/>
      <c r="N303" s="806"/>
      <c r="O303" s="151"/>
      <c r="P303" s="151"/>
      <c r="AH303" s="43">
        <v>0</v>
      </c>
    </row>
    <row r="304" s="43" customFormat="1" ht="18.75" hidden="1" customHeight="1" spans="1:34">
      <c r="A304" s="81"/>
      <c r="B304" s="81"/>
      <c r="C304" s="789" t="s">
        <v>1354</v>
      </c>
      <c r="D304" s="800"/>
      <c r="E304" s="295"/>
      <c r="F304" s="327"/>
      <c r="G304" s="790"/>
      <c r="H304" s="601"/>
      <c r="I304" s="332" t="s">
        <v>1353</v>
      </c>
      <c r="J304" s="780"/>
      <c r="K304" s="601"/>
      <c r="L304" s="580"/>
      <c r="M304" s="814"/>
      <c r="N304" s="806"/>
      <c r="O304" s="151"/>
      <c r="P304" s="151"/>
      <c r="AH304" s="43">
        <v>0</v>
      </c>
    </row>
    <row r="305" s="43" customFormat="1" ht="0.75" hidden="1" customHeight="1" spans="1:34">
      <c r="A305" s="81"/>
      <c r="B305" s="81"/>
      <c r="C305" s="789" t="s">
        <v>1361</v>
      </c>
      <c r="D305" s="800"/>
      <c r="E305" s="295"/>
      <c r="F305" s="327"/>
      <c r="G305" s="799"/>
      <c r="H305" s="601"/>
      <c r="I305" s="332"/>
      <c r="J305" s="780"/>
      <c r="K305" s="601"/>
      <c r="L305" s="580"/>
      <c r="M305" s="814"/>
      <c r="N305" s="806"/>
      <c r="O305" s="151"/>
      <c r="P305" s="151"/>
      <c r="AH305" s="43">
        <v>0</v>
      </c>
    </row>
    <row r="306" s="43" customFormat="1" ht="18.75" hidden="1" customHeight="1" spans="1:34">
      <c r="A306" s="81" t="s">
        <v>236</v>
      </c>
      <c r="B306" s="81" t="s">
        <v>237</v>
      </c>
      <c r="C306" s="789"/>
      <c r="D306" s="800"/>
      <c r="E306" s="295"/>
      <c r="F306" s="327" t="str">
        <f>INDEX(PT_DIFFERENTIATION_VTAR,MATCH(A306,PT_DIFFERENTIATION_VTAR_ID,0))</f>
        <v>Тариф на подвоз воды</v>
      </c>
      <c r="G306" s="790" t="str">
        <f>INDEX(PT_DIFFERENTIATION_NTAR,MATCH(B306,PT_DIFFERENTIATION_NTAR_ID,0))</f>
        <v/>
      </c>
      <c r="H306" s="133"/>
      <c r="I306" s="803"/>
      <c r="J306" s="804"/>
      <c r="K306" s="263"/>
      <c r="L306" s="133" t="s">
        <v>302</v>
      </c>
      <c r="M306" s="814"/>
      <c r="N306" s="806"/>
      <c r="O306" s="151"/>
      <c r="P306" s="151"/>
      <c r="AH306" s="43">
        <v>0</v>
      </c>
    </row>
    <row r="307" s="43" customFormat="1" ht="18.75" hidden="1" customHeight="1" spans="1:34">
      <c r="A307" s="81"/>
      <c r="B307" s="81"/>
      <c r="C307" s="789" t="s">
        <v>1354</v>
      </c>
      <c r="D307" s="800"/>
      <c r="E307" s="295"/>
      <c r="F307" s="327"/>
      <c r="G307" s="790"/>
      <c r="H307" s="601"/>
      <c r="I307" s="332" t="s">
        <v>1353</v>
      </c>
      <c r="J307" s="780"/>
      <c r="K307" s="601"/>
      <c r="L307" s="580"/>
      <c r="M307" s="814"/>
      <c r="N307" s="806"/>
      <c r="O307" s="151"/>
      <c r="P307" s="151"/>
      <c r="AH307" s="43">
        <v>0</v>
      </c>
    </row>
    <row r="308" s="43" customFormat="1" ht="0.75" hidden="1" customHeight="1" spans="1:34">
      <c r="A308" s="81"/>
      <c r="B308" s="81"/>
      <c r="C308" s="789" t="s">
        <v>1361</v>
      </c>
      <c r="D308" s="800"/>
      <c r="E308" s="295"/>
      <c r="F308" s="327"/>
      <c r="G308" s="799"/>
      <c r="H308" s="601"/>
      <c r="I308" s="332"/>
      <c r="J308" s="780"/>
      <c r="K308" s="601"/>
      <c r="L308" s="580"/>
      <c r="M308" s="814"/>
      <c r="N308" s="806"/>
      <c r="O308" s="151"/>
      <c r="P308" s="151"/>
      <c r="AH308" s="43">
        <v>0</v>
      </c>
    </row>
    <row r="309" s="43" customFormat="1" ht="18.75" hidden="1" customHeight="1" spans="1:34">
      <c r="A309" s="81" t="s">
        <v>241</v>
      </c>
      <c r="B309" s="81" t="s">
        <v>242</v>
      </c>
      <c r="C309" s="789"/>
      <c r="D309" s="800"/>
      <c r="E309" s="295"/>
      <c r="F309" s="32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790" t="str">
        <f>INDEX(PT_DIFFERENTIATION_NTAR,MATCH(B309,PT_DIFFERENTIATION_NTAR_ID,0))</f>
        <v/>
      </c>
      <c r="H309" s="133"/>
      <c r="I309" s="803"/>
      <c r="J309" s="804"/>
      <c r="K309" s="263"/>
      <c r="L309" s="133" t="s">
        <v>302</v>
      </c>
      <c r="M309" s="814"/>
      <c r="N309" s="806"/>
      <c r="O309" s="151"/>
      <c r="P309" s="151"/>
      <c r="AH309" s="43">
        <v>0</v>
      </c>
    </row>
    <row r="310" s="43" customFormat="1" ht="18.75" hidden="1" customHeight="1" spans="1:34">
      <c r="A310" s="81"/>
      <c r="B310" s="81"/>
      <c r="C310" s="789" t="s">
        <v>1354</v>
      </c>
      <c r="D310" s="800"/>
      <c r="E310" s="295"/>
      <c r="F310" s="327"/>
      <c r="G310" s="790"/>
      <c r="H310" s="601"/>
      <c r="I310" s="332" t="s">
        <v>1353</v>
      </c>
      <c r="J310" s="780"/>
      <c r="K310" s="601"/>
      <c r="L310" s="580"/>
      <c r="M310" s="814"/>
      <c r="N310" s="806"/>
      <c r="O310" s="151"/>
      <c r="P310" s="151"/>
      <c r="AH310" s="43">
        <v>0</v>
      </c>
    </row>
    <row r="311" s="43" customFormat="1" ht="0.75" hidden="1" customHeight="1" spans="1:34">
      <c r="A311" s="81"/>
      <c r="B311" s="81"/>
      <c r="C311" s="789" t="s">
        <v>1361</v>
      </c>
      <c r="D311" s="800"/>
      <c r="E311" s="295"/>
      <c r="F311" s="327"/>
      <c r="G311" s="799"/>
      <c r="H311" s="601"/>
      <c r="I311" s="332"/>
      <c r="J311" s="780"/>
      <c r="K311" s="601"/>
      <c r="L311" s="580"/>
      <c r="M311" s="814"/>
      <c r="N311" s="806"/>
      <c r="O311" s="151"/>
      <c r="P311" s="151"/>
      <c r="AH311" s="43">
        <v>0</v>
      </c>
    </row>
    <row r="312" s="43" customFormat="1" ht="18.75" hidden="1" customHeight="1" spans="1:34">
      <c r="A312" s="81" t="s">
        <v>246</v>
      </c>
      <c r="B312" s="81" t="s">
        <v>247</v>
      </c>
      <c r="C312" s="789"/>
      <c r="D312" s="800"/>
      <c r="E312" s="295"/>
      <c r="F312" s="327" t="str">
        <f>INDEX(PT_DIFFERENTIATION_VTAR,MATCH(A312,PT_DIFFERENTIATION_VTAR_ID,0))</f>
        <v>Тариф на горячую воду (горячее водоснабжение)</v>
      </c>
      <c r="G312" s="790" t="str">
        <f>INDEX(PT_DIFFERENTIATION_NTAR,MATCH(B312,PT_DIFFERENTIATION_NTAR_ID,0))</f>
        <v/>
      </c>
      <c r="H312" s="133"/>
      <c r="I312" s="803"/>
      <c r="J312" s="804"/>
      <c r="K312" s="263"/>
      <c r="L312" s="133" t="s">
        <v>302</v>
      </c>
      <c r="M312" s="814"/>
      <c r="N312" s="806"/>
      <c r="O312" s="151"/>
      <c r="P312" s="151"/>
      <c r="AH312" s="43">
        <v>0</v>
      </c>
    </row>
    <row r="313" s="43" customFormat="1" ht="18.75" hidden="1" customHeight="1" spans="1:34">
      <c r="A313" s="81"/>
      <c r="B313" s="81"/>
      <c r="C313" s="789" t="s">
        <v>1354</v>
      </c>
      <c r="D313" s="800"/>
      <c r="E313" s="295"/>
      <c r="F313" s="327"/>
      <c r="G313" s="790"/>
      <c r="H313" s="601"/>
      <c r="I313" s="332" t="s">
        <v>1353</v>
      </c>
      <c r="J313" s="780"/>
      <c r="K313" s="601"/>
      <c r="L313" s="580"/>
      <c r="M313" s="814"/>
      <c r="N313" s="806"/>
      <c r="O313" s="151"/>
      <c r="P313" s="151"/>
      <c r="AH313" s="43">
        <v>0</v>
      </c>
    </row>
    <row r="314" s="43" customFormat="1" ht="0.75" hidden="1" customHeight="1" spans="1:34">
      <c r="A314" s="81"/>
      <c r="B314" s="81"/>
      <c r="C314" s="789" t="s">
        <v>1361</v>
      </c>
      <c r="D314" s="800"/>
      <c r="E314" s="295"/>
      <c r="F314" s="327"/>
      <c r="G314" s="799"/>
      <c r="H314" s="601"/>
      <c r="I314" s="332"/>
      <c r="J314" s="780"/>
      <c r="K314" s="601"/>
      <c r="L314" s="580"/>
      <c r="M314" s="814"/>
      <c r="N314" s="806"/>
      <c r="O314" s="151"/>
      <c r="P314" s="151"/>
      <c r="AH314" s="43">
        <v>0</v>
      </c>
    </row>
    <row r="315" s="43" customFormat="1" ht="18.75" hidden="1" customHeight="1" spans="1:34">
      <c r="A315" s="81" t="s">
        <v>251</v>
      </c>
      <c r="B315" s="81" t="s">
        <v>252</v>
      </c>
      <c r="C315" s="789"/>
      <c r="D315" s="800"/>
      <c r="E315" s="295"/>
      <c r="F315" s="327" t="str">
        <f>INDEX(PT_DIFFERENTIATION_VTAR,MATCH(A315,PT_DIFFERENTIATION_VTAR_ID,0))</f>
        <v>Тариф на транспортировку горячей воды</v>
      </c>
      <c r="G315" s="790" t="str">
        <f>INDEX(PT_DIFFERENTIATION_NTAR,MATCH(B315,PT_DIFFERENTIATION_NTAR_ID,0))</f>
        <v/>
      </c>
      <c r="H315" s="133"/>
      <c r="I315" s="803"/>
      <c r="J315" s="804"/>
      <c r="K315" s="263"/>
      <c r="L315" s="133" t="s">
        <v>302</v>
      </c>
      <c r="M315" s="814"/>
      <c r="N315" s="806"/>
      <c r="O315" s="151"/>
      <c r="P315" s="151"/>
      <c r="AH315" s="43">
        <v>0</v>
      </c>
    </row>
    <row r="316" s="43" customFormat="1" ht="18.75" hidden="1" customHeight="1" spans="1:34">
      <c r="A316" s="81"/>
      <c r="B316" s="81"/>
      <c r="C316" s="789" t="s">
        <v>1354</v>
      </c>
      <c r="D316" s="800"/>
      <c r="E316" s="295"/>
      <c r="F316" s="327"/>
      <c r="G316" s="790"/>
      <c r="H316" s="601"/>
      <c r="I316" s="332" t="s">
        <v>1353</v>
      </c>
      <c r="J316" s="780"/>
      <c r="K316" s="601"/>
      <c r="L316" s="580"/>
      <c r="M316" s="814"/>
      <c r="N316" s="806"/>
      <c r="O316" s="151"/>
      <c r="P316" s="151"/>
      <c r="AH316" s="43">
        <v>0</v>
      </c>
    </row>
    <row r="317" s="43" customFormat="1" ht="0.75" hidden="1" customHeight="1" spans="1:34">
      <c r="A317" s="81"/>
      <c r="B317" s="81"/>
      <c r="C317" s="789" t="s">
        <v>1361</v>
      </c>
      <c r="D317" s="800"/>
      <c r="E317" s="295"/>
      <c r="F317" s="327"/>
      <c r="G317" s="799"/>
      <c r="H317" s="601"/>
      <c r="I317" s="332"/>
      <c r="J317" s="780"/>
      <c r="K317" s="601"/>
      <c r="L317" s="580"/>
      <c r="M317" s="814"/>
      <c r="N317" s="806"/>
      <c r="O317" s="151"/>
      <c r="P317" s="151"/>
      <c r="AH317" s="43">
        <v>0</v>
      </c>
    </row>
    <row r="318" s="43" customFormat="1" ht="18.75" hidden="1" customHeight="1" spans="1:34">
      <c r="A318" s="81" t="s">
        <v>256</v>
      </c>
      <c r="B318" s="81" t="s">
        <v>257</v>
      </c>
      <c r="C318" s="789"/>
      <c r="D318" s="800"/>
      <c r="E318" s="295"/>
      <c r="F318" s="327" t="str">
        <f>INDEX(PT_DIFFERENTIATION_VTAR,MATCH(A318,PT_DIFFERENTIATION_VTAR_ID,0))</f>
        <v>Тариф на подключение (технологическое присоединение) к централизованной системе горячего водоснабжения</v>
      </c>
      <c r="G318" s="790" t="str">
        <f>INDEX(PT_DIFFERENTIATION_NTAR,MATCH(B318,PT_DIFFERENTIATION_NTAR_ID,0))</f>
        <v/>
      </c>
      <c r="H318" s="133"/>
      <c r="I318" s="803"/>
      <c r="J318" s="804"/>
      <c r="K318" s="263"/>
      <c r="L318" s="133" t="s">
        <v>302</v>
      </c>
      <c r="M318" s="814"/>
      <c r="N318" s="806"/>
      <c r="O318" s="151"/>
      <c r="P318" s="151"/>
      <c r="AH318" s="43">
        <v>0</v>
      </c>
    </row>
    <row r="319" s="43" customFormat="1" ht="18.75" hidden="1" customHeight="1" spans="1:34">
      <c r="A319" s="81"/>
      <c r="B319" s="81"/>
      <c r="C319" s="789" t="s">
        <v>1354</v>
      </c>
      <c r="D319" s="800"/>
      <c r="E319" s="295"/>
      <c r="F319" s="327"/>
      <c r="G319" s="790"/>
      <c r="H319" s="601"/>
      <c r="I319" s="332" t="s">
        <v>1353</v>
      </c>
      <c r="J319" s="780"/>
      <c r="K319" s="601"/>
      <c r="L319" s="580"/>
      <c r="M319" s="814"/>
      <c r="N319" s="806"/>
      <c r="O319" s="151"/>
      <c r="P319" s="151"/>
      <c r="AH319" s="43">
        <v>0</v>
      </c>
    </row>
    <row r="320" s="43" customFormat="1" ht="0.75" hidden="1" customHeight="1" spans="1:34">
      <c r="A320" s="81"/>
      <c r="B320" s="81"/>
      <c r="C320" s="789" t="s">
        <v>1361</v>
      </c>
      <c r="D320" s="800"/>
      <c r="E320" s="295"/>
      <c r="F320" s="327"/>
      <c r="G320" s="799"/>
      <c r="H320" s="601"/>
      <c r="I320" s="332"/>
      <c r="J320" s="780"/>
      <c r="K320" s="601"/>
      <c r="L320" s="580"/>
      <c r="M320" s="814"/>
      <c r="N320" s="806"/>
      <c r="O320" s="151"/>
      <c r="P320" s="151"/>
      <c r="AH320" s="43">
        <v>0</v>
      </c>
    </row>
    <row r="321" s="43" customFormat="1" ht="18.75" hidden="1" customHeight="1" spans="1:34">
      <c r="A321" s="81" t="s">
        <v>261</v>
      </c>
      <c r="B321" s="81" t="s">
        <v>262</v>
      </c>
      <c r="C321" s="789"/>
      <c r="D321" s="800"/>
      <c r="E321" s="295"/>
      <c r="F321" s="327" t="str">
        <f>INDEX(PT_DIFFERENTIATION_VTAR,MATCH(A321,PT_DIFFERENTIATION_VTAR_ID,0))</f>
        <v>Тариф на водоотведение</v>
      </c>
      <c r="G321" s="790" t="str">
        <f>INDEX(PT_DIFFERENTIATION_NTAR,MATCH(B321,PT_DIFFERENTIATION_NTAR_ID,0))</f>
        <v/>
      </c>
      <c r="H321" s="133"/>
      <c r="I321" s="803"/>
      <c r="J321" s="804"/>
      <c r="K321" s="263"/>
      <c r="L321" s="133" t="s">
        <v>302</v>
      </c>
      <c r="M321" s="814"/>
      <c r="N321" s="806"/>
      <c r="O321" s="151"/>
      <c r="P321" s="151"/>
      <c r="AH321" s="43">
        <v>0</v>
      </c>
    </row>
    <row r="322" s="43" customFormat="1" ht="18.75" hidden="1" customHeight="1" spans="1:34">
      <c r="A322" s="81"/>
      <c r="B322" s="81"/>
      <c r="C322" s="789" t="s">
        <v>1354</v>
      </c>
      <c r="D322" s="800"/>
      <c r="E322" s="295"/>
      <c r="F322" s="327"/>
      <c r="G322" s="790"/>
      <c r="H322" s="601"/>
      <c r="I322" s="332" t="s">
        <v>1353</v>
      </c>
      <c r="J322" s="780"/>
      <c r="K322" s="601"/>
      <c r="L322" s="580"/>
      <c r="M322" s="814"/>
      <c r="N322" s="806"/>
      <c r="O322" s="151"/>
      <c r="P322" s="151"/>
      <c r="AH322" s="43">
        <v>0</v>
      </c>
    </row>
    <row r="323" s="43" customFormat="1" ht="0.75" hidden="1" customHeight="1" spans="1:34">
      <c r="A323" s="81"/>
      <c r="B323" s="81"/>
      <c r="C323" s="789" t="s">
        <v>1361</v>
      </c>
      <c r="D323" s="800"/>
      <c r="E323" s="295"/>
      <c r="F323" s="327"/>
      <c r="G323" s="799"/>
      <c r="H323" s="601"/>
      <c r="I323" s="332"/>
      <c r="J323" s="780"/>
      <c r="K323" s="601"/>
      <c r="L323" s="580"/>
      <c r="M323" s="814"/>
      <c r="N323" s="806"/>
      <c r="O323" s="151"/>
      <c r="P323" s="151"/>
      <c r="AH323" s="43">
        <v>0</v>
      </c>
    </row>
    <row r="324" s="43" customFormat="1" ht="18.75" hidden="1" customHeight="1" spans="1:34">
      <c r="A324" s="81" t="s">
        <v>266</v>
      </c>
      <c r="B324" s="81" t="s">
        <v>267</v>
      </c>
      <c r="C324" s="789"/>
      <c r="D324" s="800"/>
      <c r="E324" s="295"/>
      <c r="F324" s="327" t="str">
        <f>INDEX(PT_DIFFERENTIATION_VTAR,MATCH(A324,PT_DIFFERENTIATION_VTAR_ID,0))</f>
        <v>Тариф на транспортировку сточных вод</v>
      </c>
      <c r="G324" s="790" t="str">
        <f>INDEX(PT_DIFFERENTIATION_NTAR,MATCH(B324,PT_DIFFERENTIATION_NTAR_ID,0))</f>
        <v/>
      </c>
      <c r="H324" s="133"/>
      <c r="I324" s="803"/>
      <c r="J324" s="804"/>
      <c r="K324" s="263"/>
      <c r="L324" s="133" t="s">
        <v>302</v>
      </c>
      <c r="M324" s="814"/>
      <c r="N324" s="806"/>
      <c r="O324" s="151"/>
      <c r="P324" s="151"/>
      <c r="AH324" s="43">
        <v>0</v>
      </c>
    </row>
    <row r="325" s="43" customFormat="1" ht="18.75" hidden="1" customHeight="1" spans="1:34">
      <c r="A325" s="81"/>
      <c r="B325" s="81"/>
      <c r="C325" s="789" t="s">
        <v>1354</v>
      </c>
      <c r="D325" s="800"/>
      <c r="E325" s="295"/>
      <c r="F325" s="327"/>
      <c r="G325" s="790"/>
      <c r="H325" s="601"/>
      <c r="I325" s="332" t="s">
        <v>1353</v>
      </c>
      <c r="J325" s="780"/>
      <c r="K325" s="601"/>
      <c r="L325" s="580"/>
      <c r="M325" s="814"/>
      <c r="N325" s="806"/>
      <c r="O325" s="151"/>
      <c r="P325" s="151"/>
      <c r="AH325" s="43">
        <v>0</v>
      </c>
    </row>
    <row r="326" s="43" customFormat="1" ht="0.75" hidden="1" customHeight="1" spans="1:34">
      <c r="A326" s="81"/>
      <c r="B326" s="81"/>
      <c r="C326" s="789" t="s">
        <v>1361</v>
      </c>
      <c r="D326" s="800"/>
      <c r="E326" s="295"/>
      <c r="F326" s="327"/>
      <c r="G326" s="799"/>
      <c r="H326" s="601"/>
      <c r="I326" s="332"/>
      <c r="J326" s="780"/>
      <c r="K326" s="601"/>
      <c r="L326" s="580"/>
      <c r="M326" s="814"/>
      <c r="N326" s="806"/>
      <c r="O326" s="151"/>
      <c r="P326" s="151"/>
      <c r="AH326" s="43">
        <v>0</v>
      </c>
    </row>
    <row r="327" s="43" customFormat="1" ht="18.75" hidden="1" customHeight="1" spans="1:34">
      <c r="A327" s="81" t="s">
        <v>271</v>
      </c>
      <c r="B327" s="81" t="s">
        <v>272</v>
      </c>
      <c r="C327" s="789"/>
      <c r="D327" s="800"/>
      <c r="E327" s="295"/>
      <c r="F327" s="327" t="str">
        <f>INDEX(PT_DIFFERENTIATION_VTAR,MATCH(A327,PT_DIFFERENTIATION_VTAR_ID,0))</f>
        <v>Тариф на подключение (технологическое присоединение) к централизованной системе водоотведения</v>
      </c>
      <c r="G327" s="790" t="str">
        <f>INDEX(PT_DIFFERENTIATION_NTAR,MATCH(B327,PT_DIFFERENTIATION_NTAR_ID,0))</f>
        <v/>
      </c>
      <c r="H327" s="133"/>
      <c r="I327" s="803"/>
      <c r="J327" s="804"/>
      <c r="K327" s="263"/>
      <c r="L327" s="133" t="s">
        <v>302</v>
      </c>
      <c r="M327" s="814"/>
      <c r="N327" s="806"/>
      <c r="O327" s="151"/>
      <c r="P327" s="151"/>
      <c r="AH327" s="43">
        <v>0</v>
      </c>
    </row>
    <row r="328" s="43" customFormat="1" ht="18.75" hidden="1" customHeight="1" spans="1:34">
      <c r="A328" s="81"/>
      <c r="B328" s="81"/>
      <c r="C328" s="789" t="s">
        <v>1354</v>
      </c>
      <c r="D328" s="800"/>
      <c r="E328" s="295"/>
      <c r="F328" s="327"/>
      <c r="G328" s="790"/>
      <c r="H328" s="601"/>
      <c r="I328" s="332" t="s">
        <v>1353</v>
      </c>
      <c r="J328" s="780"/>
      <c r="K328" s="601"/>
      <c r="L328" s="580"/>
      <c r="M328" s="814"/>
      <c r="N328" s="806"/>
      <c r="O328" s="151"/>
      <c r="P328" s="151"/>
      <c r="AH328" s="43">
        <v>0</v>
      </c>
    </row>
    <row r="329" s="43" customFormat="1" ht="1.05" customHeight="1" spans="1:34">
      <c r="A329" s="81"/>
      <c r="B329" s="81"/>
      <c r="C329" s="789" t="s">
        <v>1361</v>
      </c>
      <c r="D329" s="800"/>
      <c r="E329" s="295"/>
      <c r="F329" s="327"/>
      <c r="G329" s="799"/>
      <c r="H329" s="601"/>
      <c r="I329" s="332"/>
      <c r="J329" s="780"/>
      <c r="K329" s="601"/>
      <c r="L329" s="580"/>
      <c r="M329" s="814"/>
      <c r="N329" s="806"/>
      <c r="O329" s="151"/>
      <c r="P329" s="151"/>
      <c r="AH329" s="43">
        <v>1</v>
      </c>
    </row>
    <row r="330" s="81" customFormat="1" ht="3" customHeight="1" spans="5:34">
      <c r="E330" s="815"/>
      <c r="F330" s="815"/>
      <c r="G330" s="815"/>
      <c r="H330" s="815"/>
      <c r="I330" s="815"/>
      <c r="J330" s="815"/>
      <c r="K330" s="815"/>
      <c r="L330" s="815"/>
      <c r="M330" s="815"/>
      <c r="O330" s="152"/>
      <c r="P330" s="152"/>
      <c r="AH330" s="81">
        <v>3</v>
      </c>
    </row>
    <row r="331" ht="26.25" customHeight="1" spans="5:34">
      <c r="E331" s="816"/>
      <c r="F331" s="120"/>
      <c r="G331" s="120"/>
      <c r="H331" s="120"/>
      <c r="I331" s="120"/>
      <c r="J331" s="120"/>
      <c r="K331" s="120"/>
      <c r="L331" s="120"/>
      <c r="M331" s="120"/>
      <c r="AH331" s="43">
        <v>25</v>
      </c>
    </row>
    <row r="332" hidden="1" customHeight="1" spans="1:34">
      <c r="A332" s="788" t="s">
        <v>83</v>
      </c>
      <c r="B332" s="788">
        <v>0</v>
      </c>
      <c r="C332" s="789">
        <v>0</v>
      </c>
      <c r="D332" s="41">
        <v>3</v>
      </c>
      <c r="E332" s="43">
        <v>6</v>
      </c>
      <c r="F332" s="43">
        <v>46</v>
      </c>
      <c r="G332" s="43">
        <v>35</v>
      </c>
      <c r="H332" s="43">
        <v>3</v>
      </c>
      <c r="I332" s="43">
        <v>11</v>
      </c>
      <c r="J332" s="43">
        <v>11</v>
      </c>
      <c r="K332" s="43">
        <v>35</v>
      </c>
      <c r="L332" s="43">
        <v>35</v>
      </c>
      <c r="M332" s="43">
        <v>84</v>
      </c>
      <c r="N332" s="43">
        <v>10</v>
      </c>
      <c r="O332" s="151">
        <v>10</v>
      </c>
      <c r="P332" s="151">
        <v>10</v>
      </c>
      <c r="Q332" s="43">
        <v>10</v>
      </c>
      <c r="R332" s="43">
        <v>10</v>
      </c>
      <c r="S332" s="43">
        <v>10</v>
      </c>
      <c r="T332" s="43">
        <v>10</v>
      </c>
      <c r="U332" s="43">
        <v>10</v>
      </c>
      <c r="V332" s="43">
        <v>10</v>
      </c>
      <c r="W332" s="43">
        <v>10</v>
      </c>
      <c r="X332" s="43">
        <v>10</v>
      </c>
      <c r="Y332" s="43">
        <v>10</v>
      </c>
      <c r="Z332" s="43">
        <v>10</v>
      </c>
      <c r="AA332" s="43">
        <v>10</v>
      </c>
      <c r="AB332" s="43">
        <v>10</v>
      </c>
      <c r="AC332" s="43">
        <v>10</v>
      </c>
      <c r="AD332" s="43">
        <v>10</v>
      </c>
      <c r="AE332" s="43">
        <v>10</v>
      </c>
      <c r="AF332" s="43">
        <v>10</v>
      </c>
      <c r="AG332" s="43">
        <v>10</v>
      </c>
      <c r="AH332" s="43">
        <v>14</v>
      </c>
    </row>
  </sheetData>
  <sheetProtection formatColumns="0" formatRows="0" insertRows="0" deleteColumns="0" deleteRows="0" sort="0" autoFilter="0"/>
  <mergeCells count="428">
    <mergeCell ref="E14:L14"/>
    <mergeCell ref="G16:L16"/>
    <mergeCell ref="G17:L17"/>
    <mergeCell ref="E19:L19"/>
    <mergeCell ref="H20:J20"/>
    <mergeCell ref="H21:I21"/>
    <mergeCell ref="H22:I22"/>
    <mergeCell ref="F23:L23"/>
    <mergeCell ref="F84:L84"/>
    <mergeCell ref="H85:I85"/>
    <mergeCell ref="F86:L86"/>
    <mergeCell ref="F147:L147"/>
    <mergeCell ref="F208:L208"/>
    <mergeCell ref="F269:L269"/>
    <mergeCell ref="F331:M331"/>
    <mergeCell ref="D24:D26"/>
    <mergeCell ref="D27:D29"/>
    <mergeCell ref="D30:D32"/>
    <mergeCell ref="D33:D35"/>
    <mergeCell ref="D36:D38"/>
    <mergeCell ref="D39:D41"/>
    <mergeCell ref="D42:D44"/>
    <mergeCell ref="D45:D47"/>
    <mergeCell ref="D48:D50"/>
    <mergeCell ref="D51:D53"/>
    <mergeCell ref="D54:D56"/>
    <mergeCell ref="D57:D59"/>
    <mergeCell ref="D60:D62"/>
    <mergeCell ref="D63:D65"/>
    <mergeCell ref="D66:D68"/>
    <mergeCell ref="D69:D71"/>
    <mergeCell ref="D72:D74"/>
    <mergeCell ref="D75:D77"/>
    <mergeCell ref="D78:D80"/>
    <mergeCell ref="D81:D83"/>
    <mergeCell ref="D87:D89"/>
    <mergeCell ref="D90:D92"/>
    <mergeCell ref="D93:D95"/>
    <mergeCell ref="D96:D98"/>
    <mergeCell ref="D99:D101"/>
    <mergeCell ref="D102:D104"/>
    <mergeCell ref="D105:D107"/>
    <mergeCell ref="D108:D110"/>
    <mergeCell ref="D111:D113"/>
    <mergeCell ref="D114:D116"/>
    <mergeCell ref="D117:D119"/>
    <mergeCell ref="D120:D122"/>
    <mergeCell ref="D123:D125"/>
    <mergeCell ref="D126:D128"/>
    <mergeCell ref="D129:D131"/>
    <mergeCell ref="D132:D134"/>
    <mergeCell ref="D135:D137"/>
    <mergeCell ref="D138:D140"/>
    <mergeCell ref="D141:D143"/>
    <mergeCell ref="D144:D146"/>
    <mergeCell ref="D148:D150"/>
    <mergeCell ref="D151:D153"/>
    <mergeCell ref="D154:D156"/>
    <mergeCell ref="D157:D159"/>
    <mergeCell ref="D160:D162"/>
    <mergeCell ref="D163:D165"/>
    <mergeCell ref="D166:D168"/>
    <mergeCell ref="D169:D171"/>
    <mergeCell ref="D172:D174"/>
    <mergeCell ref="D175:D177"/>
    <mergeCell ref="D178:D180"/>
    <mergeCell ref="D181:D183"/>
    <mergeCell ref="D184:D186"/>
    <mergeCell ref="D187:D189"/>
    <mergeCell ref="D190:D192"/>
    <mergeCell ref="D193:D195"/>
    <mergeCell ref="D196:D198"/>
    <mergeCell ref="D199:D201"/>
    <mergeCell ref="D202:D204"/>
    <mergeCell ref="D205:D207"/>
    <mergeCell ref="D209:D211"/>
    <mergeCell ref="D212:D214"/>
    <mergeCell ref="D215:D217"/>
    <mergeCell ref="D218:D220"/>
    <mergeCell ref="D221:D223"/>
    <mergeCell ref="D224:D226"/>
    <mergeCell ref="D227:D229"/>
    <mergeCell ref="D230:D232"/>
    <mergeCell ref="D233:D235"/>
    <mergeCell ref="D236:D238"/>
    <mergeCell ref="D239:D241"/>
    <mergeCell ref="D242:D244"/>
    <mergeCell ref="D245:D247"/>
    <mergeCell ref="D248:D250"/>
    <mergeCell ref="D251:D253"/>
    <mergeCell ref="D254:D256"/>
    <mergeCell ref="D257:D259"/>
    <mergeCell ref="D260:D262"/>
    <mergeCell ref="D263:D265"/>
    <mergeCell ref="D266:D268"/>
    <mergeCell ref="D270:D272"/>
    <mergeCell ref="D273:D275"/>
    <mergeCell ref="D276:D278"/>
    <mergeCell ref="D279:D281"/>
    <mergeCell ref="D282:D284"/>
    <mergeCell ref="D285:D287"/>
    <mergeCell ref="D288:D290"/>
    <mergeCell ref="D291:D293"/>
    <mergeCell ref="D294:D296"/>
    <mergeCell ref="D297:D299"/>
    <mergeCell ref="D300:D302"/>
    <mergeCell ref="D303:D305"/>
    <mergeCell ref="D306:D308"/>
    <mergeCell ref="D309:D311"/>
    <mergeCell ref="D312:D314"/>
    <mergeCell ref="D315:D317"/>
    <mergeCell ref="D318:D320"/>
    <mergeCell ref="D321:D323"/>
    <mergeCell ref="D324:D326"/>
    <mergeCell ref="D327:D329"/>
    <mergeCell ref="E20:E21"/>
    <mergeCell ref="E24:E26"/>
    <mergeCell ref="E27:E29"/>
    <mergeCell ref="E30:E32"/>
    <mergeCell ref="E33:E35"/>
    <mergeCell ref="E36:E38"/>
    <mergeCell ref="E39:E41"/>
    <mergeCell ref="E42:E44"/>
    <mergeCell ref="E45:E47"/>
    <mergeCell ref="E48:E50"/>
    <mergeCell ref="E51:E53"/>
    <mergeCell ref="E54:E56"/>
    <mergeCell ref="E57:E59"/>
    <mergeCell ref="E60:E62"/>
    <mergeCell ref="E63:E65"/>
    <mergeCell ref="E66:E68"/>
    <mergeCell ref="E69:E71"/>
    <mergeCell ref="E72:E74"/>
    <mergeCell ref="E75:E77"/>
    <mergeCell ref="E78:E80"/>
    <mergeCell ref="E81:E83"/>
    <mergeCell ref="E87:E89"/>
    <mergeCell ref="E90:E92"/>
    <mergeCell ref="E93:E95"/>
    <mergeCell ref="E96:E98"/>
    <mergeCell ref="E99:E101"/>
    <mergeCell ref="E102:E104"/>
    <mergeCell ref="E105:E107"/>
    <mergeCell ref="E108:E110"/>
    <mergeCell ref="E111:E113"/>
    <mergeCell ref="E114:E116"/>
    <mergeCell ref="E117:E119"/>
    <mergeCell ref="E120:E122"/>
    <mergeCell ref="E123:E125"/>
    <mergeCell ref="E126:E128"/>
    <mergeCell ref="E129:E131"/>
    <mergeCell ref="E132:E134"/>
    <mergeCell ref="E135:E137"/>
    <mergeCell ref="E138:E140"/>
    <mergeCell ref="E141:E143"/>
    <mergeCell ref="E144:E146"/>
    <mergeCell ref="E148:E150"/>
    <mergeCell ref="E151:E153"/>
    <mergeCell ref="E154:E156"/>
    <mergeCell ref="E157:E159"/>
    <mergeCell ref="E160:E162"/>
    <mergeCell ref="E163:E165"/>
    <mergeCell ref="E166:E168"/>
    <mergeCell ref="E169:E171"/>
    <mergeCell ref="E172:E174"/>
    <mergeCell ref="E175:E177"/>
    <mergeCell ref="E178:E180"/>
    <mergeCell ref="E181:E183"/>
    <mergeCell ref="E184:E186"/>
    <mergeCell ref="E187:E189"/>
    <mergeCell ref="E190:E192"/>
    <mergeCell ref="E193:E195"/>
    <mergeCell ref="E196:E198"/>
    <mergeCell ref="E199:E201"/>
    <mergeCell ref="E202:E204"/>
    <mergeCell ref="E205:E207"/>
    <mergeCell ref="E209:E211"/>
    <mergeCell ref="E212:E214"/>
    <mergeCell ref="E215:E217"/>
    <mergeCell ref="E218:E220"/>
    <mergeCell ref="E221:E223"/>
    <mergeCell ref="E224:E226"/>
    <mergeCell ref="E227:E229"/>
    <mergeCell ref="E230:E232"/>
    <mergeCell ref="E233:E235"/>
    <mergeCell ref="E236:E238"/>
    <mergeCell ref="E239:E241"/>
    <mergeCell ref="E242:E244"/>
    <mergeCell ref="E245:E247"/>
    <mergeCell ref="E248:E250"/>
    <mergeCell ref="E251:E253"/>
    <mergeCell ref="E254:E256"/>
    <mergeCell ref="E257:E259"/>
    <mergeCell ref="E260:E262"/>
    <mergeCell ref="E263:E265"/>
    <mergeCell ref="E266:E268"/>
    <mergeCell ref="E270:E272"/>
    <mergeCell ref="E273:E275"/>
    <mergeCell ref="E276:E278"/>
    <mergeCell ref="E279:E281"/>
    <mergeCell ref="E282:E284"/>
    <mergeCell ref="E285:E287"/>
    <mergeCell ref="E288:E290"/>
    <mergeCell ref="E291:E293"/>
    <mergeCell ref="E294:E296"/>
    <mergeCell ref="E297:E299"/>
    <mergeCell ref="E300:E302"/>
    <mergeCell ref="E303:E305"/>
    <mergeCell ref="E306:E308"/>
    <mergeCell ref="E309:E311"/>
    <mergeCell ref="E312:E314"/>
    <mergeCell ref="E315:E317"/>
    <mergeCell ref="E318:E320"/>
    <mergeCell ref="E321:E323"/>
    <mergeCell ref="E324:E326"/>
    <mergeCell ref="E327:E329"/>
    <mergeCell ref="F20:F21"/>
    <mergeCell ref="F24:F26"/>
    <mergeCell ref="F27:F29"/>
    <mergeCell ref="F30:F32"/>
    <mergeCell ref="F33:F35"/>
    <mergeCell ref="F36:F38"/>
    <mergeCell ref="F39:F41"/>
    <mergeCell ref="F42:F44"/>
    <mergeCell ref="F45:F47"/>
    <mergeCell ref="F48:F50"/>
    <mergeCell ref="F51:F53"/>
    <mergeCell ref="F54:F56"/>
    <mergeCell ref="F57:F59"/>
    <mergeCell ref="F60:F62"/>
    <mergeCell ref="F63:F65"/>
    <mergeCell ref="F66:F68"/>
    <mergeCell ref="F69:F71"/>
    <mergeCell ref="F72:F74"/>
    <mergeCell ref="F75:F77"/>
    <mergeCell ref="F78:F80"/>
    <mergeCell ref="F81:F83"/>
    <mergeCell ref="F87:F89"/>
    <mergeCell ref="F90:F92"/>
    <mergeCell ref="F93:F95"/>
    <mergeCell ref="F96:F98"/>
    <mergeCell ref="F99:F101"/>
    <mergeCell ref="F102:F104"/>
    <mergeCell ref="F105:F107"/>
    <mergeCell ref="F108:F110"/>
    <mergeCell ref="F111:F113"/>
    <mergeCell ref="F114:F116"/>
    <mergeCell ref="F117:F119"/>
    <mergeCell ref="F120:F122"/>
    <mergeCell ref="F123:F125"/>
    <mergeCell ref="F126:F128"/>
    <mergeCell ref="F129:F131"/>
    <mergeCell ref="F132:F134"/>
    <mergeCell ref="F135:F137"/>
    <mergeCell ref="F138:F140"/>
    <mergeCell ref="F141:F143"/>
    <mergeCell ref="F144:F146"/>
    <mergeCell ref="F148:F150"/>
    <mergeCell ref="F151:F153"/>
    <mergeCell ref="F154:F156"/>
    <mergeCell ref="F157:F159"/>
    <mergeCell ref="F160:F162"/>
    <mergeCell ref="F163:F165"/>
    <mergeCell ref="F166:F168"/>
    <mergeCell ref="F169:F171"/>
    <mergeCell ref="F172:F174"/>
    <mergeCell ref="F175:F177"/>
    <mergeCell ref="F178:F180"/>
    <mergeCell ref="F181:F183"/>
    <mergeCell ref="F184:F186"/>
    <mergeCell ref="F187:F189"/>
    <mergeCell ref="F190:F192"/>
    <mergeCell ref="F193:F195"/>
    <mergeCell ref="F196:F198"/>
    <mergeCell ref="F199:F201"/>
    <mergeCell ref="F202:F204"/>
    <mergeCell ref="F205:F207"/>
    <mergeCell ref="F209:F211"/>
    <mergeCell ref="F212:F214"/>
    <mergeCell ref="F215:F217"/>
    <mergeCell ref="F218:F220"/>
    <mergeCell ref="F221:F223"/>
    <mergeCell ref="F224:F226"/>
    <mergeCell ref="F227:F229"/>
    <mergeCell ref="F230:F232"/>
    <mergeCell ref="F233:F235"/>
    <mergeCell ref="F236:F238"/>
    <mergeCell ref="F239:F241"/>
    <mergeCell ref="F242:F244"/>
    <mergeCell ref="F245:F247"/>
    <mergeCell ref="F248:F250"/>
    <mergeCell ref="F251:F253"/>
    <mergeCell ref="F254:F256"/>
    <mergeCell ref="F257:F259"/>
    <mergeCell ref="F260:F262"/>
    <mergeCell ref="F263:F265"/>
    <mergeCell ref="F266:F268"/>
    <mergeCell ref="F270:F272"/>
    <mergeCell ref="F273:F275"/>
    <mergeCell ref="F276:F278"/>
    <mergeCell ref="F279:F281"/>
    <mergeCell ref="F282:F284"/>
    <mergeCell ref="F285:F287"/>
    <mergeCell ref="F288:F290"/>
    <mergeCell ref="F291:F293"/>
    <mergeCell ref="F294:F296"/>
    <mergeCell ref="F297:F299"/>
    <mergeCell ref="F300:F302"/>
    <mergeCell ref="F303:F305"/>
    <mergeCell ref="F306:F308"/>
    <mergeCell ref="F309:F311"/>
    <mergeCell ref="F312:F314"/>
    <mergeCell ref="F315:F317"/>
    <mergeCell ref="F318:F320"/>
    <mergeCell ref="F321:F323"/>
    <mergeCell ref="F324:F326"/>
    <mergeCell ref="F327:F329"/>
    <mergeCell ref="G2:G3"/>
    <mergeCell ref="G5:G6"/>
    <mergeCell ref="G20:G21"/>
    <mergeCell ref="G24:G25"/>
    <mergeCell ref="G27:G28"/>
    <mergeCell ref="G30:G31"/>
    <mergeCell ref="G33:G34"/>
    <mergeCell ref="G36:G37"/>
    <mergeCell ref="G39:G40"/>
    <mergeCell ref="G42:G43"/>
    <mergeCell ref="G45:G46"/>
    <mergeCell ref="G48:G49"/>
    <mergeCell ref="G51:G52"/>
    <mergeCell ref="G54:G55"/>
    <mergeCell ref="G57:G58"/>
    <mergeCell ref="G60:G61"/>
    <mergeCell ref="G63:G64"/>
    <mergeCell ref="G66:G67"/>
    <mergeCell ref="G69:G70"/>
    <mergeCell ref="G72:G73"/>
    <mergeCell ref="G75:G76"/>
    <mergeCell ref="G78:G79"/>
    <mergeCell ref="G81:G82"/>
    <mergeCell ref="G87:G88"/>
    <mergeCell ref="G90:G91"/>
    <mergeCell ref="G93:G94"/>
    <mergeCell ref="G96:G97"/>
    <mergeCell ref="G99:G100"/>
    <mergeCell ref="G102:G103"/>
    <mergeCell ref="G105:G106"/>
    <mergeCell ref="G108:G109"/>
    <mergeCell ref="G111:G112"/>
    <mergeCell ref="G114:G115"/>
    <mergeCell ref="G117:G118"/>
    <mergeCell ref="G120:G121"/>
    <mergeCell ref="G123:G124"/>
    <mergeCell ref="G126:G127"/>
    <mergeCell ref="G129:G130"/>
    <mergeCell ref="G132:G133"/>
    <mergeCell ref="G135:G136"/>
    <mergeCell ref="G138:G139"/>
    <mergeCell ref="G141:G142"/>
    <mergeCell ref="G144:G145"/>
    <mergeCell ref="G148:G149"/>
    <mergeCell ref="G151:G152"/>
    <mergeCell ref="G154:G155"/>
    <mergeCell ref="G157:G158"/>
    <mergeCell ref="G160:G161"/>
    <mergeCell ref="G163:G164"/>
    <mergeCell ref="G166:G167"/>
    <mergeCell ref="G169:G170"/>
    <mergeCell ref="G172:G173"/>
    <mergeCell ref="G175:G176"/>
    <mergeCell ref="G178:G179"/>
    <mergeCell ref="G181:G182"/>
    <mergeCell ref="G184:G185"/>
    <mergeCell ref="G187:G188"/>
    <mergeCell ref="G190:G191"/>
    <mergeCell ref="G193:G194"/>
    <mergeCell ref="G196:G197"/>
    <mergeCell ref="G199:G200"/>
    <mergeCell ref="G202:G203"/>
    <mergeCell ref="G205:G206"/>
    <mergeCell ref="G209:G210"/>
    <mergeCell ref="G212:G213"/>
    <mergeCell ref="G215:G216"/>
    <mergeCell ref="G218:G219"/>
    <mergeCell ref="G221:G222"/>
    <mergeCell ref="G224:G225"/>
    <mergeCell ref="G227:G228"/>
    <mergeCell ref="G230:G231"/>
    <mergeCell ref="G233:G234"/>
    <mergeCell ref="G236:G237"/>
    <mergeCell ref="G239:G240"/>
    <mergeCell ref="G242:G243"/>
    <mergeCell ref="G245:G246"/>
    <mergeCell ref="G248:G249"/>
    <mergeCell ref="G251:G252"/>
    <mergeCell ref="G254:G255"/>
    <mergeCell ref="G257:G258"/>
    <mergeCell ref="G260:G261"/>
    <mergeCell ref="G263:G264"/>
    <mergeCell ref="G266:G267"/>
    <mergeCell ref="G270:G271"/>
    <mergeCell ref="G273:G274"/>
    <mergeCell ref="G276:G277"/>
    <mergeCell ref="G279:G280"/>
    <mergeCell ref="G282:G283"/>
    <mergeCell ref="G285:G286"/>
    <mergeCell ref="G288:G289"/>
    <mergeCell ref="G291:G292"/>
    <mergeCell ref="G294:G295"/>
    <mergeCell ref="G297:G298"/>
    <mergeCell ref="G300:G301"/>
    <mergeCell ref="G303:G304"/>
    <mergeCell ref="G306:G307"/>
    <mergeCell ref="G309:G310"/>
    <mergeCell ref="G312:G313"/>
    <mergeCell ref="G315:G316"/>
    <mergeCell ref="G318:G319"/>
    <mergeCell ref="G321:G322"/>
    <mergeCell ref="G324:G325"/>
    <mergeCell ref="G327:G328"/>
    <mergeCell ref="K20:K21"/>
    <mergeCell ref="L20:L21"/>
    <mergeCell ref="M19:M21"/>
    <mergeCell ref="M24:M83"/>
    <mergeCell ref="M87:M90"/>
    <mergeCell ref="M148:M151"/>
    <mergeCell ref="M209:M212"/>
    <mergeCell ref="M270:M27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J2 I5:J5 I8:J8 I10:J10 I24:J24 I27:J27 I30:J30 I33:J33 I36:J36 I39:J39 I42:J42 I45:J45 I48:J48 I51:J51 I54:J54 I57:J57 I60:J60 I63:J63 I66:J66 I69:J69 I72:J72 I75:J75 I78:J78 I81:J81 I87:J87 I90:J90 I93:J93 I96:J96 I99:J99 I102:J102 I105:J105 I108:J108 I111:J111 I114:J114 I117:J117 I120:J120 I123:J123 I126:J126 I129:J129 I132:J132 I135:J135 I138:J138 I141:J141 I144:J144 I148:J148 I151:J151 I154:J154 I157:J157 I160:J160 I163:J163 I166:J166 I169:J169 I172:J172 I175:J175 I178:J178 I181:J181 I184:J184 I187:J187 I190:J190 I193:J193 I196:J196 I199:J199 I202:J202 I205:J205 I209:J209 I212:J212 I215:J215 I218:J218 I221:J221 I224:J224 I227:J227 I230:J230 I233:J233 I236:J236 I239:J239 I242:J242 I245:J245 I248:J248 I251:J251 I254:J254 I257:J257 I260:J260 I263:J263 I266:J266 I270:J270 I273:J273 I276:J276 I279:J279 I282:J282 I285:J285 I288:J288 I291:J291 I294:J294 I297:J297 I300:J300 I303:J303 I306:J306 I309:J309 I312:J312 I315:J315 I318:J318 I321:J321 I324:J324 I327:J327"/>
    <dataValidation type="decimal" operator="between" allowBlank="1" showErrorMessage="1" errorTitle="Ошибка" error="Допускается ввод только действительных чисел!" sqref="K5 K10 K87 K90 K93 K96 K99 K102 K105 K108 K111 K114 K117 K120 K123 K126 K129 K132 K135 K138 K141 K144 K148 K151 K154 K157 K160 K163 K166 K169 K172 K175 K178 K181 K184 K187 K190 K193 K196 K199 K202 K205 K209 K212 K215 K218 K221 K224 K227 K230 K233 K236 K239 K242 K245 K248 K251 K254 K257 K260 K263 K266 K270 K273 K276 K279 K282 K285 K288 K291 K294 K297 K300 K303 K306 K309 K312 K315 K318 K321 K324 K32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23 M87:M88 M148:M149 M209:M210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R17"/>
  <sheetViews>
    <sheetView showGridLines="0" zoomScale="90" zoomScaleNormal="90" workbookViewId="0">
      <pane xSplit="5" ySplit="9" topLeftCell="F10"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40" hidden="1" customWidth="1"/>
    <col min="2" max="2" width="9.14285714285714" style="38" hidden="1" customWidth="1"/>
    <col min="3" max="3" width="3" style="41" customWidth="1"/>
    <col min="4" max="4" width="6" style="43" customWidth="1"/>
    <col min="5" max="5" width="53" style="43" customWidth="1"/>
    <col min="6" max="7" width="35" style="43" customWidth="1"/>
    <col min="8" max="8" width="89" style="43" customWidth="1"/>
    <col min="9" max="9" width="10" style="43" customWidth="1"/>
    <col min="10" max="11" width="10" style="151" customWidth="1"/>
    <col min="12" max="17" width="10" style="43" customWidth="1"/>
    <col min="18" max="18" width="10.5714285714286" style="43" hidden="1"/>
  </cols>
  <sheetData>
    <row r="1" ht="22.5" hidden="1" customHeight="1" spans="14:18">
      <c r="N1" s="787"/>
      <c r="O1" s="787"/>
      <c r="Q1" s="787"/>
      <c r="R1" s="43" t="s">
        <v>14</v>
      </c>
    </row>
    <row r="2" s="43" customFormat="1" ht="18.75" hidden="1" customHeight="1" spans="1:18">
      <c r="A2" s="81"/>
      <c r="B2" s="38"/>
      <c r="C2" s="653" t="s">
        <v>683</v>
      </c>
      <c r="D2" s="295"/>
      <c r="E2" s="243"/>
      <c r="F2" s="470"/>
      <c r="G2" s="578"/>
      <c r="I2" s="151"/>
      <c r="J2" s="151"/>
      <c r="R2" s="43">
        <v>0</v>
      </c>
    </row>
    <row r="3" hidden="1" customHeight="1" spans="18:18">
      <c r="R3" s="43">
        <v>0</v>
      </c>
    </row>
    <row r="4" ht="6.3" customHeight="1" spans="3:18">
      <c r="C4" s="51"/>
      <c r="D4" s="53"/>
      <c r="E4" s="53"/>
      <c r="F4" s="53"/>
      <c r="G4" s="771"/>
      <c r="H4" s="771"/>
      <c r="R4" s="43">
        <v>6</v>
      </c>
    </row>
    <row r="5" ht="34.5" customHeight="1" spans="3:18">
      <c r="C5" s="51"/>
      <c r="D5" s="77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773"/>
      <c r="F5" s="773"/>
      <c r="G5" s="774"/>
      <c r="H5" s="581"/>
      <c r="R5" s="43">
        <v>33</v>
      </c>
    </row>
    <row r="6" s="43" customFormat="1" ht="18" customHeight="1" spans="1:18">
      <c r="A6" s="40"/>
      <c r="B6" s="38"/>
      <c r="C6" s="51"/>
      <c r="D6" s="775" t="str">
        <f>IF(org=0,"Не определено",org)</f>
        <v>АО "Теплокоммунэнерго"</v>
      </c>
      <c r="E6" s="624"/>
      <c r="F6" s="624"/>
      <c r="G6" s="776"/>
      <c r="H6" s="581"/>
      <c r="J6" s="151"/>
      <c r="K6" s="151"/>
      <c r="R6" s="43">
        <v>17</v>
      </c>
    </row>
    <row r="7" ht="14.7" customHeight="1" spans="3:18">
      <c r="C7" s="51"/>
      <c r="D7" s="53"/>
      <c r="E7" s="662"/>
      <c r="F7" s="662"/>
      <c r="G7" s="577"/>
      <c r="H7" s="777"/>
      <c r="R7" s="43">
        <v>14</v>
      </c>
    </row>
    <row r="8" ht="14.7" customHeight="1" spans="3:18">
      <c r="C8" s="51"/>
      <c r="D8" s="66" t="s">
        <v>296</v>
      </c>
      <c r="E8" s="66"/>
      <c r="F8" s="66"/>
      <c r="G8" s="66"/>
      <c r="H8" s="212" t="s">
        <v>297</v>
      </c>
      <c r="R8" s="43">
        <v>14</v>
      </c>
    </row>
    <row r="9" ht="24" customHeight="1" spans="3:18">
      <c r="C9" s="51"/>
      <c r="D9" s="66" t="s">
        <v>89</v>
      </c>
      <c r="E9" s="131" t="s">
        <v>298</v>
      </c>
      <c r="F9" s="131" t="s">
        <v>299</v>
      </c>
      <c r="G9" s="131" t="s">
        <v>386</v>
      </c>
      <c r="H9" s="212"/>
      <c r="R9" s="43">
        <v>23</v>
      </c>
    </row>
    <row r="10" ht="14.7" customHeight="1" spans="1:18">
      <c r="A10" s="81"/>
      <c r="C10" s="51"/>
      <c r="D10" s="295" t="s">
        <v>107</v>
      </c>
      <c r="E10" s="77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470"/>
      <c r="G10" s="578"/>
      <c r="H10" s="583" t="s">
        <v>1362</v>
      </c>
      <c r="R10" s="43">
        <v>14</v>
      </c>
    </row>
    <row r="11" ht="14.7" customHeight="1" spans="1:18">
      <c r="A11" s="81"/>
      <c r="C11" s="51"/>
      <c r="D11" s="295" t="s">
        <v>108</v>
      </c>
      <c r="E11" s="77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470"/>
      <c r="G11" s="578"/>
      <c r="H11" s="779"/>
      <c r="R11" s="43">
        <v>14</v>
      </c>
    </row>
    <row r="12" ht="14.7" customHeight="1" spans="1:18">
      <c r="A12" s="81"/>
      <c r="C12" s="211"/>
      <c r="D12" s="295" t="s">
        <v>91</v>
      </c>
      <c r="E12" s="467" t="str">
        <f>"Сведения о планировании закупочных процедур"&amp;IF(TEMPLATE_SPHERE="TKO"," &lt;1&gt;","")</f>
        <v>Сведения о планировании закупочных процедур</v>
      </c>
      <c r="F12" s="470"/>
      <c r="G12" s="578"/>
      <c r="H12" s="77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151"/>
      <c r="K12" s="43"/>
      <c r="R12" s="43">
        <v>14</v>
      </c>
    </row>
    <row r="13" ht="14.7" customHeight="1" spans="1:18">
      <c r="A13" s="81"/>
      <c r="C13" s="211"/>
      <c r="D13" s="295" t="s">
        <v>92</v>
      </c>
      <c r="E13" s="467" t="str">
        <f>"Сведения о результатах проведения закупочных процедур"&amp;IF(TEMPLATE_SPHERE="TKO"," &lt;1&gt;","")</f>
        <v>Сведения о результатах проведения закупочных процедур</v>
      </c>
      <c r="F13" s="470"/>
      <c r="G13" s="578"/>
      <c r="H13" s="779"/>
      <c r="I13" s="151"/>
      <c r="K13" s="43"/>
      <c r="R13" s="43">
        <v>14</v>
      </c>
    </row>
    <row r="14" ht="14.7" customHeight="1" spans="1:18">
      <c r="A14" s="81"/>
      <c r="C14" s="51"/>
      <c r="D14" s="401"/>
      <c r="E14" s="332" t="s">
        <v>318</v>
      </c>
      <c r="F14" s="780"/>
      <c r="G14" s="580"/>
      <c r="H14" s="584"/>
      <c r="R14" s="43">
        <v>14</v>
      </c>
    </row>
    <row r="15" s="43" customFormat="1" ht="14.7" customHeight="1" spans="1:18">
      <c r="A15" s="81"/>
      <c r="B15" s="38"/>
      <c r="C15" s="51"/>
      <c r="D15" s="781"/>
      <c r="E15" s="782"/>
      <c r="F15" s="783"/>
      <c r="G15" s="784"/>
      <c r="H15" s="785"/>
      <c r="J15" s="151"/>
      <c r="K15" s="151"/>
      <c r="R15" s="43">
        <v>14</v>
      </c>
    </row>
    <row r="16" ht="14.7" customHeight="1" spans="4:18">
      <c r="D16" s="786"/>
      <c r="E16" s="120"/>
      <c r="F16" s="120"/>
      <c r="G16" s="120"/>
      <c r="H16" s="120"/>
      <c r="R16" s="43">
        <v>14</v>
      </c>
    </row>
    <row r="17" ht="22.5" hidden="1" customHeight="1" spans="1:18">
      <c r="A17" s="40" t="s">
        <v>83</v>
      </c>
      <c r="B17" s="38">
        <v>0</v>
      </c>
      <c r="C17" s="41">
        <v>3</v>
      </c>
      <c r="D17" s="43">
        <v>6</v>
      </c>
      <c r="E17" s="43">
        <v>53</v>
      </c>
      <c r="F17" s="43">
        <v>35</v>
      </c>
      <c r="G17" s="43">
        <v>35</v>
      </c>
      <c r="H17" s="43">
        <v>89</v>
      </c>
      <c r="I17" s="43">
        <v>10</v>
      </c>
      <c r="J17" s="151">
        <v>10</v>
      </c>
      <c r="K17" s="151">
        <v>10</v>
      </c>
      <c r="L17" s="43">
        <v>10</v>
      </c>
      <c r="M17" s="43">
        <v>10</v>
      </c>
      <c r="N17" s="43">
        <v>10</v>
      </c>
      <c r="O17" s="43">
        <v>10</v>
      </c>
      <c r="P17" s="43">
        <v>10</v>
      </c>
      <c r="Q17" s="43">
        <v>10</v>
      </c>
      <c r="R17" s="43">
        <v>23</v>
      </c>
    </row>
  </sheetData>
  <sheetProtection formatColumns="0" formatRows="0" insertRows="0" deleteColumns="0" deleteRows="0" sort="0" autoFilter="0"/>
  <mergeCells count="7">
    <mergeCell ref="D5:G5"/>
    <mergeCell ref="D6:G6"/>
    <mergeCell ref="D8:G8"/>
    <mergeCell ref="E16:H16"/>
    <mergeCell ref="H8:H9"/>
    <mergeCell ref="H10:H11"/>
    <mergeCell ref="H12:H14"/>
  </mergeCells>
  <dataValidations count="2">
    <dataValidation type="textLength" operator="lessThanOrEqual" allowBlank="1" showInputMessage="1" showErrorMessage="1" errorTitle="Ошибка" error="Допускается ввод не более 900 символов!" sqref="E2:F2 H10 E13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AR146"/>
  <sheetViews>
    <sheetView showGridLines="0" zoomScale="90" zoomScaleNormal="90" workbookViewId="0">
      <pane xSplit="6" ySplit="12" topLeftCell="G13" activePane="bottomRight" state="frozen"/>
      <selection/>
      <selection pane="topRight"/>
      <selection pane="bottomLeft"/>
      <selection pane="bottomRight" activeCell="A1" sqref="A1"/>
    </sheetView>
  </sheetViews>
  <sheetFormatPr defaultColWidth="9.14285714285714" defaultRowHeight="11.25" customHeight="1"/>
  <cols>
    <col min="1" max="2" width="3.71428571428571" style="151" hidden="1" customWidth="1"/>
    <col min="3" max="3" width="3" style="36" customWidth="1"/>
    <col min="4" max="4" width="6" style="36" customWidth="1"/>
    <col min="5" max="5" width="42" style="36" customWidth="1"/>
    <col min="6" max="6" width="15" style="36" customWidth="1"/>
    <col min="7" max="7" width="42" style="36" customWidth="1"/>
    <col min="8" max="8" width="3" style="36" customWidth="1"/>
    <col min="9" max="9" width="5" style="36" customWidth="1"/>
    <col min="10" max="10" width="47" style="36" customWidth="1"/>
    <col min="11" max="12" width="3" style="36" customWidth="1"/>
    <col min="13" max="13" width="5" style="36" customWidth="1"/>
    <col min="14" max="14" width="28" style="36" customWidth="1"/>
    <col min="15" max="16" width="3" style="36" customWidth="1"/>
    <col min="17" max="17" width="5" style="36" customWidth="1"/>
    <col min="18" max="18" width="34" style="36" customWidth="1"/>
    <col min="19" max="20" width="3.71428571428571" style="36" customWidth="1"/>
    <col min="21" max="21" width="5.71428571428571" style="36" customWidth="1"/>
    <col min="22" max="22" width="34.4190476190476" style="36" customWidth="1"/>
    <col min="23" max="23" width="30" style="36" customWidth="1"/>
    <col min="24" max="24" width="3" style="36" customWidth="1"/>
    <col min="25" max="28" width="9.84761904761905" style="503" hidden="1" customWidth="1"/>
    <col min="29" max="29" width="27" style="503" hidden="1" customWidth="1"/>
    <col min="30" max="30" width="10.5714285714286" style="503" hidden="1" customWidth="1"/>
    <col min="31" max="31" width="10.7142857142857" style="503" hidden="1" customWidth="1"/>
    <col min="32" max="32" width="10" style="503" hidden="1" customWidth="1"/>
    <col min="33" max="33" width="12.847619047619" style="503" hidden="1" customWidth="1"/>
    <col min="34" max="34" width="24.4190476190476" style="503" hidden="1" customWidth="1"/>
    <col min="35" max="35" width="15.847619047619" style="503" hidden="1" customWidth="1"/>
    <col min="36" max="36" width="19.4190476190476" style="503" hidden="1" customWidth="1"/>
    <col min="37" max="37" width="11" style="503" hidden="1" customWidth="1"/>
    <col min="38" max="38" width="23.5714285714286" style="503" hidden="1" customWidth="1"/>
    <col min="39" max="39" width="23.847619047619" style="503" hidden="1" customWidth="1"/>
    <col min="40" max="40" width="25.2857142857143" style="503" hidden="1" customWidth="1"/>
    <col min="41" max="41" width="16.847619047619" style="503" hidden="1" customWidth="1"/>
    <col min="42" max="42" width="29.5714285714286" style="503" hidden="1" customWidth="1"/>
    <col min="43" max="43" width="29.847619047619" style="503" hidden="1" customWidth="1"/>
    <col min="44" max="44" width="9.14285714285714" style="36" hidden="1"/>
  </cols>
  <sheetData>
    <row r="1" hidden="1" customHeight="1" spans="44:44">
      <c r="AR1" s="36" t="s">
        <v>14</v>
      </c>
    </row>
    <row r="2" hidden="1" customHeight="1" spans="44:44">
      <c r="AR2" s="36">
        <v>0</v>
      </c>
    </row>
    <row r="3" hidden="1" customHeight="1" spans="44:44">
      <c r="AR3" s="36">
        <v>0</v>
      </c>
    </row>
    <row r="4" ht="3" customHeight="1" spans="44:44">
      <c r="AR4" s="36">
        <v>3</v>
      </c>
    </row>
    <row r="5" s="1267" customFormat="1" ht="30.45" customHeight="1" spans="1:44">
      <c r="A5" s="1269"/>
      <c r="B5" s="1269"/>
      <c r="D5" s="77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773"/>
      <c r="F5" s="773"/>
      <c r="G5" s="773"/>
      <c r="H5" s="773"/>
      <c r="I5" s="773"/>
      <c r="J5" s="774"/>
      <c r="K5" s="581"/>
      <c r="L5" s="121"/>
      <c r="M5" s="121"/>
      <c r="N5" s="121"/>
      <c r="O5" s="121"/>
      <c r="P5" s="121"/>
      <c r="Q5" s="121"/>
      <c r="R5" s="121"/>
      <c r="S5" s="121"/>
      <c r="T5" s="121"/>
      <c r="U5" s="121"/>
      <c r="V5" s="121"/>
      <c r="W5" s="121"/>
      <c r="Y5" s="1285"/>
      <c r="Z5" s="1285"/>
      <c r="AA5" s="1285"/>
      <c r="AB5" s="1285"/>
      <c r="AC5" s="1285"/>
      <c r="AD5" s="1285"/>
      <c r="AE5" s="1285"/>
      <c r="AF5" s="1285"/>
      <c r="AG5" s="1285"/>
      <c r="AH5" s="1285"/>
      <c r="AI5" s="1285"/>
      <c r="AJ5" s="1285"/>
      <c r="AK5" s="1285"/>
      <c r="AL5" s="1285"/>
      <c r="AM5" s="1285"/>
      <c r="AN5" s="1285"/>
      <c r="AO5" s="1285"/>
      <c r="AP5" s="1285"/>
      <c r="AQ5" s="1285"/>
      <c r="AR5" s="1267">
        <v>29</v>
      </c>
    </row>
    <row r="6" s="1267" customFormat="1" ht="14.7" customHeight="1" spans="1:44">
      <c r="A6" s="503"/>
      <c r="B6" s="503"/>
      <c r="C6" s="503"/>
      <c r="D6" s="1270" t="str">
        <f>IF(org=0,"Не определено",org)</f>
        <v>АО "Теплокоммунэнерго"</v>
      </c>
      <c r="E6" s="1270"/>
      <c r="F6" s="1270"/>
      <c r="G6" s="1270"/>
      <c r="H6" s="1270"/>
      <c r="I6" s="1270"/>
      <c r="J6" s="1270"/>
      <c r="K6" s="1282"/>
      <c r="L6" s="1282"/>
      <c r="M6" s="1282"/>
      <c r="N6" s="1282"/>
      <c r="O6" s="1269"/>
      <c r="P6" s="1269"/>
      <c r="Q6" s="1269"/>
      <c r="R6" s="1269"/>
      <c r="S6" s="1269"/>
      <c r="T6" s="1269"/>
      <c r="U6" s="1269"/>
      <c r="V6" s="1269"/>
      <c r="W6" s="1269"/>
      <c r="X6" s="1282"/>
      <c r="Y6" s="1285"/>
      <c r="Z6" s="1285"/>
      <c r="AA6" s="1285"/>
      <c r="AB6" s="1285"/>
      <c r="AC6" s="1285"/>
      <c r="AD6" s="1285"/>
      <c r="AE6" s="1285"/>
      <c r="AF6" s="1285"/>
      <c r="AG6" s="1285"/>
      <c r="AH6" s="1285"/>
      <c r="AI6" s="1285"/>
      <c r="AJ6" s="1285"/>
      <c r="AK6" s="1285"/>
      <c r="AL6" s="1285"/>
      <c r="AM6" s="1285"/>
      <c r="AN6" s="1285"/>
      <c r="AO6" s="1285"/>
      <c r="AP6" s="1285"/>
      <c r="AQ6" s="1285"/>
      <c r="AR6" s="1267">
        <v>14</v>
      </c>
    </row>
    <row r="7" s="1268" customFormat="1" ht="11.55" customHeight="1" spans="1:44">
      <c r="A7" s="151"/>
      <c r="B7" s="151"/>
      <c r="D7" s="1271"/>
      <c r="E7" s="1272"/>
      <c r="F7" s="1272"/>
      <c r="G7" s="1272"/>
      <c r="H7" s="1272"/>
      <c r="I7" s="1272"/>
      <c r="J7" s="1283"/>
      <c r="Y7" s="503"/>
      <c r="Z7" s="503"/>
      <c r="AA7" s="503"/>
      <c r="AB7" s="503"/>
      <c r="AC7" s="503"/>
      <c r="AD7" s="503"/>
      <c r="AE7" s="503"/>
      <c r="AF7" s="503"/>
      <c r="AG7" s="503"/>
      <c r="AH7" s="503"/>
      <c r="AI7" s="503"/>
      <c r="AJ7" s="503"/>
      <c r="AK7" s="503"/>
      <c r="AL7" s="503"/>
      <c r="AM7" s="503"/>
      <c r="AN7" s="503"/>
      <c r="AO7" s="503"/>
      <c r="AP7" s="503"/>
      <c r="AQ7" s="503"/>
      <c r="AR7" s="1268">
        <v>11</v>
      </c>
    </row>
    <row r="8" s="1267" customFormat="1" ht="1.05" customHeight="1" spans="1:44">
      <c r="A8" s="1269"/>
      <c r="B8" s="1269"/>
      <c r="D8" s="1273"/>
      <c r="E8" s="1273"/>
      <c r="F8" s="1273"/>
      <c r="G8" s="1273"/>
      <c r="H8" s="1273"/>
      <c r="I8" s="1273"/>
      <c r="J8" s="1273"/>
      <c r="K8" s="1273"/>
      <c r="L8" s="1273"/>
      <c r="M8" s="1273"/>
      <c r="N8" s="1273"/>
      <c r="O8" s="1273"/>
      <c r="P8" s="1273"/>
      <c r="Q8" s="1273"/>
      <c r="R8" s="1273"/>
      <c r="S8" s="1273"/>
      <c r="T8" s="1273"/>
      <c r="U8" s="1273"/>
      <c r="V8" s="1273"/>
      <c r="W8" s="1273"/>
      <c r="Y8" s="1285"/>
      <c r="Z8" s="1285"/>
      <c r="AA8" s="1285"/>
      <c r="AB8" s="1285"/>
      <c r="AC8" s="1285"/>
      <c r="AD8" s="1285"/>
      <c r="AE8" s="1285"/>
      <c r="AF8" s="1285"/>
      <c r="AG8" s="1285"/>
      <c r="AH8" s="1285"/>
      <c r="AI8" s="1285"/>
      <c r="AJ8" s="1285"/>
      <c r="AK8" s="1285"/>
      <c r="AL8" s="1285"/>
      <c r="AM8" s="1285"/>
      <c r="AN8" s="1285"/>
      <c r="AO8" s="1285"/>
      <c r="AP8" s="1285"/>
      <c r="AQ8" s="1285"/>
      <c r="AR8" s="1267">
        <v>1</v>
      </c>
    </row>
    <row r="9" ht="28.5" customHeight="1" spans="4:44">
      <c r="D9" s="64" t="s">
        <v>89</v>
      </c>
      <c r="E9" s="126" t="s">
        <v>120</v>
      </c>
      <c r="F9" s="127"/>
      <c r="G9" s="64" t="s">
        <v>103</v>
      </c>
      <c r="H9" s="64" t="s">
        <v>89</v>
      </c>
      <c r="I9" s="64"/>
      <c r="J9" s="64" t="s">
        <v>121</v>
      </c>
      <c r="K9" s="131" t="s">
        <v>122</v>
      </c>
      <c r="L9" s="131"/>
      <c r="M9" s="131"/>
      <c r="N9" s="131"/>
      <c r="O9" s="131" t="s">
        <v>123</v>
      </c>
      <c r="P9" s="131"/>
      <c r="Q9" s="131"/>
      <c r="R9" s="131"/>
      <c r="S9" s="131" t="s">
        <v>124</v>
      </c>
      <c r="T9" s="131"/>
      <c r="U9" s="131"/>
      <c r="V9" s="131"/>
      <c r="W9" s="64" t="s">
        <v>125</v>
      </c>
      <c r="AR9" s="36">
        <v>27</v>
      </c>
    </row>
    <row r="10" ht="31.5" customHeight="1" spans="4:44">
      <c r="D10" s="64"/>
      <c r="E10" s="64" t="s">
        <v>90</v>
      </c>
      <c r="F10" s="64" t="s">
        <v>126</v>
      </c>
      <c r="G10" s="64"/>
      <c r="H10" s="64"/>
      <c r="I10" s="64"/>
      <c r="J10" s="64"/>
      <c r="K10" s="64" t="s">
        <v>106</v>
      </c>
      <c r="L10" s="64" t="s">
        <v>89</v>
      </c>
      <c r="M10" s="64"/>
      <c r="N10" s="64" t="s">
        <v>127</v>
      </c>
      <c r="O10" s="64" t="s">
        <v>106</v>
      </c>
      <c r="P10" s="64" t="s">
        <v>89</v>
      </c>
      <c r="Q10" s="64"/>
      <c r="R10" s="64" t="s">
        <v>127</v>
      </c>
      <c r="S10" s="64" t="s">
        <v>106</v>
      </c>
      <c r="T10" s="64" t="s">
        <v>89</v>
      </c>
      <c r="U10" s="64"/>
      <c r="V10" s="64" t="s">
        <v>90</v>
      </c>
      <c r="W10" s="64"/>
      <c r="Z10" s="503" t="s">
        <v>128</v>
      </c>
      <c r="AA10" s="503" t="s">
        <v>129</v>
      </c>
      <c r="AB10" s="503" t="s">
        <v>130</v>
      </c>
      <c r="AC10" s="503" t="s">
        <v>131</v>
      </c>
      <c r="AD10" s="503" t="s">
        <v>132</v>
      </c>
      <c r="AE10" s="503" t="s">
        <v>133</v>
      </c>
      <c r="AF10" s="503" t="s">
        <v>134</v>
      </c>
      <c r="AG10" s="503" t="s">
        <v>135</v>
      </c>
      <c r="AH10" s="503" t="s">
        <v>136</v>
      </c>
      <c r="AI10" s="503" t="s">
        <v>137</v>
      </c>
      <c r="AJ10" s="503" t="s">
        <v>138</v>
      </c>
      <c r="AK10" s="503" t="s">
        <v>139</v>
      </c>
      <c r="AL10" s="503" t="s">
        <v>140</v>
      </c>
      <c r="AM10" s="503" t="s">
        <v>141</v>
      </c>
      <c r="AN10" s="503" t="s">
        <v>142</v>
      </c>
      <c r="AO10" s="503" t="s">
        <v>143</v>
      </c>
      <c r="AP10" s="503" t="s">
        <v>144</v>
      </c>
      <c r="AQ10" s="503" t="s">
        <v>145</v>
      </c>
      <c r="AR10" s="36">
        <v>30</v>
      </c>
    </row>
    <row r="11" s="151" customFormat="1" ht="12" customHeight="1" spans="4:44">
      <c r="D11" s="1274" t="s">
        <v>107</v>
      </c>
      <c r="E11" s="1274" t="s">
        <v>108</v>
      </c>
      <c r="F11" s="1274"/>
      <c r="G11" s="1274" t="s">
        <v>91</v>
      </c>
      <c r="H11" s="1275" t="s">
        <v>109</v>
      </c>
      <c r="I11" s="1275"/>
      <c r="J11" s="1274" t="s">
        <v>93</v>
      </c>
      <c r="K11" s="1274" t="s">
        <v>94</v>
      </c>
      <c r="L11" s="1275" t="s">
        <v>110</v>
      </c>
      <c r="M11" s="1275"/>
      <c r="N11" s="1274" t="s">
        <v>146</v>
      </c>
      <c r="O11" s="1274" t="s">
        <v>147</v>
      </c>
      <c r="P11" s="1275" t="s">
        <v>148</v>
      </c>
      <c r="Q11" s="1275"/>
      <c r="R11" s="1274" t="s">
        <v>149</v>
      </c>
      <c r="S11" s="1274" t="s">
        <v>148</v>
      </c>
      <c r="T11" s="1275" t="s">
        <v>149</v>
      </c>
      <c r="U11" s="1275"/>
      <c r="V11" s="1274" t="s">
        <v>150</v>
      </c>
      <c r="W11" s="1274" t="s">
        <v>151</v>
      </c>
      <c r="Y11" s="503"/>
      <c r="Z11" s="503"/>
      <c r="AA11" s="503"/>
      <c r="AB11" s="503"/>
      <c r="AC11" s="503"/>
      <c r="AD11" s="503"/>
      <c r="AE11" s="503"/>
      <c r="AF11" s="503"/>
      <c r="AG11" s="503"/>
      <c r="AH11" s="503"/>
      <c r="AI11" s="503"/>
      <c r="AJ11" s="503"/>
      <c r="AK11" s="503"/>
      <c r="AL11" s="503"/>
      <c r="AM11" s="503"/>
      <c r="AN11" s="503"/>
      <c r="AO11" s="503"/>
      <c r="AP11" s="503"/>
      <c r="AQ11" s="503"/>
      <c r="AR11" s="151">
        <v>0</v>
      </c>
    </row>
    <row r="12" ht="14.25" customHeight="1" spans="3:44">
      <c r="C12" s="217"/>
      <c r="D12" s="218">
        <v>0</v>
      </c>
      <c r="E12" s="64"/>
      <c r="F12" s="64"/>
      <c r="G12" s="64"/>
      <c r="H12" s="454"/>
      <c r="I12" s="454"/>
      <c r="J12" s="232"/>
      <c r="K12" s="232"/>
      <c r="L12" s="232"/>
      <c r="M12" s="232"/>
      <c r="N12" s="468"/>
      <c r="O12" s="232"/>
      <c r="P12" s="232"/>
      <c r="Q12" s="232"/>
      <c r="R12" s="1284"/>
      <c r="S12" s="232"/>
      <c r="T12" s="232"/>
      <c r="U12" s="232"/>
      <c r="V12" s="1284"/>
      <c r="W12" s="232"/>
      <c r="AR12" s="36">
        <v>0</v>
      </c>
    </row>
    <row r="13" s="36" customFormat="1" ht="17.25" customHeight="1" spans="1:44">
      <c r="A13" s="453"/>
      <c r="C13" s="217"/>
      <c r="D13" s="1276">
        <v>1</v>
      </c>
      <c r="E13" s="455" t="s">
        <v>152</v>
      </c>
      <c r="F13" s="456" t="s">
        <v>19</v>
      </c>
      <c r="G13" s="455"/>
      <c r="H13" s="505"/>
      <c r="I13" s="516"/>
      <c r="J13" s="517"/>
      <c r="K13" s="518"/>
      <c r="L13" s="518"/>
      <c r="M13" s="518"/>
      <c r="N13" s="519"/>
      <c r="O13" s="518"/>
      <c r="P13" s="518"/>
      <c r="Q13" s="518"/>
      <c r="R13" s="538"/>
      <c r="S13" s="518"/>
      <c r="T13" s="518"/>
      <c r="U13" s="518"/>
      <c r="V13" s="538"/>
      <c r="W13" s="539"/>
      <c r="Y13" s="502"/>
      <c r="Z13" s="502"/>
      <c r="AA13" s="502"/>
      <c r="AB13" s="502"/>
      <c r="AC13" s="502" t="s">
        <v>153</v>
      </c>
      <c r="AD13" s="502" t="s">
        <v>154</v>
      </c>
      <c r="AE13" s="502" t="s">
        <v>155</v>
      </c>
      <c r="AF13" s="502" t="s">
        <v>156</v>
      </c>
      <c r="AG13" s="502" t="s">
        <v>157</v>
      </c>
      <c r="AH13" s="50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502" t="str">
        <f>IF($G$13=0,"",$G$13)</f>
        <v/>
      </c>
      <c r="AJ13" s="502" t="str">
        <f>IF($J$13=0,"",$J$13)</f>
        <v/>
      </c>
      <c r="AK13" s="502" t="str">
        <f>IF($K$13="нет","без дифференциации",IF($N$13=0,"",$N$13))</f>
        <v/>
      </c>
      <c r="AL13" s="502" t="str">
        <f>IF($O$13="нет","без дифференциации",IF($R$13=0,"",$R$13))</f>
        <v/>
      </c>
      <c r="AM13" s="502" t="str">
        <f>IF($S$13="нет","без дифференциации",IF($V$13=0,"",$V$13))</f>
        <v/>
      </c>
      <c r="AN13" s="502">
        <f>$I$13</f>
        <v>0</v>
      </c>
      <c r="AO13" s="502" t="str">
        <f>$I$13&amp;"."&amp;$M$13</f>
        <v>.</v>
      </c>
      <c r="AP13" s="502" t="str">
        <f>$I$13&amp;"."&amp;$M$13&amp;"."&amp;$Q$13</f>
        <v>..</v>
      </c>
      <c r="AQ13" s="502" t="str">
        <f>$I$13&amp;"."&amp;$M$13&amp;"."&amp;$Q$13&amp;"."&amp;$U$13</f>
        <v>...</v>
      </c>
      <c r="AR13" s="36">
        <v>0</v>
      </c>
    </row>
    <row r="14" s="36" customFormat="1" ht="17.25" customHeight="1" spans="1:44">
      <c r="A14" s="453"/>
      <c r="D14" s="1276"/>
      <c r="E14" s="455"/>
      <c r="F14" s="458"/>
      <c r="G14" s="455"/>
      <c r="H14" s="506"/>
      <c r="I14" s="520"/>
      <c r="J14" s="521"/>
      <c r="K14" s="522"/>
      <c r="L14" s="522"/>
      <c r="M14" s="522"/>
      <c r="N14" s="523"/>
      <c r="O14" s="522"/>
      <c r="P14" s="522"/>
      <c r="Q14" s="522"/>
      <c r="R14" s="524"/>
      <c r="S14" s="522"/>
      <c r="T14" s="525"/>
      <c r="U14" s="525"/>
      <c r="V14" s="525"/>
      <c r="W14" s="540"/>
      <c r="Y14" s="503"/>
      <c r="Z14" s="503"/>
      <c r="AA14" s="503"/>
      <c r="AB14" s="503"/>
      <c r="AC14" s="503"/>
      <c r="AD14" s="503"/>
      <c r="AE14" s="503"/>
      <c r="AF14" s="503"/>
      <c r="AG14" s="503"/>
      <c r="AH14" s="503"/>
      <c r="AI14" s="503"/>
      <c r="AJ14" s="503"/>
      <c r="AK14" s="503"/>
      <c r="AL14" s="503"/>
      <c r="AM14" s="503"/>
      <c r="AN14" s="503"/>
      <c r="AO14" s="503"/>
      <c r="AP14" s="503"/>
      <c r="AQ14" s="503"/>
      <c r="AR14" s="36">
        <v>0</v>
      </c>
    </row>
    <row r="15" s="36" customFormat="1" ht="17.25" customHeight="1" spans="1:44">
      <c r="A15" s="453"/>
      <c r="C15" s="217"/>
      <c r="D15" s="1276"/>
      <c r="E15" s="455"/>
      <c r="F15" s="458"/>
      <c r="G15" s="455"/>
      <c r="H15" s="506"/>
      <c r="I15" s="520"/>
      <c r="J15" s="452"/>
      <c r="K15" s="522"/>
      <c r="L15" s="522"/>
      <c r="M15" s="522"/>
      <c r="N15" s="524"/>
      <c r="O15" s="522"/>
      <c r="P15" s="522"/>
      <c r="Q15" s="525"/>
      <c r="R15" s="525"/>
      <c r="W15" s="540"/>
      <c r="Y15" s="502"/>
      <c r="Z15" s="502"/>
      <c r="AA15" s="502"/>
      <c r="AB15" s="502"/>
      <c r="AC15" s="502"/>
      <c r="AD15" s="502"/>
      <c r="AE15" s="502"/>
      <c r="AF15" s="502"/>
      <c r="AG15" s="502"/>
      <c r="AH15" s="502"/>
      <c r="AI15" s="502"/>
      <c r="AJ15" s="502"/>
      <c r="AK15" s="502"/>
      <c r="AL15" s="502"/>
      <c r="AM15" s="502"/>
      <c r="AN15" s="502"/>
      <c r="AO15" s="502"/>
      <c r="AP15" s="502"/>
      <c r="AQ15" s="502"/>
      <c r="AR15" s="36">
        <v>0</v>
      </c>
    </row>
    <row r="16" s="36" customFormat="1" ht="17.25" customHeight="1" spans="1:44">
      <c r="A16" s="453"/>
      <c r="D16" s="1276"/>
      <c r="E16" s="455"/>
      <c r="F16" s="458"/>
      <c r="G16" s="455"/>
      <c r="H16" s="506"/>
      <c r="I16" s="520"/>
      <c r="J16" s="452"/>
      <c r="K16" s="522"/>
      <c r="L16" s="525"/>
      <c r="M16" s="525"/>
      <c r="N16" s="525"/>
      <c r="O16" s="525"/>
      <c r="P16" s="525"/>
      <c r="Q16" s="525"/>
      <c r="R16" s="525"/>
      <c r="W16" s="540"/>
      <c r="Y16" s="503"/>
      <c r="Z16" s="503"/>
      <c r="AA16" s="503"/>
      <c r="AB16" s="503"/>
      <c r="AC16" s="503"/>
      <c r="AD16" s="503"/>
      <c r="AE16" s="503"/>
      <c r="AF16" s="503"/>
      <c r="AG16" s="503"/>
      <c r="AH16" s="503"/>
      <c r="AI16" s="503"/>
      <c r="AJ16" s="503"/>
      <c r="AK16" s="503"/>
      <c r="AL16" s="503"/>
      <c r="AM16" s="503"/>
      <c r="AN16" s="503"/>
      <c r="AO16" s="503"/>
      <c r="AP16" s="503"/>
      <c r="AQ16" s="503"/>
      <c r="AR16" s="36">
        <v>0</v>
      </c>
    </row>
    <row r="17" s="36" customFormat="1" ht="17.25" customHeight="1" spans="1:44">
      <c r="A17" s="453"/>
      <c r="D17" s="22"/>
      <c r="E17" s="459"/>
      <c r="F17" s="461"/>
      <c r="G17" s="459"/>
      <c r="H17" s="507"/>
      <c r="I17" s="526"/>
      <c r="J17" s="526"/>
      <c r="K17" s="526"/>
      <c r="L17" s="526"/>
      <c r="M17" s="526"/>
      <c r="N17" s="526"/>
      <c r="O17" s="526"/>
      <c r="P17" s="526"/>
      <c r="Q17" s="526"/>
      <c r="R17" s="526"/>
      <c r="S17" s="541"/>
      <c r="T17" s="541"/>
      <c r="U17" s="541"/>
      <c r="V17" s="541"/>
      <c r="W17" s="542"/>
      <c r="Y17" s="503"/>
      <c r="Z17" s="503"/>
      <c r="AA17" s="503"/>
      <c r="AB17" s="503"/>
      <c r="AC17" s="503"/>
      <c r="AD17" s="503"/>
      <c r="AE17" s="503"/>
      <c r="AF17" s="503"/>
      <c r="AG17" s="503"/>
      <c r="AH17" s="503"/>
      <c r="AI17" s="503"/>
      <c r="AJ17" s="503"/>
      <c r="AK17" s="503"/>
      <c r="AL17" s="503"/>
      <c r="AM17" s="503"/>
      <c r="AN17" s="503"/>
      <c r="AO17" s="503"/>
      <c r="AP17" s="503"/>
      <c r="AQ17" s="503"/>
      <c r="AR17" s="36">
        <v>0</v>
      </c>
    </row>
    <row r="18" s="36" customFormat="1" ht="17.25" customHeight="1" spans="1:44">
      <c r="A18" s="453"/>
      <c r="C18" s="217"/>
      <c r="D18" s="1276">
        <v>2</v>
      </c>
      <c r="E18" s="1277"/>
      <c r="F18" s="456" t="s">
        <v>19</v>
      </c>
      <c r="G18" s="455"/>
      <c r="H18" s="505"/>
      <c r="I18" s="516"/>
      <c r="J18" s="517"/>
      <c r="K18" s="518"/>
      <c r="L18" s="518"/>
      <c r="M18" s="518"/>
      <c r="N18" s="519"/>
      <c r="O18" s="518"/>
      <c r="P18" s="518"/>
      <c r="Q18" s="518"/>
      <c r="R18" s="538"/>
      <c r="S18" s="518"/>
      <c r="T18" s="518"/>
      <c r="U18" s="518"/>
      <c r="V18" s="538"/>
      <c r="W18" s="539"/>
      <c r="X18" s="502"/>
      <c r="Y18" s="502"/>
      <c r="Z18" s="502"/>
      <c r="AA18" s="502"/>
      <c r="AB18" s="502"/>
      <c r="AC18" s="502" t="s">
        <v>158</v>
      </c>
      <c r="AD18" s="502" t="s">
        <v>159</v>
      </c>
      <c r="AE18" s="502" t="s">
        <v>160</v>
      </c>
      <c r="AF18" s="502" t="s">
        <v>161</v>
      </c>
      <c r="AG18" s="502" t="s">
        <v>162</v>
      </c>
      <c r="AH18" s="502" t="str">
        <f>IF($E$18=0,"",$E$18)</f>
        <v/>
      </c>
      <c r="AI18" s="502" t="str">
        <f>IF($G$18=0,"",$G$18)</f>
        <v/>
      </c>
      <c r="AJ18" s="502" t="str">
        <f>IF($J$18=0,"",$J$18)</f>
        <v/>
      </c>
      <c r="AK18" s="502" t="str">
        <f>IF($K$18="нет","без дифференциации",IF($N$18=0,"",$N$18))</f>
        <v/>
      </c>
      <c r="AL18" s="502" t="str">
        <f>IF($O$18="нет","без дифференциации",IF($R$18=0,"",$R$18))</f>
        <v/>
      </c>
      <c r="AM18" s="502" t="str">
        <f>IF($S$18="нет","без дифференциации",IF($V$18=0,"",$V$18))</f>
        <v/>
      </c>
      <c r="AN18" s="1286">
        <f>$I$18</f>
        <v>0</v>
      </c>
      <c r="AO18" s="502" t="str">
        <f>$I$18&amp;"."&amp;$M$18</f>
        <v>.</v>
      </c>
      <c r="AP18" s="503" t="str">
        <f>$I$18&amp;"."&amp;$M$18&amp;"."&amp;$Q$18</f>
        <v>..</v>
      </c>
      <c r="AQ18" s="503" t="str">
        <f>$I$18&amp;"."&amp;$M$18&amp;"."&amp;$Q$18&amp;"."&amp;$U$18</f>
        <v>...</v>
      </c>
      <c r="AR18" s="36">
        <v>0</v>
      </c>
    </row>
    <row r="19" s="36" customFormat="1" ht="17.25" customHeight="1" spans="1:44">
      <c r="A19" s="453"/>
      <c r="D19" s="1276"/>
      <c r="E19" s="1277"/>
      <c r="F19" s="458"/>
      <c r="G19" s="455"/>
      <c r="H19" s="506"/>
      <c r="I19" s="520"/>
      <c r="J19" s="521"/>
      <c r="K19" s="522"/>
      <c r="L19" s="522"/>
      <c r="M19" s="522"/>
      <c r="N19" s="523"/>
      <c r="O19" s="522"/>
      <c r="P19" s="522"/>
      <c r="Q19" s="522"/>
      <c r="R19" s="524"/>
      <c r="S19" s="522"/>
      <c r="T19" s="525"/>
      <c r="U19" s="525"/>
      <c r="V19" s="525"/>
      <c r="W19" s="540"/>
      <c r="X19" s="503"/>
      <c r="Y19" s="503"/>
      <c r="Z19" s="503"/>
      <c r="AA19" s="503"/>
      <c r="AB19" s="503"/>
      <c r="AC19" s="503"/>
      <c r="AD19" s="503"/>
      <c r="AE19" s="503"/>
      <c r="AF19" s="503"/>
      <c r="AG19" s="503"/>
      <c r="AH19" s="503"/>
      <c r="AI19" s="503"/>
      <c r="AJ19" s="503"/>
      <c r="AK19" s="503"/>
      <c r="AL19" s="503"/>
      <c r="AM19" s="503"/>
      <c r="AN19" s="503"/>
      <c r="AO19" s="503"/>
      <c r="AP19" s="503"/>
      <c r="AQ19" s="503"/>
      <c r="AR19" s="36">
        <v>0</v>
      </c>
    </row>
    <row r="20" s="36" customFormat="1" ht="17.25" customHeight="1" spans="1:44">
      <c r="A20" s="453"/>
      <c r="D20" s="22"/>
      <c r="E20" s="1278"/>
      <c r="F20" s="458"/>
      <c r="G20" s="459"/>
      <c r="H20" s="506"/>
      <c r="I20" s="520"/>
      <c r="J20" s="452"/>
      <c r="K20" s="522"/>
      <c r="L20" s="522"/>
      <c r="M20" s="522"/>
      <c r="N20" s="524"/>
      <c r="O20" s="522"/>
      <c r="P20" s="522"/>
      <c r="Q20" s="525"/>
      <c r="R20" s="525"/>
      <c r="W20" s="540"/>
      <c r="X20" s="503"/>
      <c r="Y20" s="503"/>
      <c r="Z20" s="503"/>
      <c r="AA20" s="503"/>
      <c r="AB20" s="503"/>
      <c r="AC20" s="503"/>
      <c r="AD20" s="503"/>
      <c r="AE20" s="503"/>
      <c r="AF20" s="503"/>
      <c r="AG20" s="503"/>
      <c r="AH20" s="503"/>
      <c r="AI20" s="503"/>
      <c r="AJ20" s="503"/>
      <c r="AK20" s="503"/>
      <c r="AL20" s="503"/>
      <c r="AM20" s="503"/>
      <c r="AN20" s="503"/>
      <c r="AO20" s="503"/>
      <c r="AP20" s="503"/>
      <c r="AQ20" s="503"/>
      <c r="AR20" s="36">
        <v>0</v>
      </c>
    </row>
    <row r="21" s="36" customFormat="1" ht="17.25" customHeight="1" spans="1:44">
      <c r="A21" s="453"/>
      <c r="D21" s="22"/>
      <c r="E21" s="1278"/>
      <c r="F21" s="458"/>
      <c r="G21" s="459"/>
      <c r="H21" s="506"/>
      <c r="I21" s="520"/>
      <c r="J21" s="452"/>
      <c r="K21" s="522"/>
      <c r="L21" s="525"/>
      <c r="M21" s="525"/>
      <c r="N21" s="525"/>
      <c r="O21" s="525"/>
      <c r="P21" s="525"/>
      <c r="Q21" s="525"/>
      <c r="R21" s="525"/>
      <c r="W21" s="540"/>
      <c r="X21" s="503"/>
      <c r="Y21" s="503"/>
      <c r="Z21" s="503"/>
      <c r="AA21" s="503"/>
      <c r="AB21" s="503"/>
      <c r="AC21" s="503"/>
      <c r="AD21" s="503"/>
      <c r="AE21" s="503"/>
      <c r="AF21" s="503"/>
      <c r="AG21" s="503"/>
      <c r="AH21" s="503"/>
      <c r="AI21" s="503"/>
      <c r="AJ21" s="503"/>
      <c r="AK21" s="503"/>
      <c r="AL21" s="503"/>
      <c r="AM21" s="503"/>
      <c r="AN21" s="503"/>
      <c r="AO21" s="503"/>
      <c r="AP21" s="503"/>
      <c r="AQ21" s="503"/>
      <c r="AR21" s="36">
        <v>0</v>
      </c>
    </row>
    <row r="22" s="36" customFormat="1" ht="17.25" customHeight="1" spans="1:44">
      <c r="A22" s="453"/>
      <c r="D22" s="22"/>
      <c r="E22" s="1278"/>
      <c r="F22" s="461"/>
      <c r="G22" s="459"/>
      <c r="H22" s="507"/>
      <c r="I22" s="526"/>
      <c r="J22" s="526"/>
      <c r="K22" s="526"/>
      <c r="L22" s="526"/>
      <c r="M22" s="526"/>
      <c r="N22" s="526"/>
      <c r="O22" s="526"/>
      <c r="P22" s="526"/>
      <c r="Q22" s="526"/>
      <c r="R22" s="526"/>
      <c r="S22" s="541"/>
      <c r="T22" s="541"/>
      <c r="U22" s="541"/>
      <c r="V22" s="541"/>
      <c r="W22" s="542"/>
      <c r="X22" s="503"/>
      <c r="Y22" s="503"/>
      <c r="Z22" s="503"/>
      <c r="AA22" s="503"/>
      <c r="AB22" s="503"/>
      <c r="AC22" s="503"/>
      <c r="AD22" s="503"/>
      <c r="AE22" s="503"/>
      <c r="AF22" s="503"/>
      <c r="AG22" s="503"/>
      <c r="AH22" s="503"/>
      <c r="AI22" s="503"/>
      <c r="AJ22" s="503"/>
      <c r="AK22" s="503"/>
      <c r="AL22" s="503"/>
      <c r="AM22" s="503"/>
      <c r="AN22" s="503"/>
      <c r="AO22" s="503"/>
      <c r="AP22" s="503"/>
      <c r="AQ22" s="503"/>
      <c r="AR22" s="36">
        <v>0</v>
      </c>
    </row>
    <row r="23" s="36" customFormat="1" ht="17.25" customHeight="1" spans="1:44">
      <c r="A23" s="453"/>
      <c r="C23" s="217"/>
      <c r="D23" s="1276">
        <v>2</v>
      </c>
      <c r="E23" s="455" t="s">
        <v>163</v>
      </c>
      <c r="F23" s="456" t="s">
        <v>19</v>
      </c>
      <c r="G23" s="455"/>
      <c r="H23" s="505"/>
      <c r="I23" s="516"/>
      <c r="J23" s="517"/>
      <c r="K23" s="518"/>
      <c r="L23" s="518"/>
      <c r="M23" s="518"/>
      <c r="N23" s="519"/>
      <c r="O23" s="518"/>
      <c r="P23" s="518"/>
      <c r="Q23" s="518"/>
      <c r="R23" s="538"/>
      <c r="S23" s="518"/>
      <c r="T23" s="518"/>
      <c r="U23" s="518"/>
      <c r="V23" s="538"/>
      <c r="W23" s="539"/>
      <c r="X23" s="502"/>
      <c r="Y23" s="502"/>
      <c r="Z23" s="502"/>
      <c r="AA23" s="502"/>
      <c r="AB23" s="502"/>
      <c r="AC23" s="502" t="s">
        <v>158</v>
      </c>
      <c r="AD23" s="502" t="s">
        <v>159</v>
      </c>
      <c r="AE23" s="502" t="s">
        <v>160</v>
      </c>
      <c r="AF23" s="502" t="s">
        <v>161</v>
      </c>
      <c r="AG23" s="502" t="s">
        <v>162</v>
      </c>
      <c r="AH23" s="502" t="str">
        <f>IF($E$23=0,"",$E$23)</f>
        <v>Тарифы на тепловую энергию (мощность), поставляемую теплоснабжающими организациями потребителям, другим теплоснабжающим организациям</v>
      </c>
      <c r="AI23" s="502" t="str">
        <f>IF($G$23=0,"",$G$23)</f>
        <v/>
      </c>
      <c r="AJ23" s="502" t="str">
        <f>IF($J$23=0,"",$J$23)</f>
        <v/>
      </c>
      <c r="AK23" s="502" t="str">
        <f>IF($K$23="нет","без дифференциации",IF($N$23=0,"",$N$23))</f>
        <v/>
      </c>
      <c r="AL23" s="502" t="str">
        <f>IF($O$23="нет","без дифференциации",IF($R$23=0,"",$R$23))</f>
        <v/>
      </c>
      <c r="AM23" s="502" t="str">
        <f>IF($S$23="нет","без дифференциации",IF($V$23=0,"",$V$23))</f>
        <v/>
      </c>
      <c r="AN23" s="1286">
        <f>$I$23</f>
        <v>0</v>
      </c>
      <c r="AO23" s="502" t="str">
        <f>$I$23&amp;"."&amp;$M$23</f>
        <v>.</v>
      </c>
      <c r="AP23" s="503" t="str">
        <f>$I$23&amp;"."&amp;$M$23&amp;"."&amp;$Q$23</f>
        <v>..</v>
      </c>
      <c r="AQ23" s="503" t="str">
        <f>$I$23&amp;"."&amp;$M$23&amp;"."&amp;$Q$23&amp;"."&amp;$U$23</f>
        <v>...</v>
      </c>
      <c r="AR23" s="36">
        <v>0</v>
      </c>
    </row>
    <row r="24" s="36" customFormat="1" ht="17.25" customHeight="1" spans="1:44">
      <c r="A24" s="453"/>
      <c r="D24" s="1276"/>
      <c r="E24" s="455"/>
      <c r="F24" s="458"/>
      <c r="G24" s="455"/>
      <c r="H24" s="506"/>
      <c r="I24" s="520"/>
      <c r="J24" s="521"/>
      <c r="K24" s="522"/>
      <c r="L24" s="522"/>
      <c r="M24" s="522"/>
      <c r="N24" s="523"/>
      <c r="O24" s="522"/>
      <c r="P24" s="522"/>
      <c r="Q24" s="522"/>
      <c r="R24" s="524"/>
      <c r="S24" s="522"/>
      <c r="T24" s="525"/>
      <c r="U24" s="525"/>
      <c r="V24" s="525"/>
      <c r="W24" s="540"/>
      <c r="X24" s="503"/>
      <c r="Y24" s="503"/>
      <c r="Z24" s="503"/>
      <c r="AA24" s="503"/>
      <c r="AB24" s="503"/>
      <c r="AC24" s="503"/>
      <c r="AD24" s="503"/>
      <c r="AE24" s="503"/>
      <c r="AF24" s="503"/>
      <c r="AG24" s="503"/>
      <c r="AH24" s="503"/>
      <c r="AI24" s="503"/>
      <c r="AJ24" s="503"/>
      <c r="AK24" s="503"/>
      <c r="AL24" s="503"/>
      <c r="AM24" s="503"/>
      <c r="AN24" s="503"/>
      <c r="AO24" s="503"/>
      <c r="AP24" s="503"/>
      <c r="AQ24" s="503"/>
      <c r="AR24" s="36">
        <v>0</v>
      </c>
    </row>
    <row r="25" s="36" customFormat="1" ht="17.25" customHeight="1" spans="1:44">
      <c r="A25" s="453"/>
      <c r="D25" s="22"/>
      <c r="E25" s="459"/>
      <c r="F25" s="458"/>
      <c r="G25" s="459"/>
      <c r="H25" s="506"/>
      <c r="I25" s="520"/>
      <c r="J25" s="452"/>
      <c r="K25" s="522"/>
      <c r="L25" s="522"/>
      <c r="M25" s="522"/>
      <c r="N25" s="524"/>
      <c r="O25" s="522"/>
      <c r="P25" s="522"/>
      <c r="Q25" s="525"/>
      <c r="R25" s="525"/>
      <c r="W25" s="540"/>
      <c r="X25" s="503"/>
      <c r="Y25" s="503"/>
      <c r="Z25" s="503"/>
      <c r="AA25" s="503"/>
      <c r="AB25" s="503"/>
      <c r="AC25" s="503"/>
      <c r="AD25" s="503"/>
      <c r="AE25" s="503"/>
      <c r="AF25" s="503"/>
      <c r="AG25" s="503"/>
      <c r="AH25" s="503"/>
      <c r="AI25" s="503"/>
      <c r="AJ25" s="503"/>
      <c r="AK25" s="503"/>
      <c r="AL25" s="503"/>
      <c r="AM25" s="503"/>
      <c r="AN25" s="503"/>
      <c r="AO25" s="503"/>
      <c r="AP25" s="503"/>
      <c r="AQ25" s="503"/>
      <c r="AR25" s="36">
        <v>0</v>
      </c>
    </row>
    <row r="26" s="36" customFormat="1" ht="17.25" customHeight="1" spans="1:44">
      <c r="A26" s="453"/>
      <c r="D26" s="22"/>
      <c r="E26" s="459"/>
      <c r="F26" s="458"/>
      <c r="G26" s="459"/>
      <c r="H26" s="506"/>
      <c r="I26" s="520"/>
      <c r="J26" s="452"/>
      <c r="K26" s="522"/>
      <c r="L26" s="525"/>
      <c r="M26" s="525"/>
      <c r="N26" s="525"/>
      <c r="O26" s="525"/>
      <c r="P26" s="525"/>
      <c r="Q26" s="525"/>
      <c r="R26" s="525"/>
      <c r="W26" s="540"/>
      <c r="X26" s="503"/>
      <c r="Y26" s="503"/>
      <c r="Z26" s="503"/>
      <c r="AA26" s="503"/>
      <c r="AB26" s="503"/>
      <c r="AC26" s="503"/>
      <c r="AD26" s="503"/>
      <c r="AE26" s="503"/>
      <c r="AF26" s="503"/>
      <c r="AG26" s="503"/>
      <c r="AH26" s="503"/>
      <c r="AI26" s="503"/>
      <c r="AJ26" s="503"/>
      <c r="AK26" s="503"/>
      <c r="AL26" s="503"/>
      <c r="AM26" s="503"/>
      <c r="AN26" s="503"/>
      <c r="AO26" s="503"/>
      <c r="AP26" s="503"/>
      <c r="AQ26" s="503"/>
      <c r="AR26" s="36">
        <v>0</v>
      </c>
    </row>
    <row r="27" s="36" customFormat="1" ht="17.25" customHeight="1" spans="1:44">
      <c r="A27" s="453"/>
      <c r="D27" s="22"/>
      <c r="E27" s="459"/>
      <c r="F27" s="461"/>
      <c r="G27" s="459"/>
      <c r="H27" s="507"/>
      <c r="I27" s="526"/>
      <c r="J27" s="526"/>
      <c r="K27" s="526"/>
      <c r="L27" s="526"/>
      <c r="M27" s="526"/>
      <c r="N27" s="526"/>
      <c r="O27" s="526"/>
      <c r="P27" s="526"/>
      <c r="Q27" s="526"/>
      <c r="R27" s="526"/>
      <c r="S27" s="541"/>
      <c r="T27" s="541"/>
      <c r="U27" s="541"/>
      <c r="V27" s="541"/>
      <c r="W27" s="542"/>
      <c r="X27" s="503"/>
      <c r="Y27" s="503"/>
      <c r="Z27" s="503"/>
      <c r="AA27" s="503"/>
      <c r="AB27" s="503"/>
      <c r="AC27" s="503"/>
      <c r="AD27" s="503"/>
      <c r="AE27" s="503"/>
      <c r="AF27" s="503"/>
      <c r="AG27" s="503"/>
      <c r="AH27" s="503"/>
      <c r="AI27" s="503"/>
      <c r="AJ27" s="503"/>
      <c r="AK27" s="503"/>
      <c r="AL27" s="503"/>
      <c r="AM27" s="503"/>
      <c r="AN27" s="503"/>
      <c r="AO27" s="503"/>
      <c r="AP27" s="503"/>
      <c r="AQ27" s="503"/>
      <c r="AR27" s="36">
        <v>0</v>
      </c>
    </row>
    <row r="28" s="36" customFormat="1" ht="17.25" customHeight="1" spans="1:44">
      <c r="A28" s="453"/>
      <c r="C28" s="217"/>
      <c r="D28" s="1276">
        <v>3</v>
      </c>
      <c r="E28" s="455" t="s">
        <v>164</v>
      </c>
      <c r="F28" s="456" t="s">
        <v>19</v>
      </c>
      <c r="G28" s="455"/>
      <c r="H28" s="505"/>
      <c r="I28" s="516"/>
      <c r="J28" s="517"/>
      <c r="K28" s="518"/>
      <c r="L28" s="518"/>
      <c r="M28" s="518"/>
      <c r="N28" s="519"/>
      <c r="O28" s="518"/>
      <c r="P28" s="518"/>
      <c r="Q28" s="518"/>
      <c r="R28" s="538"/>
      <c r="S28" s="518"/>
      <c r="T28" s="518"/>
      <c r="U28" s="518"/>
      <c r="V28" s="538"/>
      <c r="W28" s="539"/>
      <c r="X28" s="502"/>
      <c r="Y28" s="502"/>
      <c r="Z28" s="502"/>
      <c r="AA28" s="502"/>
      <c r="AB28" s="502"/>
      <c r="AC28" s="502" t="s">
        <v>165</v>
      </c>
      <c r="AD28" s="502" t="s">
        <v>166</v>
      </c>
      <c r="AE28" s="502" t="s">
        <v>167</v>
      </c>
      <c r="AF28" s="502" t="s">
        <v>168</v>
      </c>
      <c r="AG28" s="502" t="s">
        <v>169</v>
      </c>
      <c r="AH28" s="502" t="str">
        <f>IF($E$28=0,"",$E$28)</f>
        <v>Тарифы на теплоноситель, поставляемый теплоснабжающими организациями потребителям, другим теплоснабжающим организациям</v>
      </c>
      <c r="AI28" s="502" t="str">
        <f>IF($G$28=0,"",$G$28)</f>
        <v/>
      </c>
      <c r="AJ28" s="502" t="str">
        <f>IF($J$28=0,"",$J$28)</f>
        <v/>
      </c>
      <c r="AK28" s="502" t="str">
        <f>IF($K$28="нет","без дифференциации",IF($N$28=0,"",$N$28))</f>
        <v/>
      </c>
      <c r="AL28" s="502" t="str">
        <f>IF($O$28="нет","без дифференциации",IF($R$28=0,"",$R$28))</f>
        <v/>
      </c>
      <c r="AM28" s="502" t="str">
        <f>IF($S$28="нет","без дифференциации",IF($V$28=0,"",$V$28))</f>
        <v/>
      </c>
      <c r="AN28" s="1286">
        <f>$I$28</f>
        <v>0</v>
      </c>
      <c r="AO28" s="502" t="str">
        <f>$I$28&amp;"."&amp;$M$28</f>
        <v>.</v>
      </c>
      <c r="AP28" s="503" t="str">
        <f>$I$28&amp;"."&amp;$M$28&amp;"."&amp;$Q$28</f>
        <v>..</v>
      </c>
      <c r="AQ28" s="503" t="str">
        <f>$I$28&amp;"."&amp;$M$28&amp;"."&amp;$Q$28&amp;"."&amp;$U$28</f>
        <v>...</v>
      </c>
      <c r="AR28" s="36">
        <v>0</v>
      </c>
    </row>
    <row r="29" s="36" customFormat="1" ht="17.25" customHeight="1" spans="1:44">
      <c r="A29" s="453"/>
      <c r="D29" s="1276"/>
      <c r="E29" s="455"/>
      <c r="F29" s="458"/>
      <c r="G29" s="455"/>
      <c r="H29" s="506"/>
      <c r="I29" s="520"/>
      <c r="J29" s="521"/>
      <c r="K29" s="522"/>
      <c r="L29" s="522"/>
      <c r="M29" s="522"/>
      <c r="N29" s="523"/>
      <c r="O29" s="522"/>
      <c r="P29" s="522"/>
      <c r="Q29" s="522"/>
      <c r="R29" s="524"/>
      <c r="S29" s="522"/>
      <c r="T29" s="525"/>
      <c r="U29" s="525"/>
      <c r="V29" s="525"/>
      <c r="W29" s="540"/>
      <c r="X29" s="503"/>
      <c r="Y29" s="503"/>
      <c r="Z29" s="503"/>
      <c r="AA29" s="503"/>
      <c r="AB29" s="503"/>
      <c r="AC29" s="503"/>
      <c r="AD29" s="503"/>
      <c r="AE29" s="503"/>
      <c r="AF29" s="503"/>
      <c r="AG29" s="503"/>
      <c r="AH29" s="503"/>
      <c r="AI29" s="503"/>
      <c r="AJ29" s="503"/>
      <c r="AK29" s="503"/>
      <c r="AL29" s="503"/>
      <c r="AM29" s="503"/>
      <c r="AN29" s="503"/>
      <c r="AO29" s="503"/>
      <c r="AP29" s="503"/>
      <c r="AQ29" s="503"/>
      <c r="AR29" s="36">
        <v>0</v>
      </c>
    </row>
    <row r="30" s="36" customFormat="1" ht="17.25" customHeight="1" spans="1:44">
      <c r="A30" s="453"/>
      <c r="D30" s="22"/>
      <c r="E30" s="459"/>
      <c r="F30" s="458"/>
      <c r="G30" s="459"/>
      <c r="H30" s="506"/>
      <c r="I30" s="520"/>
      <c r="J30" s="452"/>
      <c r="K30" s="522"/>
      <c r="L30" s="522"/>
      <c r="M30" s="522"/>
      <c r="N30" s="524"/>
      <c r="O30" s="522"/>
      <c r="P30" s="522"/>
      <c r="Q30" s="525"/>
      <c r="R30" s="525"/>
      <c r="W30" s="540"/>
      <c r="X30" s="503"/>
      <c r="Y30" s="503"/>
      <c r="Z30" s="503"/>
      <c r="AA30" s="503"/>
      <c r="AB30" s="503"/>
      <c r="AC30" s="503"/>
      <c r="AD30" s="503"/>
      <c r="AE30" s="503"/>
      <c r="AF30" s="503"/>
      <c r="AG30" s="503"/>
      <c r="AH30" s="503"/>
      <c r="AI30" s="503"/>
      <c r="AJ30" s="503"/>
      <c r="AK30" s="503"/>
      <c r="AL30" s="503"/>
      <c r="AM30" s="503"/>
      <c r="AN30" s="503"/>
      <c r="AO30" s="503"/>
      <c r="AP30" s="503"/>
      <c r="AQ30" s="503"/>
      <c r="AR30" s="36">
        <v>0</v>
      </c>
    </row>
    <row r="31" s="36" customFormat="1" ht="17.25" customHeight="1" spans="1:44">
      <c r="A31" s="453"/>
      <c r="D31" s="22"/>
      <c r="E31" s="459"/>
      <c r="F31" s="458"/>
      <c r="G31" s="459"/>
      <c r="H31" s="506"/>
      <c r="I31" s="520"/>
      <c r="J31" s="452"/>
      <c r="K31" s="522"/>
      <c r="L31" s="525"/>
      <c r="M31" s="525"/>
      <c r="N31" s="525"/>
      <c r="O31" s="525"/>
      <c r="P31" s="525"/>
      <c r="Q31" s="525"/>
      <c r="R31" s="525"/>
      <c r="W31" s="540"/>
      <c r="X31" s="503"/>
      <c r="Y31" s="503"/>
      <c r="Z31" s="503"/>
      <c r="AA31" s="503"/>
      <c r="AB31" s="503"/>
      <c r="AC31" s="503"/>
      <c r="AD31" s="503"/>
      <c r="AE31" s="503"/>
      <c r="AF31" s="503"/>
      <c r="AG31" s="503"/>
      <c r="AH31" s="503"/>
      <c r="AI31" s="503"/>
      <c r="AJ31" s="503"/>
      <c r="AK31" s="503"/>
      <c r="AL31" s="503"/>
      <c r="AM31" s="503"/>
      <c r="AN31" s="503"/>
      <c r="AO31" s="503"/>
      <c r="AP31" s="503"/>
      <c r="AQ31" s="503"/>
      <c r="AR31" s="36">
        <v>0</v>
      </c>
    </row>
    <row r="32" s="36" customFormat="1" ht="17.25" customHeight="1" spans="1:44">
      <c r="A32" s="453"/>
      <c r="D32" s="22"/>
      <c r="E32" s="459"/>
      <c r="F32" s="461"/>
      <c r="G32" s="459"/>
      <c r="H32" s="507"/>
      <c r="I32" s="526"/>
      <c r="J32" s="526"/>
      <c r="K32" s="526"/>
      <c r="L32" s="526"/>
      <c r="M32" s="526"/>
      <c r="N32" s="526"/>
      <c r="O32" s="526"/>
      <c r="P32" s="526"/>
      <c r="Q32" s="526"/>
      <c r="R32" s="526"/>
      <c r="S32" s="541"/>
      <c r="T32" s="541"/>
      <c r="U32" s="541"/>
      <c r="V32" s="541"/>
      <c r="W32" s="542"/>
      <c r="X32" s="503"/>
      <c r="Y32" s="503"/>
      <c r="Z32" s="503"/>
      <c r="AA32" s="503"/>
      <c r="AB32" s="503"/>
      <c r="AC32" s="503"/>
      <c r="AD32" s="503"/>
      <c r="AE32" s="503"/>
      <c r="AF32" s="503"/>
      <c r="AG32" s="503"/>
      <c r="AH32" s="503"/>
      <c r="AI32" s="503"/>
      <c r="AJ32" s="503"/>
      <c r="AK32" s="503"/>
      <c r="AL32" s="503"/>
      <c r="AM32" s="503"/>
      <c r="AN32" s="503"/>
      <c r="AO32" s="503"/>
      <c r="AP32" s="503"/>
      <c r="AQ32" s="503"/>
      <c r="AR32" s="36">
        <v>0</v>
      </c>
    </row>
    <row r="33" s="36" customFormat="1" ht="17.25" customHeight="1" spans="1:44">
      <c r="A33" s="453"/>
      <c r="C33" s="217"/>
      <c r="D33" s="1276">
        <v>4</v>
      </c>
      <c r="E33" s="455" t="s">
        <v>170</v>
      </c>
      <c r="F33" s="456" t="s">
        <v>19</v>
      </c>
      <c r="G33" s="455"/>
      <c r="H33" s="505"/>
      <c r="I33" s="516"/>
      <c r="J33" s="517"/>
      <c r="K33" s="518"/>
      <c r="L33" s="518"/>
      <c r="M33" s="518"/>
      <c r="N33" s="519"/>
      <c r="O33" s="518"/>
      <c r="P33" s="518"/>
      <c r="Q33" s="518"/>
      <c r="R33" s="538"/>
      <c r="S33" s="518"/>
      <c r="T33" s="518"/>
      <c r="U33" s="518"/>
      <c r="V33" s="538"/>
      <c r="W33" s="539"/>
      <c r="X33" s="502"/>
      <c r="Y33" s="502"/>
      <c r="Z33" s="502"/>
      <c r="AA33" s="502"/>
      <c r="AB33" s="502"/>
      <c r="AC33" s="502" t="s">
        <v>171</v>
      </c>
      <c r="AD33" s="502" t="s">
        <v>172</v>
      </c>
      <c r="AE33" s="502" t="s">
        <v>173</v>
      </c>
      <c r="AF33" s="502" t="s">
        <v>174</v>
      </c>
      <c r="AG33" s="502" t="s">
        <v>175</v>
      </c>
      <c r="AH33" s="50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502" t="str">
        <f>IF($G$33=0,"",$G$33)</f>
        <v/>
      </c>
      <c r="AJ33" s="502" t="str">
        <f>IF($J$33=0,"",$J$33)</f>
        <v/>
      </c>
      <c r="AK33" s="502" t="str">
        <f>IF($K$33="нет","без дифференциации",IF($N$33=0,"",$N$33))</f>
        <v/>
      </c>
      <c r="AL33" s="502" t="str">
        <f>IF($O$33="нет","без дифференциации",IF($R$33=0,"",$R$33))</f>
        <v/>
      </c>
      <c r="AM33" s="502" t="str">
        <f>IF($S$33="нет","без дифференциации",IF($V$33=0,"",$V$33))</f>
        <v/>
      </c>
      <c r="AN33" s="1286">
        <f>$I$33</f>
        <v>0</v>
      </c>
      <c r="AO33" s="502" t="str">
        <f>$I$33&amp;"."&amp;$M$33</f>
        <v>.</v>
      </c>
      <c r="AP33" s="503" t="str">
        <f>$I$33&amp;"."&amp;$M$33&amp;"."&amp;$Q$33</f>
        <v>..</v>
      </c>
      <c r="AQ33" s="503" t="str">
        <f>$I$33&amp;"."&amp;$M$33&amp;"."&amp;$Q$33&amp;"."&amp;$U$33</f>
        <v>...</v>
      </c>
      <c r="AR33" s="36">
        <v>0</v>
      </c>
    </row>
    <row r="34" s="36" customFormat="1" ht="17.25" customHeight="1" spans="1:44">
      <c r="A34" s="453"/>
      <c r="D34" s="1276"/>
      <c r="E34" s="455"/>
      <c r="F34" s="458"/>
      <c r="G34" s="455"/>
      <c r="H34" s="506"/>
      <c r="I34" s="520"/>
      <c r="J34" s="521"/>
      <c r="K34" s="522"/>
      <c r="L34" s="522"/>
      <c r="M34" s="522"/>
      <c r="N34" s="523"/>
      <c r="O34" s="522"/>
      <c r="P34" s="522"/>
      <c r="Q34" s="522"/>
      <c r="R34" s="524"/>
      <c r="S34" s="522"/>
      <c r="T34" s="525"/>
      <c r="U34" s="525"/>
      <c r="V34" s="525"/>
      <c r="W34" s="540"/>
      <c r="X34" s="503"/>
      <c r="Y34" s="503"/>
      <c r="Z34" s="503"/>
      <c r="AA34" s="503"/>
      <c r="AB34" s="503"/>
      <c r="AC34" s="503"/>
      <c r="AD34" s="503"/>
      <c r="AE34" s="503"/>
      <c r="AF34" s="503"/>
      <c r="AG34" s="503"/>
      <c r="AH34" s="503"/>
      <c r="AI34" s="503"/>
      <c r="AJ34" s="503"/>
      <c r="AK34" s="503"/>
      <c r="AL34" s="503"/>
      <c r="AM34" s="503"/>
      <c r="AN34" s="503"/>
      <c r="AO34" s="503"/>
      <c r="AP34" s="503"/>
      <c r="AQ34" s="503"/>
      <c r="AR34" s="36">
        <v>0</v>
      </c>
    </row>
    <row r="35" s="36" customFormat="1" ht="17.25" customHeight="1" spans="1:44">
      <c r="A35" s="453"/>
      <c r="D35" s="22"/>
      <c r="E35" s="459"/>
      <c r="F35" s="458"/>
      <c r="G35" s="459"/>
      <c r="H35" s="506"/>
      <c r="I35" s="520"/>
      <c r="J35" s="452"/>
      <c r="K35" s="522"/>
      <c r="L35" s="522"/>
      <c r="M35" s="522"/>
      <c r="N35" s="524"/>
      <c r="O35" s="522"/>
      <c r="P35" s="522"/>
      <c r="Q35" s="525"/>
      <c r="R35" s="525"/>
      <c r="W35" s="540"/>
      <c r="X35" s="503"/>
      <c r="Y35" s="503"/>
      <c r="Z35" s="503"/>
      <c r="AA35" s="503"/>
      <c r="AB35" s="503"/>
      <c r="AC35" s="503"/>
      <c r="AD35" s="503"/>
      <c r="AE35" s="503"/>
      <c r="AF35" s="503"/>
      <c r="AG35" s="503"/>
      <c r="AH35" s="503"/>
      <c r="AI35" s="503"/>
      <c r="AJ35" s="503"/>
      <c r="AK35" s="503"/>
      <c r="AL35" s="503"/>
      <c r="AM35" s="503"/>
      <c r="AN35" s="503"/>
      <c r="AO35" s="503"/>
      <c r="AP35" s="503"/>
      <c r="AQ35" s="503"/>
      <c r="AR35" s="36">
        <v>0</v>
      </c>
    </row>
    <row r="36" s="36" customFormat="1" ht="17.25" customHeight="1" spans="1:44">
      <c r="A36" s="453"/>
      <c r="D36" s="22"/>
      <c r="E36" s="459"/>
      <c r="F36" s="458"/>
      <c r="G36" s="459"/>
      <c r="H36" s="506"/>
      <c r="I36" s="520"/>
      <c r="J36" s="452"/>
      <c r="K36" s="522"/>
      <c r="L36" s="525"/>
      <c r="M36" s="525"/>
      <c r="N36" s="525"/>
      <c r="O36" s="525"/>
      <c r="P36" s="525"/>
      <c r="Q36" s="525"/>
      <c r="R36" s="525"/>
      <c r="W36" s="540"/>
      <c r="X36" s="503"/>
      <c r="Y36" s="503"/>
      <c r="Z36" s="503"/>
      <c r="AA36" s="503"/>
      <c r="AB36" s="503"/>
      <c r="AC36" s="503"/>
      <c r="AD36" s="503"/>
      <c r="AE36" s="503"/>
      <c r="AF36" s="503"/>
      <c r="AG36" s="503"/>
      <c r="AH36" s="503"/>
      <c r="AI36" s="503"/>
      <c r="AJ36" s="503"/>
      <c r="AK36" s="503"/>
      <c r="AL36" s="503"/>
      <c r="AM36" s="503"/>
      <c r="AN36" s="503"/>
      <c r="AO36" s="503"/>
      <c r="AP36" s="503"/>
      <c r="AQ36" s="503"/>
      <c r="AR36" s="36">
        <v>0</v>
      </c>
    </row>
    <row r="37" s="36" customFormat="1" ht="17.25" customHeight="1" spans="1:44">
      <c r="A37" s="453"/>
      <c r="D37" s="22"/>
      <c r="E37" s="459"/>
      <c r="F37" s="461"/>
      <c r="G37" s="459"/>
      <c r="H37" s="507"/>
      <c r="I37" s="526"/>
      <c r="J37" s="526"/>
      <c r="K37" s="526"/>
      <c r="L37" s="526"/>
      <c r="M37" s="526"/>
      <c r="N37" s="526"/>
      <c r="O37" s="526"/>
      <c r="P37" s="526"/>
      <c r="Q37" s="526"/>
      <c r="R37" s="526"/>
      <c r="S37" s="541"/>
      <c r="T37" s="541"/>
      <c r="U37" s="541"/>
      <c r="V37" s="541"/>
      <c r="W37" s="542"/>
      <c r="X37" s="503"/>
      <c r="Y37" s="503"/>
      <c r="Z37" s="503"/>
      <c r="AA37" s="503"/>
      <c r="AB37" s="503"/>
      <c r="AC37" s="503"/>
      <c r="AD37" s="503"/>
      <c r="AE37" s="503"/>
      <c r="AF37" s="503"/>
      <c r="AG37" s="503"/>
      <c r="AH37" s="503"/>
      <c r="AI37" s="503"/>
      <c r="AJ37" s="503"/>
      <c r="AK37" s="503"/>
      <c r="AL37" s="503"/>
      <c r="AM37" s="503"/>
      <c r="AN37" s="503"/>
      <c r="AO37" s="503"/>
      <c r="AP37" s="503"/>
      <c r="AQ37" s="503"/>
      <c r="AR37" s="36">
        <v>0</v>
      </c>
    </row>
    <row r="38" s="36" customFormat="1" ht="17.25" customHeight="1" spans="1:44">
      <c r="A38" s="453"/>
      <c r="C38" s="217"/>
      <c r="D38" s="1276">
        <v>5</v>
      </c>
      <c r="E38" s="455" t="s">
        <v>176</v>
      </c>
      <c r="F38" s="456" t="s">
        <v>19</v>
      </c>
      <c r="G38" s="455"/>
      <c r="H38" s="505"/>
      <c r="I38" s="516"/>
      <c r="J38" s="517"/>
      <c r="K38" s="518"/>
      <c r="L38" s="518"/>
      <c r="M38" s="518"/>
      <c r="N38" s="519"/>
      <c r="O38" s="518"/>
      <c r="P38" s="518"/>
      <c r="Q38" s="518"/>
      <c r="R38" s="538"/>
      <c r="S38" s="518"/>
      <c r="T38" s="518"/>
      <c r="U38" s="518"/>
      <c r="V38" s="538"/>
      <c r="W38" s="539"/>
      <c r="X38" s="502"/>
      <c r="Y38" s="502"/>
      <c r="Z38" s="502"/>
      <c r="AA38" s="502"/>
      <c r="AB38" s="502"/>
      <c r="AC38" s="502" t="s">
        <v>177</v>
      </c>
      <c r="AD38" s="502" t="s">
        <v>178</v>
      </c>
      <c r="AE38" s="502" t="s">
        <v>179</v>
      </c>
      <c r="AF38" s="502" t="s">
        <v>180</v>
      </c>
      <c r="AG38" s="502" t="s">
        <v>181</v>
      </c>
      <c r="AH38" s="502" t="str">
        <f>IF($E$38=0,"",$E$38)</f>
        <v>Тарифы на услуги по передаче тепловой энергии</v>
      </c>
      <c r="AI38" s="502" t="str">
        <f>IF($G$38=0,"",$G$38)</f>
        <v/>
      </c>
      <c r="AJ38" s="502" t="str">
        <f>IF($J$38=0,"",$J$38)</f>
        <v/>
      </c>
      <c r="AK38" s="502" t="str">
        <f>IF($K$38="нет","без дифференциации",IF($N$38=0,"",$N$38))</f>
        <v/>
      </c>
      <c r="AL38" s="502" t="str">
        <f>IF($O$38="нет","без дифференциации",IF($R$38=0,"",$R$38))</f>
        <v/>
      </c>
      <c r="AM38" s="502" t="str">
        <f>IF($S$38="нет","без дифференциации",IF($V$38=0,"",$V$38))</f>
        <v/>
      </c>
      <c r="AN38" s="1286">
        <f>$I$38</f>
        <v>0</v>
      </c>
      <c r="AO38" s="502" t="str">
        <f>$I$38&amp;"."&amp;$M$38</f>
        <v>.</v>
      </c>
      <c r="AP38" s="503" t="str">
        <f>$I$38&amp;"."&amp;$M$38&amp;"."&amp;$Q$38</f>
        <v>..</v>
      </c>
      <c r="AQ38" s="503" t="str">
        <f>$I$38&amp;"."&amp;$M$38&amp;"."&amp;$Q$38&amp;"."&amp;$U$38</f>
        <v>...</v>
      </c>
      <c r="AR38" s="36">
        <v>0</v>
      </c>
    </row>
    <row r="39" s="36" customFormat="1" ht="17.25" customHeight="1" spans="1:44">
      <c r="A39" s="453"/>
      <c r="D39" s="1276"/>
      <c r="E39" s="455"/>
      <c r="F39" s="458"/>
      <c r="G39" s="455"/>
      <c r="H39" s="506"/>
      <c r="I39" s="520"/>
      <c r="J39" s="521"/>
      <c r="K39" s="522"/>
      <c r="L39" s="522"/>
      <c r="M39" s="522"/>
      <c r="N39" s="523"/>
      <c r="O39" s="522"/>
      <c r="P39" s="522"/>
      <c r="Q39" s="522"/>
      <c r="R39" s="524"/>
      <c r="S39" s="522"/>
      <c r="T39" s="525"/>
      <c r="U39" s="525"/>
      <c r="V39" s="525"/>
      <c r="W39" s="540"/>
      <c r="X39" s="503"/>
      <c r="Y39" s="503"/>
      <c r="Z39" s="503"/>
      <c r="AA39" s="503"/>
      <c r="AB39" s="503"/>
      <c r="AC39" s="503"/>
      <c r="AD39" s="503"/>
      <c r="AE39" s="503"/>
      <c r="AF39" s="503"/>
      <c r="AG39" s="503"/>
      <c r="AH39" s="503"/>
      <c r="AI39" s="503"/>
      <c r="AJ39" s="503"/>
      <c r="AK39" s="503"/>
      <c r="AL39" s="503"/>
      <c r="AM39" s="503"/>
      <c r="AN39" s="503"/>
      <c r="AO39" s="503"/>
      <c r="AP39" s="503"/>
      <c r="AQ39" s="503"/>
      <c r="AR39" s="36">
        <v>0</v>
      </c>
    </row>
    <row r="40" s="36" customFormat="1" ht="17.25" customHeight="1" spans="1:44">
      <c r="A40" s="453"/>
      <c r="D40" s="22"/>
      <c r="E40" s="459"/>
      <c r="F40" s="458"/>
      <c r="G40" s="459"/>
      <c r="H40" s="506"/>
      <c r="I40" s="520"/>
      <c r="J40" s="452"/>
      <c r="K40" s="522"/>
      <c r="L40" s="522"/>
      <c r="M40" s="522"/>
      <c r="N40" s="524"/>
      <c r="O40" s="522"/>
      <c r="P40" s="522"/>
      <c r="Q40" s="525"/>
      <c r="R40" s="525"/>
      <c r="W40" s="540"/>
      <c r="X40" s="503"/>
      <c r="Y40" s="503"/>
      <c r="Z40" s="503"/>
      <c r="AA40" s="503"/>
      <c r="AB40" s="503"/>
      <c r="AC40" s="503"/>
      <c r="AD40" s="503"/>
      <c r="AE40" s="503"/>
      <c r="AF40" s="503"/>
      <c r="AG40" s="503"/>
      <c r="AH40" s="503"/>
      <c r="AI40" s="503"/>
      <c r="AJ40" s="503"/>
      <c r="AK40" s="503"/>
      <c r="AL40" s="503"/>
      <c r="AM40" s="503"/>
      <c r="AN40" s="503"/>
      <c r="AO40" s="503"/>
      <c r="AP40" s="503"/>
      <c r="AQ40" s="503"/>
      <c r="AR40" s="36">
        <v>0</v>
      </c>
    </row>
    <row r="41" s="36" customFormat="1" ht="17.25" customHeight="1" spans="1:44">
      <c r="A41" s="453"/>
      <c r="D41" s="22"/>
      <c r="E41" s="459"/>
      <c r="F41" s="458"/>
      <c r="G41" s="459"/>
      <c r="H41" s="506"/>
      <c r="I41" s="520"/>
      <c r="J41" s="452"/>
      <c r="K41" s="522"/>
      <c r="L41" s="525"/>
      <c r="M41" s="525"/>
      <c r="N41" s="525"/>
      <c r="O41" s="525"/>
      <c r="P41" s="525"/>
      <c r="Q41" s="525"/>
      <c r="R41" s="525"/>
      <c r="W41" s="540"/>
      <c r="X41" s="503"/>
      <c r="Y41" s="503"/>
      <c r="Z41" s="503"/>
      <c r="AA41" s="503"/>
      <c r="AB41" s="503"/>
      <c r="AC41" s="503"/>
      <c r="AD41" s="503"/>
      <c r="AE41" s="503"/>
      <c r="AF41" s="503"/>
      <c r="AG41" s="503"/>
      <c r="AH41" s="503"/>
      <c r="AI41" s="503"/>
      <c r="AJ41" s="503"/>
      <c r="AK41" s="503"/>
      <c r="AL41" s="503"/>
      <c r="AM41" s="503"/>
      <c r="AN41" s="503"/>
      <c r="AO41" s="503"/>
      <c r="AP41" s="503"/>
      <c r="AQ41" s="503"/>
      <c r="AR41" s="36">
        <v>0</v>
      </c>
    </row>
    <row r="42" s="36" customFormat="1" ht="17.25" customHeight="1" spans="1:44">
      <c r="A42" s="453"/>
      <c r="D42" s="22"/>
      <c r="E42" s="459"/>
      <c r="F42" s="461"/>
      <c r="G42" s="459"/>
      <c r="H42" s="507"/>
      <c r="I42" s="526"/>
      <c r="J42" s="526"/>
      <c r="K42" s="526"/>
      <c r="L42" s="526"/>
      <c r="M42" s="526"/>
      <c r="N42" s="526"/>
      <c r="O42" s="526"/>
      <c r="P42" s="526"/>
      <c r="Q42" s="526"/>
      <c r="R42" s="526"/>
      <c r="S42" s="541"/>
      <c r="T42" s="541"/>
      <c r="U42" s="541"/>
      <c r="V42" s="541"/>
      <c r="W42" s="542"/>
      <c r="X42" s="503"/>
      <c r="Y42" s="503"/>
      <c r="Z42" s="503"/>
      <c r="AA42" s="503"/>
      <c r="AB42" s="503"/>
      <c r="AC42" s="503"/>
      <c r="AD42" s="503"/>
      <c r="AE42" s="503"/>
      <c r="AF42" s="503"/>
      <c r="AG42" s="503"/>
      <c r="AH42" s="503"/>
      <c r="AI42" s="503"/>
      <c r="AJ42" s="503"/>
      <c r="AK42" s="503"/>
      <c r="AL42" s="503"/>
      <c r="AM42" s="503"/>
      <c r="AN42" s="503"/>
      <c r="AO42" s="503"/>
      <c r="AP42" s="503"/>
      <c r="AQ42" s="503"/>
      <c r="AR42" s="36">
        <v>0</v>
      </c>
    </row>
    <row r="43" s="36" customFormat="1" ht="17.25" customHeight="1" spans="1:44">
      <c r="A43" s="453"/>
      <c r="C43" s="217"/>
      <c r="D43" s="1276">
        <v>6</v>
      </c>
      <c r="E43" s="455" t="s">
        <v>182</v>
      </c>
      <c r="F43" s="456" t="s">
        <v>19</v>
      </c>
      <c r="G43" s="455"/>
      <c r="H43" s="505"/>
      <c r="I43" s="516"/>
      <c r="J43" s="517"/>
      <c r="K43" s="518"/>
      <c r="L43" s="518"/>
      <c r="M43" s="518"/>
      <c r="N43" s="519"/>
      <c r="O43" s="518"/>
      <c r="P43" s="518"/>
      <c r="Q43" s="518"/>
      <c r="R43" s="538"/>
      <c r="S43" s="518"/>
      <c r="T43" s="518"/>
      <c r="U43" s="518"/>
      <c r="V43" s="538"/>
      <c r="W43" s="539"/>
      <c r="X43" s="502"/>
      <c r="Y43" s="502"/>
      <c r="Z43" s="502"/>
      <c r="AA43" s="502"/>
      <c r="AB43" s="502"/>
      <c r="AC43" s="502" t="s">
        <v>183</v>
      </c>
      <c r="AD43" s="502" t="s">
        <v>184</v>
      </c>
      <c r="AE43" s="502" t="s">
        <v>185</v>
      </c>
      <c r="AF43" s="502" t="s">
        <v>186</v>
      </c>
      <c r="AG43" s="502" t="s">
        <v>187</v>
      </c>
      <c r="AH43" s="502" t="str">
        <f>IF($E$43=0,"",$E$43)</f>
        <v>Тарифы на услуги по передаче теплоносителя</v>
      </c>
      <c r="AI43" s="502" t="str">
        <f>IF($G$43=0,"",$G$43)</f>
        <v/>
      </c>
      <c r="AJ43" s="502" t="str">
        <f>IF($J$43=0,"",$J$43)</f>
        <v/>
      </c>
      <c r="AK43" s="502" t="str">
        <f>IF($K$43="нет","без дифференциации",IF($N$43=0,"",$N$43))</f>
        <v/>
      </c>
      <c r="AL43" s="502" t="str">
        <f>IF($O$43="нет","без дифференциации",IF($R$43=0,"",$R$43))</f>
        <v/>
      </c>
      <c r="AM43" s="502" t="str">
        <f>IF($S$43="нет","без дифференциации",IF($V$43=0,"",$V$43))</f>
        <v/>
      </c>
      <c r="AN43" s="1286">
        <f>$I$43</f>
        <v>0</v>
      </c>
      <c r="AO43" s="502" t="str">
        <f>$I$43&amp;"."&amp;$M$43</f>
        <v>.</v>
      </c>
      <c r="AP43" s="503" t="str">
        <f>$I$43&amp;"."&amp;$M$43&amp;"."&amp;$Q$43</f>
        <v>..</v>
      </c>
      <c r="AQ43" s="503" t="str">
        <f>$I$43&amp;"."&amp;$M$43&amp;"."&amp;$Q$43&amp;"."&amp;$U$43</f>
        <v>...</v>
      </c>
      <c r="AR43" s="36">
        <v>0</v>
      </c>
    </row>
    <row r="44" s="36" customFormat="1" ht="17.25" customHeight="1" spans="1:44">
      <c r="A44" s="453"/>
      <c r="D44" s="1276"/>
      <c r="E44" s="455"/>
      <c r="F44" s="458"/>
      <c r="G44" s="455"/>
      <c r="H44" s="506"/>
      <c r="I44" s="520"/>
      <c r="J44" s="521"/>
      <c r="K44" s="522"/>
      <c r="L44" s="522"/>
      <c r="M44" s="522"/>
      <c r="N44" s="523"/>
      <c r="O44" s="522"/>
      <c r="P44" s="522"/>
      <c r="Q44" s="522"/>
      <c r="R44" s="524"/>
      <c r="S44" s="522"/>
      <c r="T44" s="525"/>
      <c r="U44" s="525"/>
      <c r="V44" s="525"/>
      <c r="W44" s="540"/>
      <c r="X44" s="503"/>
      <c r="Y44" s="503"/>
      <c r="Z44" s="503"/>
      <c r="AA44" s="503"/>
      <c r="AB44" s="503"/>
      <c r="AC44" s="503"/>
      <c r="AD44" s="503"/>
      <c r="AE44" s="503"/>
      <c r="AF44" s="503"/>
      <c r="AG44" s="503"/>
      <c r="AH44" s="503"/>
      <c r="AI44" s="503"/>
      <c r="AJ44" s="503"/>
      <c r="AK44" s="503"/>
      <c r="AL44" s="503"/>
      <c r="AM44" s="503"/>
      <c r="AN44" s="503"/>
      <c r="AO44" s="503"/>
      <c r="AP44" s="503"/>
      <c r="AQ44" s="503"/>
      <c r="AR44" s="36">
        <v>0</v>
      </c>
    </row>
    <row r="45" s="36" customFormat="1" ht="17.25" customHeight="1" spans="1:44">
      <c r="A45" s="453"/>
      <c r="D45" s="22"/>
      <c r="E45" s="459"/>
      <c r="F45" s="458"/>
      <c r="G45" s="459"/>
      <c r="H45" s="506"/>
      <c r="I45" s="520"/>
      <c r="J45" s="452"/>
      <c r="K45" s="522"/>
      <c r="L45" s="522"/>
      <c r="M45" s="522"/>
      <c r="N45" s="524"/>
      <c r="O45" s="522"/>
      <c r="P45" s="522"/>
      <c r="Q45" s="525"/>
      <c r="R45" s="525"/>
      <c r="W45" s="540"/>
      <c r="X45" s="503"/>
      <c r="Y45" s="503"/>
      <c r="Z45" s="503"/>
      <c r="AA45" s="503"/>
      <c r="AB45" s="503"/>
      <c r="AC45" s="503"/>
      <c r="AD45" s="503"/>
      <c r="AE45" s="503"/>
      <c r="AF45" s="503"/>
      <c r="AG45" s="503"/>
      <c r="AH45" s="503"/>
      <c r="AI45" s="503"/>
      <c r="AJ45" s="503"/>
      <c r="AK45" s="503"/>
      <c r="AL45" s="503"/>
      <c r="AM45" s="503"/>
      <c r="AN45" s="503"/>
      <c r="AO45" s="503"/>
      <c r="AP45" s="503"/>
      <c r="AQ45" s="503"/>
      <c r="AR45" s="36">
        <v>0</v>
      </c>
    </row>
    <row r="46" s="36" customFormat="1" ht="17.25" customHeight="1" spans="1:44">
      <c r="A46" s="453"/>
      <c r="C46" s="217"/>
      <c r="D46" s="22"/>
      <c r="E46" s="459"/>
      <c r="F46" s="458"/>
      <c r="G46" s="459"/>
      <c r="H46" s="506"/>
      <c r="I46" s="520"/>
      <c r="J46" s="452"/>
      <c r="K46" s="522"/>
      <c r="L46" s="525"/>
      <c r="M46" s="525"/>
      <c r="N46" s="525"/>
      <c r="O46" s="525"/>
      <c r="P46" s="525"/>
      <c r="Q46" s="525"/>
      <c r="R46" s="525"/>
      <c r="W46" s="540"/>
      <c r="Y46" s="502"/>
      <c r="Z46" s="502"/>
      <c r="AA46" s="502"/>
      <c r="AB46" s="502"/>
      <c r="AC46" s="502"/>
      <c r="AD46" s="502"/>
      <c r="AE46" s="502"/>
      <c r="AF46" s="502"/>
      <c r="AG46" s="502"/>
      <c r="AH46" s="502"/>
      <c r="AI46" s="502"/>
      <c r="AJ46" s="502"/>
      <c r="AK46" s="502"/>
      <c r="AL46" s="502"/>
      <c r="AM46" s="502"/>
      <c r="AN46" s="502"/>
      <c r="AO46" s="502"/>
      <c r="AP46" s="502"/>
      <c r="AQ46" s="502"/>
      <c r="AR46" s="36">
        <v>0</v>
      </c>
    </row>
    <row r="47" s="36" customFormat="1" ht="17.25" customHeight="1" spans="1:44">
      <c r="A47" s="453"/>
      <c r="D47" s="22"/>
      <c r="E47" s="459"/>
      <c r="F47" s="461"/>
      <c r="G47" s="459"/>
      <c r="H47" s="507"/>
      <c r="I47" s="526"/>
      <c r="J47" s="526"/>
      <c r="K47" s="526"/>
      <c r="L47" s="526"/>
      <c r="M47" s="526"/>
      <c r="N47" s="526"/>
      <c r="O47" s="526"/>
      <c r="P47" s="526"/>
      <c r="Q47" s="526"/>
      <c r="R47" s="526"/>
      <c r="S47" s="541"/>
      <c r="T47" s="541"/>
      <c r="U47" s="541"/>
      <c r="V47" s="541"/>
      <c r="W47" s="542"/>
      <c r="X47" s="503"/>
      <c r="Y47" s="503"/>
      <c r="Z47" s="503"/>
      <c r="AA47" s="503"/>
      <c r="AB47" s="503"/>
      <c r="AC47" s="503"/>
      <c r="AD47" s="503"/>
      <c r="AE47" s="503"/>
      <c r="AF47" s="503"/>
      <c r="AG47" s="503"/>
      <c r="AH47" s="503"/>
      <c r="AI47" s="503"/>
      <c r="AJ47" s="503"/>
      <c r="AK47" s="503"/>
      <c r="AL47" s="503"/>
      <c r="AM47" s="503"/>
      <c r="AN47" s="503"/>
      <c r="AO47" s="503"/>
      <c r="AP47" s="503"/>
      <c r="AQ47" s="503"/>
      <c r="AR47" s="36">
        <v>0</v>
      </c>
    </row>
    <row r="48" s="36" customFormat="1" ht="17.25" customHeight="1" spans="1:44">
      <c r="A48" s="453"/>
      <c r="C48" s="217"/>
      <c r="D48" s="1279">
        <v>7</v>
      </c>
      <c r="E48" s="583" t="s">
        <v>188</v>
      </c>
      <c r="F48" s="456" t="s">
        <v>19</v>
      </c>
      <c r="G48" s="583"/>
      <c r="H48" s="505"/>
      <c r="I48" s="516"/>
      <c r="J48" s="517"/>
      <c r="K48" s="518"/>
      <c r="L48" s="518"/>
      <c r="M48" s="518"/>
      <c r="N48" s="519"/>
      <c r="O48" s="518"/>
      <c r="P48" s="518"/>
      <c r="Q48" s="518"/>
      <c r="R48" s="538"/>
      <c r="S48" s="518"/>
      <c r="T48" s="518"/>
      <c r="U48" s="518"/>
      <c r="V48" s="538"/>
      <c r="W48" s="539"/>
      <c r="X48" s="502"/>
      <c r="Y48" s="502"/>
      <c r="Z48" s="502"/>
      <c r="AA48" s="502"/>
      <c r="AB48" s="502"/>
      <c r="AC48" s="502" t="s">
        <v>189</v>
      </c>
      <c r="AD48" s="502" t="s">
        <v>190</v>
      </c>
      <c r="AE48" s="502" t="s">
        <v>191</v>
      </c>
      <c r="AF48" s="502" t="s">
        <v>192</v>
      </c>
      <c r="AG48" s="502" t="s">
        <v>193</v>
      </c>
      <c r="AH48" s="502" t="str">
        <f>IF($E$48=0,"",$E$48)</f>
        <v>Плата за услуги по поддержанию резервной тепловой мощности при отсутствии потребления тепловой энергии</v>
      </c>
      <c r="AI48" s="502" t="str">
        <f>IF($G$48=0,"",$G$48)</f>
        <v/>
      </c>
      <c r="AJ48" s="502" t="str">
        <f>IF($J$48=0,"",$J$48)</f>
        <v/>
      </c>
      <c r="AK48" s="502" t="str">
        <f>IF($K$48="нет","без дифференциации",IF($N$48=0,"",$N$48))</f>
        <v/>
      </c>
      <c r="AL48" s="502" t="str">
        <f>IF($O$48="нет","без дифференциации",IF($R$48=0,"",$R$48))</f>
        <v/>
      </c>
      <c r="AM48" s="502" t="str">
        <f>IF($S$48="нет","без дифференциации",IF($V$48=0,"",$V$48))</f>
        <v/>
      </c>
      <c r="AN48" s="1286">
        <f>$I$48</f>
        <v>0</v>
      </c>
      <c r="AO48" s="502" t="str">
        <f>$I$48&amp;"."&amp;$M$48</f>
        <v>.</v>
      </c>
      <c r="AP48" s="503" t="str">
        <f>$I$48&amp;"."&amp;$M$48&amp;"."&amp;$Q$48</f>
        <v>..</v>
      </c>
      <c r="AQ48" s="503" t="str">
        <f>$I$48&amp;"."&amp;$M$48&amp;"."&amp;$Q$48&amp;"."&amp;$U$48</f>
        <v>...</v>
      </c>
      <c r="AR48" s="36">
        <v>0</v>
      </c>
    </row>
    <row r="49" s="36" customFormat="1" ht="17.25" customHeight="1" spans="1:44">
      <c r="A49" s="453"/>
      <c r="D49" s="1280"/>
      <c r="E49" s="779"/>
      <c r="F49" s="458"/>
      <c r="G49" s="779"/>
      <c r="H49" s="506"/>
      <c r="I49" s="520"/>
      <c r="J49" s="521"/>
      <c r="K49" s="522"/>
      <c r="L49" s="522"/>
      <c r="M49" s="522"/>
      <c r="N49" s="523"/>
      <c r="O49" s="522"/>
      <c r="P49" s="522"/>
      <c r="Q49" s="522"/>
      <c r="R49" s="524"/>
      <c r="S49" s="522"/>
      <c r="T49" s="525"/>
      <c r="U49" s="525"/>
      <c r="V49" s="525"/>
      <c r="W49" s="540"/>
      <c r="X49" s="503"/>
      <c r="Y49" s="503"/>
      <c r="Z49" s="503"/>
      <c r="AA49" s="503"/>
      <c r="AB49" s="503"/>
      <c r="AC49" s="503"/>
      <c r="AD49" s="503"/>
      <c r="AE49" s="503"/>
      <c r="AF49" s="503"/>
      <c r="AG49" s="503"/>
      <c r="AH49" s="503"/>
      <c r="AI49" s="503"/>
      <c r="AJ49" s="503"/>
      <c r="AK49" s="503"/>
      <c r="AL49" s="503"/>
      <c r="AM49" s="503"/>
      <c r="AN49" s="503"/>
      <c r="AO49" s="503"/>
      <c r="AP49" s="503"/>
      <c r="AQ49" s="503"/>
      <c r="AR49" s="36">
        <v>0</v>
      </c>
    </row>
    <row r="50" s="36" customFormat="1" ht="17.25" customHeight="1" spans="1:44">
      <c r="A50" s="453"/>
      <c r="D50" s="1280"/>
      <c r="E50" s="779"/>
      <c r="F50" s="458"/>
      <c r="G50" s="779"/>
      <c r="H50" s="506"/>
      <c r="I50" s="520"/>
      <c r="J50" s="452"/>
      <c r="K50" s="522"/>
      <c r="L50" s="522"/>
      <c r="M50" s="522"/>
      <c r="N50" s="524"/>
      <c r="O50" s="522"/>
      <c r="P50" s="522"/>
      <c r="Q50" s="525"/>
      <c r="R50" s="525"/>
      <c r="W50" s="540"/>
      <c r="X50" s="503"/>
      <c r="Y50" s="503"/>
      <c r="Z50" s="503"/>
      <c r="AA50" s="503"/>
      <c r="AB50" s="503"/>
      <c r="AC50" s="503"/>
      <c r="AD50" s="503"/>
      <c r="AE50" s="503"/>
      <c r="AF50" s="503"/>
      <c r="AG50" s="503"/>
      <c r="AH50" s="503"/>
      <c r="AI50" s="503"/>
      <c r="AJ50" s="503"/>
      <c r="AK50" s="503"/>
      <c r="AL50" s="503"/>
      <c r="AM50" s="503"/>
      <c r="AN50" s="503"/>
      <c r="AO50" s="503"/>
      <c r="AP50" s="503"/>
      <c r="AQ50" s="503"/>
      <c r="AR50" s="36">
        <v>0</v>
      </c>
    </row>
    <row r="51" s="36" customFormat="1" ht="17.25" customHeight="1" spans="1:44">
      <c r="A51" s="453"/>
      <c r="C51" s="217"/>
      <c r="D51" s="1280"/>
      <c r="E51" s="779"/>
      <c r="F51" s="458"/>
      <c r="G51" s="779"/>
      <c r="H51" s="506"/>
      <c r="I51" s="520"/>
      <c r="J51" s="452"/>
      <c r="K51" s="522"/>
      <c r="L51" s="525"/>
      <c r="M51" s="525"/>
      <c r="N51" s="525"/>
      <c r="O51" s="525"/>
      <c r="P51" s="525"/>
      <c r="Q51" s="525"/>
      <c r="R51" s="525"/>
      <c r="W51" s="540"/>
      <c r="Y51" s="502"/>
      <c r="Z51" s="502"/>
      <c r="AA51" s="502"/>
      <c r="AB51" s="502"/>
      <c r="AC51" s="502"/>
      <c r="AD51" s="502"/>
      <c r="AE51" s="502"/>
      <c r="AF51" s="502"/>
      <c r="AG51" s="502"/>
      <c r="AH51" s="502"/>
      <c r="AI51" s="502"/>
      <c r="AJ51" s="502"/>
      <c r="AK51" s="502"/>
      <c r="AL51" s="502"/>
      <c r="AM51" s="502"/>
      <c r="AN51" s="502"/>
      <c r="AO51" s="502"/>
      <c r="AP51" s="502"/>
      <c r="AQ51" s="502"/>
      <c r="AR51" s="36">
        <v>0</v>
      </c>
    </row>
    <row r="52" s="36" customFormat="1" ht="17.25" customHeight="1" spans="1:44">
      <c r="A52" s="453"/>
      <c r="D52" s="1281"/>
      <c r="E52" s="584"/>
      <c r="F52" s="461"/>
      <c r="G52" s="584"/>
      <c r="H52" s="507"/>
      <c r="I52" s="526"/>
      <c r="J52" s="526"/>
      <c r="K52" s="526"/>
      <c r="L52" s="526"/>
      <c r="M52" s="526"/>
      <c r="N52" s="526"/>
      <c r="O52" s="526"/>
      <c r="P52" s="526"/>
      <c r="Q52" s="526"/>
      <c r="R52" s="526"/>
      <c r="S52" s="541"/>
      <c r="T52" s="541"/>
      <c r="U52" s="541"/>
      <c r="V52" s="541"/>
      <c r="W52" s="542"/>
      <c r="X52" s="503"/>
      <c r="Y52" s="503"/>
      <c r="Z52" s="503"/>
      <c r="AA52" s="503"/>
      <c r="AB52" s="503"/>
      <c r="AC52" s="503"/>
      <c r="AD52" s="503"/>
      <c r="AE52" s="503"/>
      <c r="AF52" s="503"/>
      <c r="AG52" s="503"/>
      <c r="AH52" s="503"/>
      <c r="AI52" s="503"/>
      <c r="AJ52" s="503"/>
      <c r="AK52" s="503"/>
      <c r="AL52" s="503"/>
      <c r="AM52" s="503"/>
      <c r="AN52" s="503"/>
      <c r="AO52" s="503"/>
      <c r="AP52" s="503"/>
      <c r="AQ52" s="503"/>
      <c r="AR52" s="36">
        <v>0</v>
      </c>
    </row>
    <row r="53" s="36" customFormat="1" ht="17.25" customHeight="1" spans="1:44">
      <c r="A53" s="453"/>
      <c r="C53" s="217"/>
      <c r="D53" s="1276">
        <v>8</v>
      </c>
      <c r="E53" s="455" t="s">
        <v>194</v>
      </c>
      <c r="F53" s="456" t="s">
        <v>19</v>
      </c>
      <c r="G53" s="455"/>
      <c r="H53" s="505"/>
      <c r="I53" s="516"/>
      <c r="J53" s="517"/>
      <c r="K53" s="518"/>
      <c r="L53" s="518"/>
      <c r="M53" s="518"/>
      <c r="N53" s="519"/>
      <c r="O53" s="518"/>
      <c r="P53" s="518"/>
      <c r="Q53" s="518"/>
      <c r="R53" s="538"/>
      <c r="S53" s="518"/>
      <c r="T53" s="518"/>
      <c r="U53" s="518"/>
      <c r="V53" s="538"/>
      <c r="W53" s="539"/>
      <c r="X53" s="502"/>
      <c r="Y53" s="502"/>
      <c r="Z53" s="502"/>
      <c r="AA53" s="502"/>
      <c r="AB53" s="502"/>
      <c r="AC53" s="502" t="s">
        <v>195</v>
      </c>
      <c r="AD53" s="502" t="s">
        <v>196</v>
      </c>
      <c r="AE53" s="502" t="s">
        <v>197</v>
      </c>
      <c r="AF53" s="502" t="s">
        <v>198</v>
      </c>
      <c r="AG53" s="502" t="s">
        <v>199</v>
      </c>
      <c r="AH53" s="502" t="str">
        <f>IF($E$53=0,"",$E$53)</f>
        <v>Плата за подключение (технологическое присоединение) к системе теплоснабжения</v>
      </c>
      <c r="AI53" s="502" t="str">
        <f>IF($G$53=0,"",$G$53)</f>
        <v/>
      </c>
      <c r="AJ53" s="502" t="str">
        <f>IF($J$53=0,"",$J$53)</f>
        <v/>
      </c>
      <c r="AK53" s="502" t="str">
        <f>IF($K$53="нет","без дифференциации",IF($N$53=0,"",$N$53))</f>
        <v/>
      </c>
      <c r="AL53" s="502" t="str">
        <f>IF($O$53="нет","без дифференциации",IF($R$53=0,"",$R$53))</f>
        <v/>
      </c>
      <c r="AM53" s="502" t="str">
        <f>IF($S$53="нет","без дифференциации",IF($V$53=0,"",$V$53))</f>
        <v/>
      </c>
      <c r="AN53" s="1286">
        <f>$I$53</f>
        <v>0</v>
      </c>
      <c r="AO53" s="502" t="str">
        <f>$I$53&amp;"."&amp;$M$53</f>
        <v>.</v>
      </c>
      <c r="AP53" s="503" t="str">
        <f>$I$53&amp;"."&amp;$M$53&amp;"."&amp;$Q$53</f>
        <v>..</v>
      </c>
      <c r="AQ53" s="503" t="str">
        <f>$I$53&amp;"."&amp;$M$53&amp;"."&amp;$Q$53&amp;"."&amp;$U$53</f>
        <v>...</v>
      </c>
      <c r="AR53" s="36">
        <v>0</v>
      </c>
    </row>
    <row r="54" s="36" customFormat="1" ht="17.25" customHeight="1" spans="1:44">
      <c r="A54" s="453"/>
      <c r="D54" s="1276"/>
      <c r="E54" s="455"/>
      <c r="F54" s="458"/>
      <c r="G54" s="455"/>
      <c r="H54" s="506"/>
      <c r="I54" s="520"/>
      <c r="J54" s="521"/>
      <c r="K54" s="522"/>
      <c r="L54" s="522"/>
      <c r="M54" s="522"/>
      <c r="N54" s="523"/>
      <c r="O54" s="522"/>
      <c r="P54" s="522"/>
      <c r="Q54" s="522"/>
      <c r="R54" s="524"/>
      <c r="S54" s="522"/>
      <c r="T54" s="525"/>
      <c r="U54" s="525"/>
      <c r="V54" s="525"/>
      <c r="W54" s="540"/>
      <c r="X54" s="503"/>
      <c r="Y54" s="503"/>
      <c r="Z54" s="503"/>
      <c r="AA54" s="503"/>
      <c r="AB54" s="503"/>
      <c r="AC54" s="503"/>
      <c r="AD54" s="503"/>
      <c r="AE54" s="503"/>
      <c r="AF54" s="503"/>
      <c r="AG54" s="503"/>
      <c r="AH54" s="503"/>
      <c r="AI54" s="503"/>
      <c r="AJ54" s="503"/>
      <c r="AK54" s="503"/>
      <c r="AL54" s="503"/>
      <c r="AM54" s="503"/>
      <c r="AN54" s="503"/>
      <c r="AO54" s="503"/>
      <c r="AP54" s="503"/>
      <c r="AQ54" s="503"/>
      <c r="AR54" s="36">
        <v>0</v>
      </c>
    </row>
    <row r="55" s="36" customFormat="1" ht="17.25" customHeight="1" spans="1:44">
      <c r="A55" s="453"/>
      <c r="D55" s="22"/>
      <c r="E55" s="459"/>
      <c r="F55" s="458"/>
      <c r="G55" s="459"/>
      <c r="H55" s="506"/>
      <c r="I55" s="520"/>
      <c r="J55" s="452"/>
      <c r="K55" s="522"/>
      <c r="L55" s="522"/>
      <c r="M55" s="522"/>
      <c r="N55" s="524"/>
      <c r="O55" s="522"/>
      <c r="P55" s="522"/>
      <c r="Q55" s="525"/>
      <c r="R55" s="525"/>
      <c r="W55" s="540"/>
      <c r="X55" s="503"/>
      <c r="Y55" s="503"/>
      <c r="Z55" s="503"/>
      <c r="AA55" s="503"/>
      <c r="AB55" s="503"/>
      <c r="AC55" s="503"/>
      <c r="AD55" s="503"/>
      <c r="AE55" s="503"/>
      <c r="AF55" s="503"/>
      <c r="AG55" s="503"/>
      <c r="AH55" s="503"/>
      <c r="AI55" s="503"/>
      <c r="AJ55" s="503"/>
      <c r="AK55" s="503"/>
      <c r="AL55" s="503"/>
      <c r="AM55" s="503"/>
      <c r="AN55" s="503"/>
      <c r="AO55" s="503"/>
      <c r="AP55" s="503"/>
      <c r="AQ55" s="503"/>
      <c r="AR55" s="36">
        <v>0</v>
      </c>
    </row>
    <row r="56" s="36" customFormat="1" ht="17.25" customHeight="1" spans="1:44">
      <c r="A56" s="453"/>
      <c r="C56" s="217"/>
      <c r="D56" s="22"/>
      <c r="E56" s="459"/>
      <c r="F56" s="458"/>
      <c r="G56" s="459"/>
      <c r="H56" s="506"/>
      <c r="I56" s="520"/>
      <c r="J56" s="452"/>
      <c r="K56" s="522"/>
      <c r="L56" s="525"/>
      <c r="M56" s="525"/>
      <c r="N56" s="525"/>
      <c r="O56" s="525"/>
      <c r="P56" s="525"/>
      <c r="Q56" s="525"/>
      <c r="R56" s="525"/>
      <c r="W56" s="540"/>
      <c r="Y56" s="502"/>
      <c r="Z56" s="502"/>
      <c r="AA56" s="502"/>
      <c r="AB56" s="502"/>
      <c r="AC56" s="502"/>
      <c r="AD56" s="502"/>
      <c r="AE56" s="502"/>
      <c r="AF56" s="502"/>
      <c r="AG56" s="502"/>
      <c r="AH56" s="502"/>
      <c r="AI56" s="502"/>
      <c r="AJ56" s="502"/>
      <c r="AK56" s="502"/>
      <c r="AL56" s="502"/>
      <c r="AM56" s="502"/>
      <c r="AN56" s="502"/>
      <c r="AO56" s="502"/>
      <c r="AP56" s="502"/>
      <c r="AQ56" s="502"/>
      <c r="AR56" s="36">
        <v>0</v>
      </c>
    </row>
    <row r="57" s="36" customFormat="1" ht="17.25" customHeight="1" spans="1:44">
      <c r="A57" s="453"/>
      <c r="D57" s="22"/>
      <c r="E57" s="459"/>
      <c r="F57" s="461"/>
      <c r="G57" s="459"/>
      <c r="H57" s="507"/>
      <c r="I57" s="526"/>
      <c r="J57" s="526"/>
      <c r="K57" s="526"/>
      <c r="L57" s="526"/>
      <c r="M57" s="526"/>
      <c r="N57" s="526"/>
      <c r="O57" s="526"/>
      <c r="P57" s="526"/>
      <c r="Q57" s="526"/>
      <c r="R57" s="526"/>
      <c r="S57" s="541"/>
      <c r="T57" s="541"/>
      <c r="U57" s="541"/>
      <c r="V57" s="541"/>
      <c r="W57" s="542"/>
      <c r="X57" s="503"/>
      <c r="Y57" s="503"/>
      <c r="Z57" s="503"/>
      <c r="AA57" s="503"/>
      <c r="AB57" s="503"/>
      <c r="AC57" s="503"/>
      <c r="AD57" s="503"/>
      <c r="AE57" s="503"/>
      <c r="AF57" s="503"/>
      <c r="AG57" s="503"/>
      <c r="AH57" s="503"/>
      <c r="AI57" s="503"/>
      <c r="AJ57" s="503"/>
      <c r="AK57" s="503"/>
      <c r="AL57" s="503"/>
      <c r="AM57" s="503"/>
      <c r="AN57" s="503"/>
      <c r="AO57" s="503"/>
      <c r="AP57" s="503"/>
      <c r="AQ57" s="503"/>
      <c r="AR57" s="36">
        <v>0</v>
      </c>
    </row>
    <row r="58" s="36" customFormat="1" ht="17.25" customHeight="1" spans="1:44">
      <c r="A58" s="453"/>
      <c r="C58" s="217"/>
      <c r="D58" s="1276">
        <v>9</v>
      </c>
      <c r="E58" s="455" t="s">
        <v>200</v>
      </c>
      <c r="F58" s="456" t="s">
        <v>19</v>
      </c>
      <c r="G58" s="455"/>
      <c r="H58" s="505"/>
      <c r="I58" s="516"/>
      <c r="J58" s="517"/>
      <c r="K58" s="518"/>
      <c r="L58" s="518"/>
      <c r="M58" s="518"/>
      <c r="N58" s="519"/>
      <c r="O58" s="518"/>
      <c r="P58" s="518"/>
      <c r="Q58" s="518"/>
      <c r="R58" s="538"/>
      <c r="S58" s="518"/>
      <c r="T58" s="518"/>
      <c r="U58" s="518"/>
      <c r="V58" s="538"/>
      <c r="W58" s="539"/>
      <c r="X58" s="502"/>
      <c r="Y58" s="502"/>
      <c r="Z58" s="502"/>
      <c r="AA58" s="502"/>
      <c r="AB58" s="502"/>
      <c r="AC58" s="502" t="s">
        <v>201</v>
      </c>
      <c r="AD58" s="502" t="s">
        <v>202</v>
      </c>
      <c r="AE58" s="502" t="s">
        <v>203</v>
      </c>
      <c r="AF58" s="502" t="s">
        <v>204</v>
      </c>
      <c r="AG58" s="502" t="s">
        <v>205</v>
      </c>
      <c r="AH58" s="502" t="str">
        <f>IF($E$58=0,"",$E$58)</f>
        <v>Плата за подключение (технологическое присоединение) к системе теплоснабжения (индивидуальная)</v>
      </c>
      <c r="AI58" s="502" t="str">
        <f>IF($G$58=0,"",$G$58)</f>
        <v/>
      </c>
      <c r="AJ58" s="502" t="str">
        <f>IF($J$58=0,"",$J$58)</f>
        <v/>
      </c>
      <c r="AK58" s="502" t="str">
        <f>IF($K$58="нет","без дифференциации",IF($N$58=0,"",$N$58))</f>
        <v/>
      </c>
      <c r="AL58" s="502" t="str">
        <f>IF($O$58="нет","без дифференциации",IF($R$58=0,"",$R$58))</f>
        <v/>
      </c>
      <c r="AM58" s="502" t="str">
        <f>IF($S$58="нет","без дифференциации",IF($V$58=0,"",$V$58))</f>
        <v/>
      </c>
      <c r="AN58" s="1286">
        <f>$I$58</f>
        <v>0</v>
      </c>
      <c r="AO58" s="502" t="str">
        <f>$I$58&amp;"."&amp;$M$58</f>
        <v>.</v>
      </c>
      <c r="AP58" s="503" t="str">
        <f>$I$58&amp;"."&amp;$M$58&amp;"."&amp;$Q$58</f>
        <v>..</v>
      </c>
      <c r="AQ58" s="503" t="str">
        <f>$I$58&amp;"."&amp;$M$58&amp;"."&amp;$Q$58&amp;"."&amp;$U$58</f>
        <v>...</v>
      </c>
      <c r="AR58" s="36">
        <v>0</v>
      </c>
    </row>
    <row r="59" s="36" customFormat="1" ht="17.25" customHeight="1" spans="1:44">
      <c r="A59" s="453"/>
      <c r="D59" s="1276"/>
      <c r="E59" s="455"/>
      <c r="F59" s="458"/>
      <c r="G59" s="455"/>
      <c r="H59" s="506"/>
      <c r="I59" s="520"/>
      <c r="J59" s="521"/>
      <c r="K59" s="522"/>
      <c r="L59" s="522"/>
      <c r="M59" s="522"/>
      <c r="N59" s="523"/>
      <c r="O59" s="522"/>
      <c r="P59" s="522"/>
      <c r="Q59" s="522"/>
      <c r="R59" s="524"/>
      <c r="S59" s="522"/>
      <c r="T59" s="525"/>
      <c r="U59" s="525"/>
      <c r="V59" s="525"/>
      <c r="W59" s="540"/>
      <c r="X59" s="503"/>
      <c r="Y59" s="503"/>
      <c r="Z59" s="503"/>
      <c r="AA59" s="503"/>
      <c r="AB59" s="503"/>
      <c r="AC59" s="503"/>
      <c r="AD59" s="503"/>
      <c r="AE59" s="503"/>
      <c r="AF59" s="503"/>
      <c r="AG59" s="503"/>
      <c r="AH59" s="503"/>
      <c r="AI59" s="503"/>
      <c r="AJ59" s="503"/>
      <c r="AK59" s="503"/>
      <c r="AL59" s="503"/>
      <c r="AM59" s="503"/>
      <c r="AN59" s="503"/>
      <c r="AO59" s="503"/>
      <c r="AP59" s="503"/>
      <c r="AQ59" s="503"/>
      <c r="AR59" s="36">
        <v>0</v>
      </c>
    </row>
    <row r="60" s="36" customFormat="1" ht="17.25" customHeight="1" spans="1:44">
      <c r="A60" s="453"/>
      <c r="D60" s="22"/>
      <c r="E60" s="459"/>
      <c r="F60" s="458"/>
      <c r="G60" s="459"/>
      <c r="H60" s="506"/>
      <c r="I60" s="520"/>
      <c r="J60" s="452"/>
      <c r="K60" s="522"/>
      <c r="L60" s="522"/>
      <c r="M60" s="522"/>
      <c r="N60" s="524"/>
      <c r="O60" s="522"/>
      <c r="P60" s="522"/>
      <c r="Q60" s="525"/>
      <c r="R60" s="525"/>
      <c r="W60" s="540"/>
      <c r="X60" s="503"/>
      <c r="Y60" s="503"/>
      <c r="Z60" s="503"/>
      <c r="AA60" s="503"/>
      <c r="AB60" s="503"/>
      <c r="AC60" s="503"/>
      <c r="AD60" s="503"/>
      <c r="AE60" s="503"/>
      <c r="AF60" s="503"/>
      <c r="AG60" s="503"/>
      <c r="AH60" s="503"/>
      <c r="AI60" s="503"/>
      <c r="AJ60" s="503"/>
      <c r="AK60" s="503"/>
      <c r="AL60" s="503"/>
      <c r="AM60" s="503"/>
      <c r="AN60" s="503"/>
      <c r="AO60" s="503"/>
      <c r="AP60" s="503"/>
      <c r="AQ60" s="503"/>
      <c r="AR60" s="36">
        <v>0</v>
      </c>
    </row>
    <row r="61" s="36" customFormat="1" ht="17.25" customHeight="1" spans="1:44">
      <c r="A61" s="453"/>
      <c r="C61" s="217"/>
      <c r="D61" s="22"/>
      <c r="E61" s="459"/>
      <c r="F61" s="458"/>
      <c r="G61" s="459"/>
      <c r="H61" s="506"/>
      <c r="I61" s="520"/>
      <c r="J61" s="452"/>
      <c r="K61" s="522"/>
      <c r="L61" s="525"/>
      <c r="M61" s="525"/>
      <c r="N61" s="525"/>
      <c r="O61" s="525"/>
      <c r="P61" s="525"/>
      <c r="Q61" s="525"/>
      <c r="R61" s="525"/>
      <c r="W61" s="540"/>
      <c r="Y61" s="502"/>
      <c r="Z61" s="502"/>
      <c r="AA61" s="502"/>
      <c r="AB61" s="502"/>
      <c r="AC61" s="502"/>
      <c r="AD61" s="502"/>
      <c r="AE61" s="502"/>
      <c r="AF61" s="502"/>
      <c r="AG61" s="502"/>
      <c r="AH61" s="502"/>
      <c r="AI61" s="502"/>
      <c r="AJ61" s="502"/>
      <c r="AK61" s="502"/>
      <c r="AL61" s="502"/>
      <c r="AM61" s="502"/>
      <c r="AN61" s="502"/>
      <c r="AO61" s="502"/>
      <c r="AP61" s="502"/>
      <c r="AQ61" s="502"/>
      <c r="AR61" s="36">
        <v>0</v>
      </c>
    </row>
    <row r="62" s="36" customFormat="1" ht="17.25" customHeight="1" spans="1:44">
      <c r="A62" s="453"/>
      <c r="D62" s="22"/>
      <c r="E62" s="459"/>
      <c r="F62" s="461"/>
      <c r="G62" s="459"/>
      <c r="H62" s="507"/>
      <c r="I62" s="526"/>
      <c r="J62" s="526"/>
      <c r="K62" s="526"/>
      <c r="L62" s="526"/>
      <c r="M62" s="526"/>
      <c r="N62" s="526"/>
      <c r="O62" s="526"/>
      <c r="P62" s="526"/>
      <c r="Q62" s="526"/>
      <c r="R62" s="526"/>
      <c r="S62" s="541"/>
      <c r="T62" s="541"/>
      <c r="U62" s="541"/>
      <c r="V62" s="541"/>
      <c r="W62" s="542"/>
      <c r="X62" s="503"/>
      <c r="Y62" s="503"/>
      <c r="Z62" s="503"/>
      <c r="AA62" s="503"/>
      <c r="AB62" s="503"/>
      <c r="AC62" s="503"/>
      <c r="AD62" s="503"/>
      <c r="AE62" s="503"/>
      <c r="AF62" s="503"/>
      <c r="AG62" s="503"/>
      <c r="AH62" s="503"/>
      <c r="AI62" s="503"/>
      <c r="AJ62" s="503"/>
      <c r="AK62" s="503"/>
      <c r="AL62" s="503"/>
      <c r="AM62" s="503"/>
      <c r="AN62" s="503"/>
      <c r="AO62" s="503"/>
      <c r="AP62" s="503"/>
      <c r="AQ62" s="503"/>
      <c r="AR62" s="36">
        <v>0</v>
      </c>
    </row>
    <row r="63" s="36" customFormat="1" ht="17.25" customHeight="1" spans="1:44">
      <c r="A63" s="453"/>
      <c r="C63" s="217"/>
      <c r="D63" s="1276">
        <v>10</v>
      </c>
      <c r="E63" s="455" t="s">
        <v>206</v>
      </c>
      <c r="F63" s="456" t="s">
        <v>19</v>
      </c>
      <c r="G63" s="455"/>
      <c r="H63" s="505"/>
      <c r="I63" s="516"/>
      <c r="J63" s="517"/>
      <c r="K63" s="518"/>
      <c r="L63" s="518"/>
      <c r="M63" s="518"/>
      <c r="N63" s="519"/>
      <c r="O63" s="518"/>
      <c r="P63" s="518"/>
      <c r="Q63" s="518"/>
      <c r="R63" s="538"/>
      <c r="S63" s="518"/>
      <c r="T63" s="518"/>
      <c r="U63" s="518"/>
      <c r="V63" s="538"/>
      <c r="W63" s="539"/>
      <c r="X63" s="502"/>
      <c r="Y63" s="502"/>
      <c r="Z63" s="502"/>
      <c r="AA63" s="502"/>
      <c r="AB63" s="502"/>
      <c r="AC63" s="502" t="s">
        <v>207</v>
      </c>
      <c r="AD63" s="502" t="s">
        <v>208</v>
      </c>
      <c r="AE63" s="502" t="s">
        <v>209</v>
      </c>
      <c r="AF63" s="502" t="s">
        <v>210</v>
      </c>
      <c r="AG63" s="502" t="s">
        <v>211</v>
      </c>
      <c r="AH63" s="502" t="str">
        <f>IF($E$63=0,"",$E$63)</f>
        <v>Предельный уровень цены на тепловую энергию (мощность), поставляемую теплоснабжающими организациями потребителям</v>
      </c>
      <c r="AI63" s="502" t="str">
        <f>IF($G$63=0,"",$G$63)</f>
        <v/>
      </c>
      <c r="AJ63" s="502" t="str">
        <f>IF($J$63=0,"",$J$63)</f>
        <v/>
      </c>
      <c r="AK63" s="502" t="str">
        <f>IF($K$63="нет","без дифференциации",IF($N$63=0,"",$N$63))</f>
        <v/>
      </c>
      <c r="AL63" s="502" t="str">
        <f>IF($O$63="нет","без дифференциации",IF($R$63=0,"",$R$63))</f>
        <v/>
      </c>
      <c r="AM63" s="502" t="str">
        <f>IF($S$63="нет","без дифференциации",IF($V$63=0,"",$V$63))</f>
        <v/>
      </c>
      <c r="AN63" s="1286">
        <f>$I$63</f>
        <v>0</v>
      </c>
      <c r="AO63" s="502" t="str">
        <f>$I$63&amp;"."&amp;$M$63</f>
        <v>.</v>
      </c>
      <c r="AP63" s="503" t="str">
        <f>$I$63&amp;"."&amp;$M$63&amp;"."&amp;$Q$63</f>
        <v>..</v>
      </c>
      <c r="AQ63" s="503" t="str">
        <f>$I$63&amp;"."&amp;$M$63&amp;"."&amp;$Q$63&amp;"."&amp;$U$63</f>
        <v>...</v>
      </c>
      <c r="AR63" s="36">
        <v>0</v>
      </c>
    </row>
    <row r="64" s="36" customFormat="1" ht="17.25" customHeight="1" spans="1:44">
      <c r="A64" s="453"/>
      <c r="D64" s="1276"/>
      <c r="E64" s="455"/>
      <c r="F64" s="458"/>
      <c r="G64" s="455"/>
      <c r="H64" s="506"/>
      <c r="I64" s="520"/>
      <c r="J64" s="521"/>
      <c r="K64" s="522"/>
      <c r="L64" s="522"/>
      <c r="M64" s="522"/>
      <c r="N64" s="523"/>
      <c r="O64" s="522"/>
      <c r="P64" s="522"/>
      <c r="Q64" s="522"/>
      <c r="R64" s="524"/>
      <c r="S64" s="522"/>
      <c r="T64" s="525"/>
      <c r="U64" s="525"/>
      <c r="V64" s="525"/>
      <c r="W64" s="540"/>
      <c r="X64" s="503"/>
      <c r="Y64" s="503"/>
      <c r="Z64" s="503"/>
      <c r="AA64" s="503"/>
      <c r="AB64" s="503"/>
      <c r="AC64" s="503"/>
      <c r="AD64" s="503"/>
      <c r="AE64" s="503"/>
      <c r="AF64" s="503"/>
      <c r="AG64" s="503"/>
      <c r="AH64" s="503"/>
      <c r="AI64" s="503"/>
      <c r="AJ64" s="503"/>
      <c r="AK64" s="503"/>
      <c r="AL64" s="503"/>
      <c r="AM64" s="503"/>
      <c r="AN64" s="503"/>
      <c r="AO64" s="503"/>
      <c r="AP64" s="503"/>
      <c r="AQ64" s="503"/>
      <c r="AR64" s="36">
        <v>0</v>
      </c>
    </row>
    <row r="65" s="36" customFormat="1" ht="17.25" customHeight="1" spans="1:44">
      <c r="A65" s="453"/>
      <c r="D65" s="22"/>
      <c r="E65" s="459"/>
      <c r="F65" s="458"/>
      <c r="G65" s="459"/>
      <c r="H65" s="506"/>
      <c r="I65" s="520"/>
      <c r="J65" s="452"/>
      <c r="K65" s="522"/>
      <c r="L65" s="522"/>
      <c r="M65" s="522"/>
      <c r="N65" s="524"/>
      <c r="O65" s="522"/>
      <c r="P65" s="522"/>
      <c r="Q65" s="525"/>
      <c r="R65" s="525"/>
      <c r="W65" s="540"/>
      <c r="X65" s="503"/>
      <c r="Y65" s="503"/>
      <c r="Z65" s="503"/>
      <c r="AA65" s="503"/>
      <c r="AB65" s="503"/>
      <c r="AC65" s="503"/>
      <c r="AD65" s="503"/>
      <c r="AE65" s="503"/>
      <c r="AF65" s="503"/>
      <c r="AG65" s="503"/>
      <c r="AH65" s="503"/>
      <c r="AI65" s="503"/>
      <c r="AJ65" s="503"/>
      <c r="AK65" s="503"/>
      <c r="AL65" s="503"/>
      <c r="AM65" s="503"/>
      <c r="AN65" s="503"/>
      <c r="AO65" s="503"/>
      <c r="AP65" s="503"/>
      <c r="AQ65" s="503"/>
      <c r="AR65" s="36">
        <v>0</v>
      </c>
    </row>
    <row r="66" s="36" customFormat="1" ht="17.25" customHeight="1" spans="1:44">
      <c r="A66" s="453"/>
      <c r="C66" s="217"/>
      <c r="D66" s="22"/>
      <c r="E66" s="459"/>
      <c r="F66" s="458"/>
      <c r="G66" s="459"/>
      <c r="H66" s="506"/>
      <c r="I66" s="520"/>
      <c r="J66" s="452"/>
      <c r="K66" s="522"/>
      <c r="L66" s="525"/>
      <c r="M66" s="525"/>
      <c r="N66" s="525"/>
      <c r="O66" s="525"/>
      <c r="P66" s="525"/>
      <c r="Q66" s="525"/>
      <c r="R66" s="525"/>
      <c r="W66" s="540"/>
      <c r="Y66" s="502"/>
      <c r="Z66" s="502"/>
      <c r="AA66" s="502"/>
      <c r="AB66" s="502"/>
      <c r="AC66" s="502"/>
      <c r="AD66" s="502"/>
      <c r="AE66" s="502"/>
      <c r="AF66" s="502"/>
      <c r="AG66" s="502"/>
      <c r="AH66" s="502"/>
      <c r="AI66" s="502"/>
      <c r="AJ66" s="502"/>
      <c r="AK66" s="502"/>
      <c r="AL66" s="502"/>
      <c r="AM66" s="502"/>
      <c r="AN66" s="502"/>
      <c r="AO66" s="502"/>
      <c r="AP66" s="502"/>
      <c r="AQ66" s="502"/>
      <c r="AR66" s="36">
        <v>0</v>
      </c>
    </row>
    <row r="67" s="36" customFormat="1" ht="17.25" customHeight="1" spans="1:44">
      <c r="A67" s="453"/>
      <c r="D67" s="22"/>
      <c r="E67" s="459"/>
      <c r="F67" s="461"/>
      <c r="G67" s="459"/>
      <c r="H67" s="507"/>
      <c r="I67" s="526"/>
      <c r="J67" s="526"/>
      <c r="K67" s="526"/>
      <c r="L67" s="526"/>
      <c r="M67" s="526"/>
      <c r="N67" s="526"/>
      <c r="O67" s="526"/>
      <c r="P67" s="526"/>
      <c r="Q67" s="526"/>
      <c r="R67" s="526"/>
      <c r="S67" s="541"/>
      <c r="T67" s="541"/>
      <c r="U67" s="541"/>
      <c r="V67" s="541"/>
      <c r="W67" s="542"/>
      <c r="X67" s="503"/>
      <c r="Y67" s="503"/>
      <c r="Z67" s="503"/>
      <c r="AA67" s="503"/>
      <c r="AB67" s="503"/>
      <c r="AC67" s="503"/>
      <c r="AD67" s="503"/>
      <c r="AE67" s="503"/>
      <c r="AF67" s="503"/>
      <c r="AG67" s="503"/>
      <c r="AH67" s="503"/>
      <c r="AI67" s="503"/>
      <c r="AJ67" s="503"/>
      <c r="AK67" s="503"/>
      <c r="AL67" s="503"/>
      <c r="AM67" s="503"/>
      <c r="AN67" s="503"/>
      <c r="AO67" s="503"/>
      <c r="AP67" s="503"/>
      <c r="AQ67" s="503"/>
      <c r="AR67" s="36">
        <v>0</v>
      </c>
    </row>
    <row r="68" customHeight="1" spans="44:44">
      <c r="AR68" s="36">
        <v>0</v>
      </c>
    </row>
    <row r="69" customHeight="1" spans="5:44">
      <c r="E69" s="1182" t="s">
        <v>212</v>
      </c>
      <c r="F69" s="1182"/>
      <c r="G69" s="1182"/>
      <c r="H69" s="1182"/>
      <c r="I69" s="1182"/>
      <c r="J69" s="1182"/>
      <c r="K69" s="1182"/>
      <c r="L69" s="1182"/>
      <c r="M69" s="1182"/>
      <c r="N69" s="1182"/>
      <c r="O69" s="1182"/>
      <c r="P69" s="1182"/>
      <c r="Q69" s="1182"/>
      <c r="R69" s="1182"/>
      <c r="S69" s="1182"/>
      <c r="T69" s="1182"/>
      <c r="U69" s="1182"/>
      <c r="V69" s="1182"/>
      <c r="W69" s="1182"/>
      <c r="AR69" s="36">
        <v>0</v>
      </c>
    </row>
    <row r="70" ht="36.75" customHeight="1" spans="5:44">
      <c r="E70" s="1419" t="s">
        <v>213</v>
      </c>
      <c r="F70" s="1287"/>
      <c r="G70" s="1287"/>
      <c r="H70" s="1287"/>
      <c r="I70" s="1287"/>
      <c r="J70" s="1287"/>
      <c r="K70" s="1287"/>
      <c r="L70" s="1287"/>
      <c r="M70" s="1287"/>
      <c r="N70" s="1287"/>
      <c r="O70" s="1287"/>
      <c r="P70" s="1287"/>
      <c r="Q70" s="1287"/>
      <c r="R70" s="1287"/>
      <c r="S70" s="1287"/>
      <c r="T70" s="1287"/>
      <c r="U70" s="1287"/>
      <c r="V70" s="1287"/>
      <c r="W70" s="1287"/>
      <c r="AR70" s="36">
        <v>0</v>
      </c>
    </row>
    <row r="71" ht="28.5" customHeight="1" spans="5:44">
      <c r="E71" s="1419" t="s">
        <v>214</v>
      </c>
      <c r="F71" s="1287"/>
      <c r="G71" s="1287"/>
      <c r="H71" s="1287"/>
      <c r="I71" s="1287"/>
      <c r="J71" s="1287"/>
      <c r="K71" s="1287"/>
      <c r="L71" s="1287"/>
      <c r="M71" s="1287"/>
      <c r="N71" s="1287"/>
      <c r="O71" s="1287"/>
      <c r="P71" s="1287"/>
      <c r="Q71" s="1287"/>
      <c r="R71" s="1287"/>
      <c r="S71" s="1287"/>
      <c r="T71" s="1287"/>
      <c r="U71" s="1287"/>
      <c r="V71" s="1287"/>
      <c r="W71" s="1287"/>
      <c r="AR71" s="36">
        <v>0</v>
      </c>
    </row>
    <row r="72" ht="27" customHeight="1" spans="5:44">
      <c r="E72" s="1419" t="s">
        <v>215</v>
      </c>
      <c r="F72" s="1287"/>
      <c r="G72" s="1287"/>
      <c r="H72" s="1287"/>
      <c r="I72" s="1287"/>
      <c r="J72" s="1287"/>
      <c r="K72" s="1287"/>
      <c r="L72" s="1287"/>
      <c r="M72" s="1287"/>
      <c r="N72" s="1287"/>
      <c r="O72" s="1287"/>
      <c r="P72" s="1287"/>
      <c r="Q72" s="1287"/>
      <c r="R72" s="1287"/>
      <c r="S72" s="1287"/>
      <c r="T72" s="1287"/>
      <c r="U72" s="1287"/>
      <c r="V72" s="1287"/>
      <c r="W72" s="1287"/>
      <c r="AR72" s="36">
        <v>0</v>
      </c>
    </row>
    <row r="73" ht="17.25" customHeight="1" spans="5:44">
      <c r="E73" s="1419" t="s">
        <v>216</v>
      </c>
      <c r="F73" s="1287"/>
      <c r="G73" s="1287"/>
      <c r="H73" s="1287"/>
      <c r="I73" s="1287"/>
      <c r="J73" s="1287"/>
      <c r="K73" s="1287"/>
      <c r="L73" s="1287"/>
      <c r="M73" s="1287"/>
      <c r="N73" s="1287"/>
      <c r="O73" s="1287"/>
      <c r="P73" s="1287"/>
      <c r="Q73" s="1287"/>
      <c r="R73" s="1287"/>
      <c r="S73" s="1287"/>
      <c r="T73" s="1287"/>
      <c r="U73" s="1287"/>
      <c r="V73" s="1287"/>
      <c r="W73" s="1287"/>
      <c r="AR73" s="36">
        <v>0</v>
      </c>
    </row>
    <row r="74" ht="15" customHeight="1" spans="5:44">
      <c r="E74" s="1182"/>
      <c r="F74" s="1182"/>
      <c r="G74" s="1288"/>
      <c r="H74" s="1288"/>
      <c r="I74" s="1288"/>
      <c r="J74" s="1288"/>
      <c r="K74" s="1288"/>
      <c r="L74" s="1288"/>
      <c r="M74" s="1288"/>
      <c r="N74" s="1288"/>
      <c r="O74" s="1288"/>
      <c r="P74" s="1288"/>
      <c r="Q74" s="1288"/>
      <c r="R74" s="1288"/>
      <c r="S74" s="1288"/>
      <c r="T74" s="1288"/>
      <c r="U74" s="1288"/>
      <c r="V74" s="1288"/>
      <c r="W74" s="1288"/>
      <c r="AR74" s="36">
        <v>0</v>
      </c>
    </row>
    <row r="75" ht="15" customHeight="1" spans="5:44">
      <c r="E75" s="1182" t="s">
        <v>217</v>
      </c>
      <c r="F75" s="1182"/>
      <c r="G75" s="1182"/>
      <c r="H75" s="1182"/>
      <c r="I75" s="1182"/>
      <c r="J75" s="1182"/>
      <c r="K75" s="1182"/>
      <c r="L75" s="1182"/>
      <c r="M75" s="1182"/>
      <c r="N75" s="1182"/>
      <c r="O75" s="1182"/>
      <c r="P75" s="1182"/>
      <c r="Q75" s="1182"/>
      <c r="R75" s="1182"/>
      <c r="S75" s="1182"/>
      <c r="T75" s="1182"/>
      <c r="U75" s="1182"/>
      <c r="V75" s="1182"/>
      <c r="W75" s="1182"/>
      <c r="AR75" s="36">
        <v>0</v>
      </c>
    </row>
    <row r="76" ht="17.25" customHeight="1" spans="5:44">
      <c r="E76" s="1419" t="s">
        <v>218</v>
      </c>
      <c r="F76" s="1287"/>
      <c r="G76" s="1287"/>
      <c r="H76" s="1287"/>
      <c r="I76" s="1287"/>
      <c r="J76" s="1287"/>
      <c r="K76" s="1287"/>
      <c r="L76" s="1287"/>
      <c r="M76" s="1287"/>
      <c r="N76" s="1287"/>
      <c r="O76" s="1287"/>
      <c r="P76" s="1287"/>
      <c r="Q76" s="1287"/>
      <c r="R76" s="1287"/>
      <c r="S76" s="1287"/>
      <c r="T76" s="1287"/>
      <c r="U76" s="1287"/>
      <c r="V76" s="1287"/>
      <c r="W76" s="1287"/>
      <c r="AR76" s="36">
        <v>0</v>
      </c>
    </row>
    <row r="77" ht="17.25" customHeight="1" spans="5:44">
      <c r="E77" s="1419" t="s">
        <v>219</v>
      </c>
      <c r="F77" s="1287"/>
      <c r="G77" s="1287"/>
      <c r="H77" s="1287"/>
      <c r="I77" s="1287"/>
      <c r="J77" s="1287"/>
      <c r="K77" s="1287"/>
      <c r="L77" s="1287"/>
      <c r="M77" s="1287"/>
      <c r="N77" s="1287"/>
      <c r="O77" s="1287"/>
      <c r="P77" s="1287"/>
      <c r="Q77" s="1287"/>
      <c r="R77" s="1287"/>
      <c r="S77" s="1287"/>
      <c r="T77" s="1287"/>
      <c r="U77" s="1287"/>
      <c r="V77" s="1287"/>
      <c r="W77" s="1287"/>
      <c r="AR77" s="36">
        <v>0</v>
      </c>
    </row>
    <row r="78" s="36" customFormat="1" customHeight="1" spans="1:44">
      <c r="A78" s="151"/>
      <c r="B78" s="151"/>
      <c r="Y78" s="503"/>
      <c r="Z78" s="503"/>
      <c r="AA78" s="503"/>
      <c r="AB78" s="503"/>
      <c r="AC78" s="503"/>
      <c r="AD78" s="503"/>
      <c r="AE78" s="503"/>
      <c r="AF78" s="503"/>
      <c r="AG78" s="503"/>
      <c r="AH78" s="503"/>
      <c r="AI78" s="503"/>
      <c r="AJ78" s="503"/>
      <c r="AK78" s="503"/>
      <c r="AL78" s="503"/>
      <c r="AM78" s="503"/>
      <c r="AN78" s="503"/>
      <c r="AO78" s="503"/>
      <c r="AP78" s="503"/>
      <c r="AQ78" s="503"/>
      <c r="AR78" s="36">
        <v>0</v>
      </c>
    </row>
    <row r="79" s="36" customFormat="1" ht="17.25" customHeight="1" spans="1:44">
      <c r="A79" s="453"/>
      <c r="C79" s="217"/>
      <c r="D79" s="1276">
        <v>1</v>
      </c>
      <c r="E79" s="455" t="s">
        <v>220</v>
      </c>
      <c r="F79" s="456" t="s">
        <v>19</v>
      </c>
      <c r="G79" s="455"/>
      <c r="H79" s="505"/>
      <c r="I79" s="516"/>
      <c r="J79" s="517"/>
      <c r="K79" s="518"/>
      <c r="L79" s="518"/>
      <c r="M79" s="518"/>
      <c r="N79" s="519"/>
      <c r="O79" s="518"/>
      <c r="P79" s="518"/>
      <c r="Q79" s="518"/>
      <c r="R79" s="538"/>
      <c r="S79" s="518"/>
      <c r="T79" s="518"/>
      <c r="U79" s="518"/>
      <c r="V79" s="538"/>
      <c r="W79" s="539"/>
      <c r="Y79" s="502"/>
      <c r="Z79" s="502"/>
      <c r="AA79" s="502"/>
      <c r="AB79" s="502"/>
      <c r="AC79" s="502" t="s">
        <v>221</v>
      </c>
      <c r="AD79" s="502" t="s">
        <v>222</v>
      </c>
      <c r="AE79" s="502" t="s">
        <v>223</v>
      </c>
      <c r="AF79" s="502" t="s">
        <v>224</v>
      </c>
      <c r="AG79" s="502"/>
      <c r="AH79" s="502" t="str">
        <f>IF($E$79=0,"",$E$79)</f>
        <v>Тариф на питьевую воду (питьевое водоснабжение)</v>
      </c>
      <c r="AI79" s="502" t="str">
        <f>IF($G$79=0,"",$G$79)</f>
        <v/>
      </c>
      <c r="AJ79" s="502" t="str">
        <f>IF($J$79=0,"",$J$79)</f>
        <v/>
      </c>
      <c r="AK79" s="502" t="str">
        <f>IF($K$79="нет","без дифференциации",IF($N$79=0,"",$N$79))</f>
        <v/>
      </c>
      <c r="AL79" s="502" t="str">
        <f>IF($O$79="нет","без дифференциации",IF($R$79=0,"",$R$79))</f>
        <v/>
      </c>
      <c r="AM79" s="502" t="str">
        <f>IF($S$79="нет","без дифференциации",IF($V$79=0,"",$V$79))</f>
        <v/>
      </c>
      <c r="AN79" s="502">
        <f>$I$79</f>
        <v>0</v>
      </c>
      <c r="AO79" s="502" t="str">
        <f>$I$79&amp;"."&amp;$M$79</f>
        <v>.</v>
      </c>
      <c r="AP79" s="502" t="str">
        <f>$I$79&amp;"."&amp;$M$79&amp;"."&amp;$Q$79</f>
        <v>..</v>
      </c>
      <c r="AQ79" s="502" t="str">
        <f>$I$79&amp;"."&amp;$M$79&amp;"."&amp;$Q$79&amp;"."&amp;$U$79</f>
        <v>...</v>
      </c>
      <c r="AR79" s="36">
        <v>0</v>
      </c>
    </row>
    <row r="80" s="36" customFormat="1" ht="17.25" customHeight="1" spans="1:44">
      <c r="A80" s="453"/>
      <c r="D80" s="1276"/>
      <c r="E80" s="455"/>
      <c r="F80" s="458"/>
      <c r="G80" s="455"/>
      <c r="H80" s="506"/>
      <c r="I80" s="520"/>
      <c r="J80" s="521"/>
      <c r="K80" s="522"/>
      <c r="L80" s="522"/>
      <c r="M80" s="522"/>
      <c r="N80" s="523"/>
      <c r="O80" s="522"/>
      <c r="P80" s="522"/>
      <c r="Q80" s="522"/>
      <c r="R80" s="524"/>
      <c r="S80" s="522"/>
      <c r="T80" s="525"/>
      <c r="U80" s="525"/>
      <c r="V80" s="525"/>
      <c r="W80" s="540"/>
      <c r="Y80" s="503"/>
      <c r="Z80" s="503"/>
      <c r="AA80" s="503"/>
      <c r="AB80" s="503"/>
      <c r="AC80" s="503"/>
      <c r="AD80" s="503"/>
      <c r="AE80" s="503"/>
      <c r="AF80" s="503"/>
      <c r="AG80" s="503"/>
      <c r="AH80" s="503"/>
      <c r="AI80" s="503"/>
      <c r="AJ80" s="503"/>
      <c r="AK80" s="503"/>
      <c r="AL80" s="503"/>
      <c r="AM80" s="503"/>
      <c r="AN80" s="503"/>
      <c r="AO80" s="503"/>
      <c r="AP80" s="503"/>
      <c r="AQ80" s="503"/>
      <c r="AR80" s="36">
        <v>0</v>
      </c>
    </row>
    <row r="81" s="36" customFormat="1" ht="17.25" customHeight="1" spans="1:44">
      <c r="A81" s="453"/>
      <c r="C81" s="217"/>
      <c r="D81" s="1276"/>
      <c r="E81" s="455"/>
      <c r="F81" s="458"/>
      <c r="G81" s="455"/>
      <c r="H81" s="506"/>
      <c r="I81" s="520"/>
      <c r="J81" s="452"/>
      <c r="K81" s="522"/>
      <c r="L81" s="522"/>
      <c r="M81" s="522"/>
      <c r="N81" s="524"/>
      <c r="O81" s="522"/>
      <c r="P81" s="522"/>
      <c r="Q81" s="525"/>
      <c r="R81" s="525"/>
      <c r="W81" s="540"/>
      <c r="Y81" s="502"/>
      <c r="Z81" s="502"/>
      <c r="AA81" s="502"/>
      <c r="AB81" s="502"/>
      <c r="AC81" s="502"/>
      <c r="AD81" s="502"/>
      <c r="AE81" s="502"/>
      <c r="AF81" s="502"/>
      <c r="AG81" s="502"/>
      <c r="AH81" s="502"/>
      <c r="AI81" s="502"/>
      <c r="AJ81" s="502"/>
      <c r="AK81" s="502"/>
      <c r="AL81" s="502"/>
      <c r="AM81" s="502"/>
      <c r="AN81" s="502"/>
      <c r="AO81" s="502"/>
      <c r="AP81" s="502"/>
      <c r="AQ81" s="502"/>
      <c r="AR81" s="36">
        <v>0</v>
      </c>
    </row>
    <row r="82" s="36" customFormat="1" ht="17.25" customHeight="1" spans="1:44">
      <c r="A82" s="453"/>
      <c r="D82" s="1276"/>
      <c r="E82" s="455"/>
      <c r="F82" s="458"/>
      <c r="G82" s="455"/>
      <c r="H82" s="506"/>
      <c r="I82" s="520"/>
      <c r="J82" s="452"/>
      <c r="K82" s="522"/>
      <c r="L82" s="525"/>
      <c r="M82" s="525"/>
      <c r="N82" s="525"/>
      <c r="O82" s="525"/>
      <c r="P82" s="525"/>
      <c r="Q82" s="525"/>
      <c r="R82" s="525"/>
      <c r="W82" s="540"/>
      <c r="Y82" s="503"/>
      <c r="Z82" s="503"/>
      <c r="AA82" s="503"/>
      <c r="AB82" s="503"/>
      <c r="AC82" s="503"/>
      <c r="AD82" s="503"/>
      <c r="AE82" s="503"/>
      <c r="AF82" s="503"/>
      <c r="AG82" s="503"/>
      <c r="AH82" s="503"/>
      <c r="AI82" s="503"/>
      <c r="AJ82" s="503"/>
      <c r="AK82" s="503"/>
      <c r="AL82" s="503"/>
      <c r="AM82" s="503"/>
      <c r="AN82" s="503"/>
      <c r="AO82" s="503"/>
      <c r="AP82" s="503"/>
      <c r="AQ82" s="503"/>
      <c r="AR82" s="36">
        <v>0</v>
      </c>
    </row>
    <row r="83" s="36" customFormat="1" ht="17.25" customHeight="1" spans="1:44">
      <c r="A83" s="453"/>
      <c r="D83" s="22"/>
      <c r="E83" s="459"/>
      <c r="F83" s="461"/>
      <c r="G83" s="459"/>
      <c r="H83" s="507"/>
      <c r="I83" s="526"/>
      <c r="J83" s="526"/>
      <c r="K83" s="526"/>
      <c r="L83" s="526"/>
      <c r="M83" s="526"/>
      <c r="N83" s="526"/>
      <c r="O83" s="526"/>
      <c r="P83" s="526"/>
      <c r="Q83" s="526"/>
      <c r="R83" s="526"/>
      <c r="S83" s="541"/>
      <c r="T83" s="541"/>
      <c r="U83" s="541"/>
      <c r="V83" s="541"/>
      <c r="W83" s="542"/>
      <c r="Y83" s="503"/>
      <c r="Z83" s="503"/>
      <c r="AA83" s="503"/>
      <c r="AB83" s="503"/>
      <c r="AC83" s="503"/>
      <c r="AD83" s="503"/>
      <c r="AE83" s="503"/>
      <c r="AF83" s="503"/>
      <c r="AG83" s="503"/>
      <c r="AH83" s="503"/>
      <c r="AI83" s="503"/>
      <c r="AJ83" s="503"/>
      <c r="AK83" s="503"/>
      <c r="AL83" s="503"/>
      <c r="AM83" s="503"/>
      <c r="AN83" s="503"/>
      <c r="AO83" s="503"/>
      <c r="AP83" s="503"/>
      <c r="AQ83" s="503"/>
      <c r="AR83" s="36">
        <v>0</v>
      </c>
    </row>
    <row r="84" s="36" customFormat="1" ht="17.25" customHeight="1" spans="1:44">
      <c r="A84" s="453"/>
      <c r="C84" s="217"/>
      <c r="D84" s="1276">
        <v>2</v>
      </c>
      <c r="E84" s="455" t="s">
        <v>225</v>
      </c>
      <c r="F84" s="456" t="s">
        <v>19</v>
      </c>
      <c r="G84" s="455"/>
      <c r="H84" s="505"/>
      <c r="I84" s="516"/>
      <c r="J84" s="517"/>
      <c r="K84" s="518"/>
      <c r="L84" s="518"/>
      <c r="M84" s="518"/>
      <c r="N84" s="519"/>
      <c r="O84" s="518"/>
      <c r="P84" s="518"/>
      <c r="Q84" s="518"/>
      <c r="R84" s="538"/>
      <c r="S84" s="518"/>
      <c r="T84" s="518"/>
      <c r="U84" s="518"/>
      <c r="V84" s="538"/>
      <c r="W84" s="539"/>
      <c r="X84" s="502"/>
      <c r="Y84" s="502"/>
      <c r="Z84" s="502"/>
      <c r="AA84" s="502"/>
      <c r="AB84" s="502"/>
      <c r="AC84" s="502" t="s">
        <v>226</v>
      </c>
      <c r="AD84" s="502" t="s">
        <v>227</v>
      </c>
      <c r="AE84" s="502" t="s">
        <v>228</v>
      </c>
      <c r="AF84" s="502" t="s">
        <v>229</v>
      </c>
      <c r="AG84" s="502"/>
      <c r="AH84" s="502" t="str">
        <f>IF($E$84=0,"",$E$84)</f>
        <v>Тариф на техническую воду</v>
      </c>
      <c r="AI84" s="502" t="str">
        <f>IF($G$84=0,"",$G$84)</f>
        <v/>
      </c>
      <c r="AJ84" s="502" t="str">
        <f>IF($J$84=0,"",$J$84)</f>
        <v/>
      </c>
      <c r="AK84" s="502" t="str">
        <f>IF($K$84="нет","без дифференциации",IF($N$84=0,"",$N$84))</f>
        <v/>
      </c>
      <c r="AL84" s="502" t="str">
        <f>IF($O$84="нет","без дифференциации",IF($R$84=0,"",$R$84))</f>
        <v/>
      </c>
      <c r="AM84" s="502" t="str">
        <f>IF($S$84="нет","без дифференциации",IF($V$84=0,"",$V$84))</f>
        <v/>
      </c>
      <c r="AN84" s="1286">
        <f>$I$84</f>
        <v>0</v>
      </c>
      <c r="AO84" s="502" t="str">
        <f>$I$84&amp;"."&amp;$M$84</f>
        <v>.</v>
      </c>
      <c r="AP84" s="503" t="str">
        <f>$I$84&amp;"."&amp;$M$84&amp;"."&amp;$Q$84</f>
        <v>..</v>
      </c>
      <c r="AQ84" s="503" t="str">
        <f>$I$84&amp;"."&amp;$M$84&amp;"."&amp;$Q$84&amp;"."&amp;$U$84</f>
        <v>...</v>
      </c>
      <c r="AR84" s="36">
        <v>0</v>
      </c>
    </row>
    <row r="85" s="36" customFormat="1" ht="17.25" customHeight="1" spans="1:44">
      <c r="A85" s="453"/>
      <c r="D85" s="1276"/>
      <c r="E85" s="455"/>
      <c r="F85" s="458"/>
      <c r="G85" s="455"/>
      <c r="H85" s="506"/>
      <c r="I85" s="520"/>
      <c r="J85" s="521"/>
      <c r="K85" s="522"/>
      <c r="L85" s="522"/>
      <c r="M85" s="522"/>
      <c r="N85" s="523"/>
      <c r="O85" s="522"/>
      <c r="P85" s="522"/>
      <c r="Q85" s="522"/>
      <c r="R85" s="524"/>
      <c r="S85" s="522"/>
      <c r="T85" s="525"/>
      <c r="U85" s="525"/>
      <c r="V85" s="525"/>
      <c r="W85" s="540"/>
      <c r="X85" s="503"/>
      <c r="Y85" s="503"/>
      <c r="Z85" s="503"/>
      <c r="AA85" s="503"/>
      <c r="AB85" s="503"/>
      <c r="AC85" s="503"/>
      <c r="AD85" s="503"/>
      <c r="AE85" s="503"/>
      <c r="AF85" s="503"/>
      <c r="AG85" s="503"/>
      <c r="AH85" s="503"/>
      <c r="AI85" s="503"/>
      <c r="AJ85" s="503"/>
      <c r="AK85" s="503"/>
      <c r="AL85" s="503"/>
      <c r="AM85" s="503"/>
      <c r="AN85" s="503"/>
      <c r="AO85" s="503"/>
      <c r="AP85" s="503"/>
      <c r="AQ85" s="503"/>
      <c r="AR85" s="36">
        <v>0</v>
      </c>
    </row>
    <row r="86" s="36" customFormat="1" ht="17.25" customHeight="1" spans="1:44">
      <c r="A86" s="453"/>
      <c r="D86" s="22"/>
      <c r="E86" s="459"/>
      <c r="F86" s="458"/>
      <c r="G86" s="459"/>
      <c r="H86" s="506"/>
      <c r="I86" s="520"/>
      <c r="J86" s="452"/>
      <c r="K86" s="522"/>
      <c r="L86" s="522"/>
      <c r="M86" s="522"/>
      <c r="N86" s="524"/>
      <c r="O86" s="522"/>
      <c r="P86" s="522"/>
      <c r="Q86" s="525"/>
      <c r="R86" s="525"/>
      <c r="W86" s="540"/>
      <c r="X86" s="503"/>
      <c r="Y86" s="503"/>
      <c r="Z86" s="503"/>
      <c r="AA86" s="503"/>
      <c r="AB86" s="503"/>
      <c r="AC86" s="503"/>
      <c r="AD86" s="503"/>
      <c r="AE86" s="503"/>
      <c r="AF86" s="503"/>
      <c r="AG86" s="503"/>
      <c r="AH86" s="503"/>
      <c r="AI86" s="503"/>
      <c r="AJ86" s="503"/>
      <c r="AK86" s="503"/>
      <c r="AL86" s="503"/>
      <c r="AM86" s="503"/>
      <c r="AN86" s="503"/>
      <c r="AO86" s="503"/>
      <c r="AP86" s="503"/>
      <c r="AQ86" s="503"/>
      <c r="AR86" s="36">
        <v>0</v>
      </c>
    </row>
    <row r="87" s="36" customFormat="1" ht="17.25" customHeight="1" spans="1:44">
      <c r="A87" s="453"/>
      <c r="D87" s="22"/>
      <c r="E87" s="459"/>
      <c r="F87" s="458"/>
      <c r="G87" s="459"/>
      <c r="H87" s="506"/>
      <c r="I87" s="520"/>
      <c r="J87" s="452"/>
      <c r="K87" s="522"/>
      <c r="L87" s="525"/>
      <c r="M87" s="525"/>
      <c r="N87" s="525"/>
      <c r="O87" s="525"/>
      <c r="P87" s="525"/>
      <c r="Q87" s="525"/>
      <c r="R87" s="525"/>
      <c r="W87" s="540"/>
      <c r="X87" s="503"/>
      <c r="Y87" s="503"/>
      <c r="Z87" s="503"/>
      <c r="AA87" s="503"/>
      <c r="AB87" s="503"/>
      <c r="AC87" s="503"/>
      <c r="AD87" s="503"/>
      <c r="AE87" s="503"/>
      <c r="AF87" s="503"/>
      <c r="AG87" s="503"/>
      <c r="AH87" s="503"/>
      <c r="AI87" s="503"/>
      <c r="AJ87" s="503"/>
      <c r="AK87" s="503"/>
      <c r="AL87" s="503"/>
      <c r="AM87" s="503"/>
      <c r="AN87" s="503"/>
      <c r="AO87" s="503"/>
      <c r="AP87" s="503"/>
      <c r="AQ87" s="503"/>
      <c r="AR87" s="36">
        <v>0</v>
      </c>
    </row>
    <row r="88" s="36" customFormat="1" ht="17.25" customHeight="1" spans="1:44">
      <c r="A88" s="453"/>
      <c r="D88" s="22"/>
      <c r="E88" s="459"/>
      <c r="F88" s="461"/>
      <c r="G88" s="459"/>
      <c r="H88" s="507"/>
      <c r="I88" s="526"/>
      <c r="J88" s="526"/>
      <c r="K88" s="526"/>
      <c r="L88" s="526"/>
      <c r="M88" s="526"/>
      <c r="N88" s="526"/>
      <c r="O88" s="526"/>
      <c r="P88" s="526"/>
      <c r="Q88" s="526"/>
      <c r="R88" s="526"/>
      <c r="S88" s="541"/>
      <c r="T88" s="541"/>
      <c r="U88" s="541"/>
      <c r="V88" s="541"/>
      <c r="W88" s="542"/>
      <c r="X88" s="503"/>
      <c r="Y88" s="503"/>
      <c r="Z88" s="503"/>
      <c r="AA88" s="503"/>
      <c r="AB88" s="503"/>
      <c r="AC88" s="503"/>
      <c r="AD88" s="503"/>
      <c r="AE88" s="503"/>
      <c r="AF88" s="503"/>
      <c r="AG88" s="503"/>
      <c r="AH88" s="503"/>
      <c r="AI88" s="503"/>
      <c r="AJ88" s="503"/>
      <c r="AK88" s="503"/>
      <c r="AL88" s="503"/>
      <c r="AM88" s="503"/>
      <c r="AN88" s="503"/>
      <c r="AO88" s="503"/>
      <c r="AP88" s="503"/>
      <c r="AQ88" s="503"/>
      <c r="AR88" s="36">
        <v>0</v>
      </c>
    </row>
    <row r="89" s="36" customFormat="1" ht="17.25" customHeight="1" spans="1:44">
      <c r="A89" s="453"/>
      <c r="C89" s="217"/>
      <c r="D89" s="1276">
        <v>3</v>
      </c>
      <c r="E89" s="455" t="s">
        <v>230</v>
      </c>
      <c r="F89" s="456" t="s">
        <v>19</v>
      </c>
      <c r="G89" s="455"/>
      <c r="H89" s="505"/>
      <c r="I89" s="516"/>
      <c r="J89" s="517"/>
      <c r="K89" s="518"/>
      <c r="L89" s="518"/>
      <c r="M89" s="518"/>
      <c r="N89" s="519"/>
      <c r="O89" s="518"/>
      <c r="P89" s="518"/>
      <c r="Q89" s="518"/>
      <c r="R89" s="538"/>
      <c r="S89" s="518"/>
      <c r="T89" s="518"/>
      <c r="U89" s="518"/>
      <c r="V89" s="538"/>
      <c r="W89" s="539"/>
      <c r="X89" s="502"/>
      <c r="Y89" s="502"/>
      <c r="Z89" s="502"/>
      <c r="AA89" s="502"/>
      <c r="AB89" s="502"/>
      <c r="AC89" s="502" t="s">
        <v>231</v>
      </c>
      <c r="AD89" s="502" t="s">
        <v>232</v>
      </c>
      <c r="AE89" s="502" t="s">
        <v>233</v>
      </c>
      <c r="AF89" s="502" t="s">
        <v>234</v>
      </c>
      <c r="AG89" s="502"/>
      <c r="AH89" s="502" t="str">
        <f>IF($E$89=0,"",$E$89)</f>
        <v>Тариф на транспортировку воды</v>
      </c>
      <c r="AI89" s="502" t="str">
        <f>IF($G$89=0,"",$G$89)</f>
        <v/>
      </c>
      <c r="AJ89" s="502" t="str">
        <f>IF($J$89=0,"",$J$89)</f>
        <v/>
      </c>
      <c r="AK89" s="502" t="str">
        <f>IF($K$89="нет","без дифференциации",IF($N$89=0,"",$N$89))</f>
        <v/>
      </c>
      <c r="AL89" s="502" t="str">
        <f>IF($O$89="нет","без дифференциации",IF($R$89=0,"",$R$89))</f>
        <v/>
      </c>
      <c r="AM89" s="502" t="str">
        <f>IF($S$89="нет","без дифференциации",IF($V$89=0,"",$V$89))</f>
        <v/>
      </c>
      <c r="AN89" s="1286">
        <f>$I$89</f>
        <v>0</v>
      </c>
      <c r="AO89" s="502" t="str">
        <f>$I$89&amp;"."&amp;$M$89</f>
        <v>.</v>
      </c>
      <c r="AP89" s="503" t="str">
        <f>$I$89&amp;"."&amp;$M$89&amp;"."&amp;$Q$89</f>
        <v>..</v>
      </c>
      <c r="AQ89" s="503" t="str">
        <f>$I$89&amp;"."&amp;$M$89&amp;"."&amp;$Q$89&amp;"."&amp;$U$89</f>
        <v>...</v>
      </c>
      <c r="AR89" s="36">
        <v>0</v>
      </c>
    </row>
    <row r="90" s="36" customFormat="1" ht="17.25" customHeight="1" spans="1:44">
      <c r="A90" s="453"/>
      <c r="D90" s="1276"/>
      <c r="E90" s="455"/>
      <c r="F90" s="458"/>
      <c r="G90" s="455"/>
      <c r="H90" s="506"/>
      <c r="I90" s="520"/>
      <c r="J90" s="521"/>
      <c r="K90" s="522"/>
      <c r="L90" s="522"/>
      <c r="M90" s="522"/>
      <c r="N90" s="523"/>
      <c r="O90" s="522"/>
      <c r="P90" s="522"/>
      <c r="Q90" s="522"/>
      <c r="R90" s="524"/>
      <c r="S90" s="522"/>
      <c r="T90" s="525"/>
      <c r="U90" s="525"/>
      <c r="V90" s="525"/>
      <c r="W90" s="540"/>
      <c r="X90" s="503"/>
      <c r="Y90" s="503"/>
      <c r="Z90" s="503"/>
      <c r="AA90" s="503"/>
      <c r="AB90" s="503"/>
      <c r="AC90" s="503"/>
      <c r="AD90" s="503"/>
      <c r="AE90" s="503"/>
      <c r="AF90" s="503"/>
      <c r="AG90" s="503"/>
      <c r="AH90" s="503"/>
      <c r="AI90" s="503"/>
      <c r="AJ90" s="503"/>
      <c r="AK90" s="503"/>
      <c r="AL90" s="503"/>
      <c r="AM90" s="503"/>
      <c r="AN90" s="503"/>
      <c r="AO90" s="503"/>
      <c r="AP90" s="503"/>
      <c r="AQ90" s="503"/>
      <c r="AR90" s="36">
        <v>0</v>
      </c>
    </row>
    <row r="91" s="36" customFormat="1" ht="17.25" customHeight="1" spans="1:44">
      <c r="A91" s="453"/>
      <c r="D91" s="22"/>
      <c r="E91" s="459"/>
      <c r="F91" s="458"/>
      <c r="G91" s="459"/>
      <c r="H91" s="506"/>
      <c r="I91" s="520"/>
      <c r="J91" s="452"/>
      <c r="K91" s="522"/>
      <c r="L91" s="522"/>
      <c r="M91" s="522"/>
      <c r="N91" s="524"/>
      <c r="O91" s="522"/>
      <c r="P91" s="522"/>
      <c r="Q91" s="525"/>
      <c r="R91" s="525"/>
      <c r="W91" s="540"/>
      <c r="X91" s="503"/>
      <c r="Y91" s="503"/>
      <c r="Z91" s="503"/>
      <c r="AA91" s="503"/>
      <c r="AB91" s="503"/>
      <c r="AC91" s="503"/>
      <c r="AD91" s="503"/>
      <c r="AE91" s="503"/>
      <c r="AF91" s="503"/>
      <c r="AG91" s="503"/>
      <c r="AH91" s="503"/>
      <c r="AI91" s="503"/>
      <c r="AJ91" s="503"/>
      <c r="AK91" s="503"/>
      <c r="AL91" s="503"/>
      <c r="AM91" s="503"/>
      <c r="AN91" s="503"/>
      <c r="AO91" s="503"/>
      <c r="AP91" s="503"/>
      <c r="AQ91" s="503"/>
      <c r="AR91" s="36">
        <v>0</v>
      </c>
    </row>
    <row r="92" s="36" customFormat="1" ht="17.25" customHeight="1" spans="1:44">
      <c r="A92" s="453"/>
      <c r="D92" s="22"/>
      <c r="E92" s="459"/>
      <c r="F92" s="458"/>
      <c r="G92" s="459"/>
      <c r="H92" s="506"/>
      <c r="I92" s="520"/>
      <c r="J92" s="452"/>
      <c r="K92" s="522"/>
      <c r="L92" s="525"/>
      <c r="M92" s="525"/>
      <c r="N92" s="525"/>
      <c r="O92" s="525"/>
      <c r="P92" s="525"/>
      <c r="Q92" s="525"/>
      <c r="R92" s="525"/>
      <c r="W92" s="540"/>
      <c r="X92" s="503"/>
      <c r="Y92" s="503"/>
      <c r="Z92" s="503"/>
      <c r="AA92" s="503"/>
      <c r="AB92" s="503"/>
      <c r="AC92" s="503"/>
      <c r="AD92" s="503"/>
      <c r="AE92" s="503"/>
      <c r="AF92" s="503"/>
      <c r="AG92" s="503"/>
      <c r="AH92" s="503"/>
      <c r="AI92" s="503"/>
      <c r="AJ92" s="503"/>
      <c r="AK92" s="503"/>
      <c r="AL92" s="503"/>
      <c r="AM92" s="503"/>
      <c r="AN92" s="503"/>
      <c r="AO92" s="503"/>
      <c r="AP92" s="503"/>
      <c r="AQ92" s="503"/>
      <c r="AR92" s="36">
        <v>0</v>
      </c>
    </row>
    <row r="93" s="36" customFormat="1" ht="17.25" customHeight="1" spans="1:44">
      <c r="A93" s="453"/>
      <c r="D93" s="22"/>
      <c r="E93" s="459"/>
      <c r="F93" s="461"/>
      <c r="G93" s="459"/>
      <c r="H93" s="507"/>
      <c r="I93" s="526"/>
      <c r="J93" s="526"/>
      <c r="K93" s="526"/>
      <c r="L93" s="526"/>
      <c r="M93" s="526"/>
      <c r="N93" s="526"/>
      <c r="O93" s="526"/>
      <c r="P93" s="526"/>
      <c r="Q93" s="526"/>
      <c r="R93" s="526"/>
      <c r="S93" s="541"/>
      <c r="T93" s="541"/>
      <c r="U93" s="541"/>
      <c r="V93" s="541"/>
      <c r="W93" s="542"/>
      <c r="X93" s="503"/>
      <c r="Y93" s="503"/>
      <c r="Z93" s="503"/>
      <c r="AA93" s="503"/>
      <c r="AB93" s="503"/>
      <c r="AC93" s="503"/>
      <c r="AD93" s="503"/>
      <c r="AE93" s="503"/>
      <c r="AF93" s="503"/>
      <c r="AG93" s="503"/>
      <c r="AH93" s="503"/>
      <c r="AI93" s="503"/>
      <c r="AJ93" s="503"/>
      <c r="AK93" s="503"/>
      <c r="AL93" s="503"/>
      <c r="AM93" s="503"/>
      <c r="AN93" s="503"/>
      <c r="AO93" s="503"/>
      <c r="AP93" s="503"/>
      <c r="AQ93" s="503"/>
      <c r="AR93" s="36">
        <v>0</v>
      </c>
    </row>
    <row r="94" s="36" customFormat="1" ht="17.25" customHeight="1" spans="1:44">
      <c r="A94" s="453"/>
      <c r="C94" s="217"/>
      <c r="D94" s="1276">
        <v>4</v>
      </c>
      <c r="E94" s="455" t="s">
        <v>235</v>
      </c>
      <c r="F94" s="456" t="s">
        <v>19</v>
      </c>
      <c r="G94" s="455"/>
      <c r="H94" s="505"/>
      <c r="I94" s="516"/>
      <c r="J94" s="517"/>
      <c r="K94" s="518"/>
      <c r="L94" s="518"/>
      <c r="M94" s="518"/>
      <c r="N94" s="519"/>
      <c r="O94" s="518"/>
      <c r="P94" s="518"/>
      <c r="Q94" s="518"/>
      <c r="R94" s="538"/>
      <c r="S94" s="518"/>
      <c r="T94" s="518"/>
      <c r="U94" s="518"/>
      <c r="V94" s="538"/>
      <c r="W94" s="539"/>
      <c r="X94" s="502"/>
      <c r="Y94" s="502"/>
      <c r="Z94" s="502"/>
      <c r="AA94" s="502"/>
      <c r="AB94" s="502"/>
      <c r="AC94" s="502" t="s">
        <v>236</v>
      </c>
      <c r="AD94" s="502" t="s">
        <v>237</v>
      </c>
      <c r="AE94" s="502" t="s">
        <v>238</v>
      </c>
      <c r="AF94" s="502" t="s">
        <v>239</v>
      </c>
      <c r="AG94" s="502"/>
      <c r="AH94" s="502" t="str">
        <f>IF($E$94=0,"",$E$94)</f>
        <v>Тариф на подвоз воды</v>
      </c>
      <c r="AI94" s="502" t="str">
        <f>IF($G$94=0,"",$G$94)</f>
        <v/>
      </c>
      <c r="AJ94" s="502" t="str">
        <f>IF($J$94=0,"",$J$94)</f>
        <v/>
      </c>
      <c r="AK94" s="502" t="str">
        <f>IF($K$94="нет","без дифференциации",IF($N$94=0,"",$N$94))</f>
        <v/>
      </c>
      <c r="AL94" s="502" t="str">
        <f>IF($O$94="нет","без дифференциации",IF($R$94=0,"",$R$94))</f>
        <v/>
      </c>
      <c r="AM94" s="502" t="str">
        <f>IF($S$94="нет","без дифференциации",IF($V$94=0,"",$V$94))</f>
        <v/>
      </c>
      <c r="AN94" s="1286">
        <f>$I$94</f>
        <v>0</v>
      </c>
      <c r="AO94" s="502" t="str">
        <f>$I$94&amp;"."&amp;$M$94</f>
        <v>.</v>
      </c>
      <c r="AP94" s="503" t="str">
        <f>$I$94&amp;"."&amp;$M$94&amp;"."&amp;$Q$94</f>
        <v>..</v>
      </c>
      <c r="AQ94" s="503" t="str">
        <f>$I$94&amp;"."&amp;$M$94&amp;"."&amp;$Q$94&amp;"."&amp;$U$94</f>
        <v>...</v>
      </c>
      <c r="AR94" s="36">
        <v>0</v>
      </c>
    </row>
    <row r="95" s="36" customFormat="1" ht="17.25" customHeight="1" spans="1:44">
      <c r="A95" s="453"/>
      <c r="D95" s="1276"/>
      <c r="E95" s="455"/>
      <c r="F95" s="458"/>
      <c r="G95" s="455"/>
      <c r="H95" s="506"/>
      <c r="I95" s="520"/>
      <c r="J95" s="521"/>
      <c r="K95" s="522"/>
      <c r="L95" s="522"/>
      <c r="M95" s="522"/>
      <c r="N95" s="523"/>
      <c r="O95" s="522"/>
      <c r="P95" s="522"/>
      <c r="Q95" s="522"/>
      <c r="R95" s="524"/>
      <c r="S95" s="522"/>
      <c r="T95" s="525"/>
      <c r="U95" s="525"/>
      <c r="V95" s="525"/>
      <c r="W95" s="540"/>
      <c r="X95" s="503"/>
      <c r="Y95" s="503"/>
      <c r="Z95" s="503"/>
      <c r="AA95" s="503"/>
      <c r="AB95" s="503"/>
      <c r="AC95" s="503"/>
      <c r="AD95" s="503"/>
      <c r="AE95" s="503"/>
      <c r="AF95" s="503"/>
      <c r="AG95" s="503"/>
      <c r="AH95" s="503"/>
      <c r="AI95" s="503"/>
      <c r="AJ95" s="503"/>
      <c r="AK95" s="503"/>
      <c r="AL95" s="503"/>
      <c r="AM95" s="503"/>
      <c r="AN95" s="503"/>
      <c r="AO95" s="503"/>
      <c r="AP95" s="503"/>
      <c r="AQ95" s="503"/>
      <c r="AR95" s="36">
        <v>0</v>
      </c>
    </row>
    <row r="96" s="36" customFormat="1" ht="17.25" customHeight="1" spans="1:44">
      <c r="A96" s="453"/>
      <c r="D96" s="22"/>
      <c r="E96" s="459"/>
      <c r="F96" s="458"/>
      <c r="G96" s="459"/>
      <c r="H96" s="506"/>
      <c r="I96" s="520"/>
      <c r="J96" s="452"/>
      <c r="K96" s="522"/>
      <c r="L96" s="522"/>
      <c r="M96" s="522"/>
      <c r="N96" s="524"/>
      <c r="O96" s="522"/>
      <c r="P96" s="522"/>
      <c r="Q96" s="525"/>
      <c r="R96" s="525"/>
      <c r="W96" s="540"/>
      <c r="X96" s="503"/>
      <c r="Y96" s="503"/>
      <c r="Z96" s="503"/>
      <c r="AA96" s="503"/>
      <c r="AB96" s="503"/>
      <c r="AC96" s="503"/>
      <c r="AD96" s="503"/>
      <c r="AE96" s="503"/>
      <c r="AF96" s="503"/>
      <c r="AG96" s="503"/>
      <c r="AH96" s="503"/>
      <c r="AI96" s="503"/>
      <c r="AJ96" s="503"/>
      <c r="AK96" s="503"/>
      <c r="AL96" s="503"/>
      <c r="AM96" s="503"/>
      <c r="AN96" s="503"/>
      <c r="AO96" s="503"/>
      <c r="AP96" s="503"/>
      <c r="AQ96" s="503"/>
      <c r="AR96" s="36">
        <v>0</v>
      </c>
    </row>
    <row r="97" s="36" customFormat="1" ht="17.25" customHeight="1" spans="1:44">
      <c r="A97" s="453"/>
      <c r="D97" s="22"/>
      <c r="E97" s="459"/>
      <c r="F97" s="458"/>
      <c r="G97" s="459"/>
      <c r="H97" s="506"/>
      <c r="I97" s="520"/>
      <c r="J97" s="452"/>
      <c r="K97" s="522"/>
      <c r="L97" s="525"/>
      <c r="M97" s="525"/>
      <c r="N97" s="525"/>
      <c r="O97" s="525"/>
      <c r="P97" s="525"/>
      <c r="Q97" s="525"/>
      <c r="R97" s="525"/>
      <c r="W97" s="540"/>
      <c r="X97" s="503"/>
      <c r="Y97" s="503"/>
      <c r="Z97" s="503"/>
      <c r="AA97" s="503"/>
      <c r="AB97" s="503"/>
      <c r="AC97" s="503"/>
      <c r="AD97" s="503"/>
      <c r="AE97" s="503"/>
      <c r="AF97" s="503"/>
      <c r="AG97" s="503"/>
      <c r="AH97" s="503"/>
      <c r="AI97" s="503"/>
      <c r="AJ97" s="503"/>
      <c r="AK97" s="503"/>
      <c r="AL97" s="503"/>
      <c r="AM97" s="503"/>
      <c r="AN97" s="503"/>
      <c r="AO97" s="503"/>
      <c r="AP97" s="503"/>
      <c r="AQ97" s="503"/>
      <c r="AR97" s="36">
        <v>0</v>
      </c>
    </row>
    <row r="98" s="36" customFormat="1" ht="17.25" customHeight="1" spans="1:44">
      <c r="A98" s="453"/>
      <c r="D98" s="22"/>
      <c r="E98" s="459"/>
      <c r="F98" s="461"/>
      <c r="G98" s="459"/>
      <c r="H98" s="507"/>
      <c r="I98" s="526"/>
      <c r="J98" s="526"/>
      <c r="K98" s="526"/>
      <c r="L98" s="526"/>
      <c r="M98" s="526"/>
      <c r="N98" s="526"/>
      <c r="O98" s="526"/>
      <c r="P98" s="526"/>
      <c r="Q98" s="526"/>
      <c r="R98" s="526"/>
      <c r="S98" s="541"/>
      <c r="T98" s="541"/>
      <c r="U98" s="541"/>
      <c r="V98" s="541"/>
      <c r="W98" s="542"/>
      <c r="X98" s="503"/>
      <c r="Y98" s="503"/>
      <c r="Z98" s="503"/>
      <c r="AA98" s="503"/>
      <c r="AB98" s="503"/>
      <c r="AC98" s="503"/>
      <c r="AD98" s="503"/>
      <c r="AE98" s="503"/>
      <c r="AF98" s="503"/>
      <c r="AG98" s="503"/>
      <c r="AH98" s="503"/>
      <c r="AI98" s="503"/>
      <c r="AJ98" s="503"/>
      <c r="AK98" s="503"/>
      <c r="AL98" s="503"/>
      <c r="AM98" s="503"/>
      <c r="AN98" s="503"/>
      <c r="AO98" s="503"/>
      <c r="AP98" s="503"/>
      <c r="AQ98" s="503"/>
      <c r="AR98" s="36">
        <v>0</v>
      </c>
    </row>
    <row r="99" s="36" customFormat="1" ht="17.25" customHeight="1" spans="1:44">
      <c r="A99" s="453"/>
      <c r="C99" s="217"/>
      <c r="D99" s="1276">
        <v>5</v>
      </c>
      <c r="E99" s="455" t="s">
        <v>240</v>
      </c>
      <c r="F99" s="456" t="s">
        <v>19</v>
      </c>
      <c r="G99" s="455"/>
      <c r="H99" s="505"/>
      <c r="I99" s="516"/>
      <c r="J99" s="517"/>
      <c r="K99" s="518"/>
      <c r="L99" s="518"/>
      <c r="M99" s="518"/>
      <c r="N99" s="519"/>
      <c r="O99" s="518"/>
      <c r="P99" s="518"/>
      <c r="Q99" s="518"/>
      <c r="R99" s="538"/>
      <c r="S99" s="518"/>
      <c r="T99" s="518"/>
      <c r="U99" s="518"/>
      <c r="V99" s="538"/>
      <c r="W99" s="539"/>
      <c r="X99" s="502"/>
      <c r="Y99" s="502"/>
      <c r="Z99" s="502"/>
      <c r="AA99" s="502"/>
      <c r="AB99" s="502"/>
      <c r="AC99" s="502" t="s">
        <v>241</v>
      </c>
      <c r="AD99" s="502" t="s">
        <v>242</v>
      </c>
      <c r="AE99" s="502" t="s">
        <v>243</v>
      </c>
      <c r="AF99" s="502" t="s">
        <v>244</v>
      </c>
      <c r="AG99" s="502"/>
      <c r="AH99" s="502" t="str">
        <f>IF($E$99=0,"",$E$99)</f>
        <v>Тариф на подключение (технологическое присоединение) к централизованной системе холодного водоснабжения</v>
      </c>
      <c r="AI99" s="502" t="str">
        <f>IF($G$99=0,"",$G$99)</f>
        <v/>
      </c>
      <c r="AJ99" s="502" t="str">
        <f>IF($J$99=0,"",$J$99)</f>
        <v/>
      </c>
      <c r="AK99" s="502" t="str">
        <f>IF($K$99="нет","без дифференциации",IF($N$99=0,"",$N$99))</f>
        <v/>
      </c>
      <c r="AL99" s="502" t="str">
        <f>IF($O$99="нет","без дифференциации",IF($R$99=0,"",$R$99))</f>
        <v/>
      </c>
      <c r="AM99" s="502" t="str">
        <f>IF($S$99="нет","без дифференциации",IF($V$99=0,"",$V$99))</f>
        <v/>
      </c>
      <c r="AN99" s="1286">
        <f>$I$99</f>
        <v>0</v>
      </c>
      <c r="AO99" s="502" t="str">
        <f>$I$99&amp;"."&amp;$M$99</f>
        <v>.</v>
      </c>
      <c r="AP99" s="503" t="str">
        <f>$I$99&amp;"."&amp;$M$99&amp;"."&amp;$Q$99</f>
        <v>..</v>
      </c>
      <c r="AQ99" s="503" t="str">
        <f>$I$99&amp;"."&amp;$M$99&amp;"."&amp;$Q$99&amp;"."&amp;$U$99</f>
        <v>...</v>
      </c>
      <c r="AR99" s="36">
        <v>0</v>
      </c>
    </row>
    <row r="100" s="36" customFormat="1" ht="17.25" customHeight="1" spans="1:44">
      <c r="A100" s="453"/>
      <c r="D100" s="1276"/>
      <c r="E100" s="455"/>
      <c r="F100" s="458"/>
      <c r="G100" s="455"/>
      <c r="H100" s="506"/>
      <c r="I100" s="520"/>
      <c r="J100" s="521"/>
      <c r="K100" s="522"/>
      <c r="L100" s="522"/>
      <c r="M100" s="522"/>
      <c r="N100" s="523"/>
      <c r="O100" s="522"/>
      <c r="P100" s="522"/>
      <c r="Q100" s="522"/>
      <c r="R100" s="524"/>
      <c r="S100" s="522"/>
      <c r="T100" s="525"/>
      <c r="U100" s="525"/>
      <c r="V100" s="525"/>
      <c r="W100" s="540"/>
      <c r="X100" s="503"/>
      <c r="Y100" s="503"/>
      <c r="Z100" s="503"/>
      <c r="AA100" s="503"/>
      <c r="AB100" s="503"/>
      <c r="AC100" s="503"/>
      <c r="AD100" s="503"/>
      <c r="AE100" s="503"/>
      <c r="AF100" s="503"/>
      <c r="AG100" s="503"/>
      <c r="AH100" s="503"/>
      <c r="AI100" s="503"/>
      <c r="AJ100" s="503"/>
      <c r="AK100" s="503"/>
      <c r="AL100" s="503"/>
      <c r="AM100" s="503"/>
      <c r="AN100" s="503"/>
      <c r="AO100" s="503"/>
      <c r="AP100" s="503"/>
      <c r="AQ100" s="503"/>
      <c r="AR100" s="36">
        <v>0</v>
      </c>
    </row>
    <row r="101" s="36" customFormat="1" ht="17.25" customHeight="1" spans="1:44">
      <c r="A101" s="453"/>
      <c r="D101" s="22"/>
      <c r="E101" s="459"/>
      <c r="F101" s="458"/>
      <c r="G101" s="459"/>
      <c r="H101" s="506"/>
      <c r="I101" s="520"/>
      <c r="J101" s="452"/>
      <c r="K101" s="522"/>
      <c r="L101" s="522"/>
      <c r="M101" s="522"/>
      <c r="N101" s="524"/>
      <c r="O101" s="522"/>
      <c r="P101" s="522"/>
      <c r="Q101" s="525"/>
      <c r="R101" s="525"/>
      <c r="W101" s="540"/>
      <c r="X101" s="503"/>
      <c r="Y101" s="503"/>
      <c r="Z101" s="503"/>
      <c r="AA101" s="503"/>
      <c r="AB101" s="503"/>
      <c r="AC101" s="503"/>
      <c r="AD101" s="503"/>
      <c r="AE101" s="503"/>
      <c r="AF101" s="503"/>
      <c r="AG101" s="503"/>
      <c r="AH101" s="503"/>
      <c r="AI101" s="503"/>
      <c r="AJ101" s="503"/>
      <c r="AK101" s="503"/>
      <c r="AL101" s="503"/>
      <c r="AM101" s="503"/>
      <c r="AN101" s="503"/>
      <c r="AO101" s="503"/>
      <c r="AP101" s="503"/>
      <c r="AQ101" s="503"/>
      <c r="AR101" s="36">
        <v>0</v>
      </c>
    </row>
    <row r="102" s="36" customFormat="1" ht="17.25" customHeight="1" spans="1:44">
      <c r="A102" s="453"/>
      <c r="D102" s="22"/>
      <c r="E102" s="459"/>
      <c r="F102" s="458"/>
      <c r="G102" s="459"/>
      <c r="H102" s="506"/>
      <c r="I102" s="520"/>
      <c r="J102" s="452"/>
      <c r="K102" s="522"/>
      <c r="L102" s="525"/>
      <c r="M102" s="525"/>
      <c r="N102" s="525"/>
      <c r="O102" s="525"/>
      <c r="P102" s="525"/>
      <c r="Q102" s="525"/>
      <c r="R102" s="525"/>
      <c r="W102" s="540"/>
      <c r="X102" s="503"/>
      <c r="Y102" s="503"/>
      <c r="Z102" s="503"/>
      <c r="AA102" s="503"/>
      <c r="AB102" s="503"/>
      <c r="AC102" s="503"/>
      <c r="AD102" s="503"/>
      <c r="AE102" s="503"/>
      <c r="AF102" s="503"/>
      <c r="AG102" s="503"/>
      <c r="AH102" s="503"/>
      <c r="AI102" s="503"/>
      <c r="AJ102" s="503"/>
      <c r="AK102" s="503"/>
      <c r="AL102" s="503"/>
      <c r="AM102" s="503"/>
      <c r="AN102" s="503"/>
      <c r="AO102" s="503"/>
      <c r="AP102" s="503"/>
      <c r="AQ102" s="503"/>
      <c r="AR102" s="36">
        <v>0</v>
      </c>
    </row>
    <row r="103" s="36" customFormat="1" ht="17.25" customHeight="1" spans="1:44">
      <c r="A103" s="453"/>
      <c r="D103" s="22"/>
      <c r="E103" s="459"/>
      <c r="F103" s="461"/>
      <c r="G103" s="459"/>
      <c r="H103" s="507"/>
      <c r="I103" s="526"/>
      <c r="J103" s="526"/>
      <c r="K103" s="526"/>
      <c r="L103" s="526"/>
      <c r="M103" s="526"/>
      <c r="N103" s="526"/>
      <c r="O103" s="526"/>
      <c r="P103" s="526"/>
      <c r="Q103" s="526"/>
      <c r="R103" s="526"/>
      <c r="S103" s="541"/>
      <c r="T103" s="541"/>
      <c r="U103" s="541"/>
      <c r="V103" s="541"/>
      <c r="W103" s="542"/>
      <c r="X103" s="503"/>
      <c r="Y103" s="503"/>
      <c r="Z103" s="503"/>
      <c r="AA103" s="503"/>
      <c r="AB103" s="503"/>
      <c r="AC103" s="503"/>
      <c r="AD103" s="503"/>
      <c r="AE103" s="503"/>
      <c r="AF103" s="503"/>
      <c r="AG103" s="503"/>
      <c r="AH103" s="503"/>
      <c r="AI103" s="503"/>
      <c r="AJ103" s="503"/>
      <c r="AK103" s="503"/>
      <c r="AL103" s="503"/>
      <c r="AM103" s="503"/>
      <c r="AN103" s="503"/>
      <c r="AO103" s="503"/>
      <c r="AP103" s="503"/>
      <c r="AQ103" s="503"/>
      <c r="AR103" s="36">
        <v>0</v>
      </c>
    </row>
    <row r="104" s="36" customFormat="1" customHeight="1" spans="1:44">
      <c r="A104" s="151"/>
      <c r="B104" s="151"/>
      <c r="Y104" s="503"/>
      <c r="Z104" s="503"/>
      <c r="AA104" s="503"/>
      <c r="AB104" s="503"/>
      <c r="AC104" s="503"/>
      <c r="AD104" s="503"/>
      <c r="AE104" s="503"/>
      <c r="AF104" s="503"/>
      <c r="AG104" s="503"/>
      <c r="AH104" s="503"/>
      <c r="AI104" s="503"/>
      <c r="AJ104" s="503"/>
      <c r="AK104" s="503"/>
      <c r="AL104" s="503"/>
      <c r="AM104" s="503"/>
      <c r="AN104" s="503"/>
      <c r="AO104" s="503"/>
      <c r="AP104" s="503"/>
      <c r="AQ104" s="503"/>
      <c r="AR104" s="36">
        <v>0</v>
      </c>
    </row>
    <row r="105" s="36" customFormat="1" ht="17.25" customHeight="1" spans="1:44">
      <c r="A105" s="453"/>
      <c r="C105" s="217"/>
      <c r="D105" s="1276">
        <v>1</v>
      </c>
      <c r="E105" s="455" t="s">
        <v>245</v>
      </c>
      <c r="F105" s="456" t="s">
        <v>19</v>
      </c>
      <c r="G105" s="455"/>
      <c r="H105" s="505"/>
      <c r="I105" s="516"/>
      <c r="J105" s="517"/>
      <c r="K105" s="518"/>
      <c r="L105" s="518"/>
      <c r="M105" s="518"/>
      <c r="N105" s="519"/>
      <c r="O105" s="518"/>
      <c r="P105" s="518"/>
      <c r="Q105" s="518"/>
      <c r="R105" s="538"/>
      <c r="S105" s="518"/>
      <c r="T105" s="518"/>
      <c r="U105" s="518"/>
      <c r="V105" s="538"/>
      <c r="W105" s="539"/>
      <c r="Y105" s="502"/>
      <c r="Z105" s="502"/>
      <c r="AA105" s="502"/>
      <c r="AB105" s="502"/>
      <c r="AC105" s="502" t="s">
        <v>246</v>
      </c>
      <c r="AD105" s="502" t="s">
        <v>247</v>
      </c>
      <c r="AE105" s="502" t="s">
        <v>248</v>
      </c>
      <c r="AF105" s="502" t="s">
        <v>249</v>
      </c>
      <c r="AG105" s="502"/>
      <c r="AH105" s="502" t="str">
        <f>IF($E$105=0,"",$E$105)</f>
        <v>Тариф на горячую воду (горячее водоснабжение)</v>
      </c>
      <c r="AI105" s="502" t="str">
        <f>IF($G$105=0,"",$G$105)</f>
        <v/>
      </c>
      <c r="AJ105" s="502" t="str">
        <f>IF($J$105=0,"",$J$105)</f>
        <v/>
      </c>
      <c r="AK105" s="502" t="str">
        <f>IF($K$105="нет","без дифференциации",IF($N$105=0,"",$N$105))</f>
        <v/>
      </c>
      <c r="AL105" s="502" t="str">
        <f>IF($O$105="нет","без дифференциации",IF($R$105=0,"",$R$105))</f>
        <v/>
      </c>
      <c r="AM105" s="502" t="str">
        <f>IF($S$105="нет","без дифференциации",IF($V$105=0,"",$V$105))</f>
        <v/>
      </c>
      <c r="AN105" s="502">
        <f>$I$105</f>
        <v>0</v>
      </c>
      <c r="AO105" s="502" t="str">
        <f>$I$105&amp;"."&amp;$M$105</f>
        <v>.</v>
      </c>
      <c r="AP105" s="502" t="str">
        <f>$I$105&amp;"."&amp;$M$105&amp;"."&amp;$Q$105</f>
        <v>..</v>
      </c>
      <c r="AQ105" s="502" t="str">
        <f>$I$105&amp;"."&amp;$M$105&amp;"."&amp;$Q$105&amp;"."&amp;$U$105</f>
        <v>...</v>
      </c>
      <c r="AR105" s="36">
        <v>0</v>
      </c>
    </row>
    <row r="106" s="36" customFormat="1" ht="17.25" customHeight="1" spans="1:44">
      <c r="A106" s="453"/>
      <c r="D106" s="1276"/>
      <c r="E106" s="455"/>
      <c r="F106" s="458"/>
      <c r="G106" s="455"/>
      <c r="H106" s="506"/>
      <c r="I106" s="520"/>
      <c r="J106" s="521"/>
      <c r="K106" s="522"/>
      <c r="L106" s="522"/>
      <c r="M106" s="522"/>
      <c r="N106" s="523"/>
      <c r="O106" s="522"/>
      <c r="P106" s="522"/>
      <c r="Q106" s="522"/>
      <c r="R106" s="524"/>
      <c r="S106" s="522"/>
      <c r="T106" s="525"/>
      <c r="U106" s="525"/>
      <c r="V106" s="525"/>
      <c r="W106" s="540"/>
      <c r="Y106" s="503"/>
      <c r="Z106" s="503"/>
      <c r="AA106" s="503"/>
      <c r="AB106" s="503"/>
      <c r="AC106" s="503"/>
      <c r="AD106" s="503"/>
      <c r="AE106" s="503"/>
      <c r="AF106" s="503"/>
      <c r="AG106" s="503"/>
      <c r="AH106" s="503"/>
      <c r="AI106" s="503"/>
      <c r="AJ106" s="503"/>
      <c r="AK106" s="503"/>
      <c r="AL106" s="503"/>
      <c r="AM106" s="503"/>
      <c r="AN106" s="503"/>
      <c r="AO106" s="503"/>
      <c r="AP106" s="503"/>
      <c r="AQ106" s="503"/>
      <c r="AR106" s="36">
        <v>0</v>
      </c>
    </row>
    <row r="107" s="36" customFormat="1" ht="17.25" customHeight="1" spans="1:44">
      <c r="A107" s="453"/>
      <c r="C107" s="217"/>
      <c r="D107" s="1276"/>
      <c r="E107" s="455"/>
      <c r="F107" s="458"/>
      <c r="G107" s="455"/>
      <c r="H107" s="506"/>
      <c r="I107" s="520"/>
      <c r="J107" s="452"/>
      <c r="K107" s="522"/>
      <c r="L107" s="522"/>
      <c r="M107" s="522"/>
      <c r="N107" s="524"/>
      <c r="O107" s="522"/>
      <c r="P107" s="522"/>
      <c r="Q107" s="525"/>
      <c r="R107" s="525"/>
      <c r="W107" s="540"/>
      <c r="Y107" s="502"/>
      <c r="Z107" s="502"/>
      <c r="AA107" s="502"/>
      <c r="AB107" s="502"/>
      <c r="AC107" s="502"/>
      <c r="AD107" s="502"/>
      <c r="AE107" s="502"/>
      <c r="AF107" s="502"/>
      <c r="AG107" s="502"/>
      <c r="AH107" s="502"/>
      <c r="AI107" s="502"/>
      <c r="AJ107" s="502"/>
      <c r="AK107" s="502"/>
      <c r="AL107" s="502"/>
      <c r="AM107" s="502"/>
      <c r="AN107" s="502"/>
      <c r="AO107" s="502"/>
      <c r="AP107" s="502"/>
      <c r="AQ107" s="502"/>
      <c r="AR107" s="36">
        <v>0</v>
      </c>
    </row>
    <row r="108" s="36" customFormat="1" ht="17.25" customHeight="1" spans="1:44">
      <c r="A108" s="453"/>
      <c r="D108" s="1276"/>
      <c r="E108" s="455"/>
      <c r="F108" s="458"/>
      <c r="G108" s="455"/>
      <c r="H108" s="506"/>
      <c r="I108" s="520"/>
      <c r="J108" s="452"/>
      <c r="K108" s="522"/>
      <c r="L108" s="525"/>
      <c r="M108" s="525"/>
      <c r="N108" s="525"/>
      <c r="O108" s="525"/>
      <c r="P108" s="525"/>
      <c r="Q108" s="525"/>
      <c r="R108" s="525"/>
      <c r="W108" s="540"/>
      <c r="Y108" s="503"/>
      <c r="Z108" s="503"/>
      <c r="AA108" s="503"/>
      <c r="AB108" s="503"/>
      <c r="AC108" s="503"/>
      <c r="AD108" s="503"/>
      <c r="AE108" s="503"/>
      <c r="AF108" s="503"/>
      <c r="AG108" s="503"/>
      <c r="AH108" s="503"/>
      <c r="AI108" s="503"/>
      <c r="AJ108" s="503"/>
      <c r="AK108" s="503"/>
      <c r="AL108" s="503"/>
      <c r="AM108" s="503"/>
      <c r="AN108" s="503"/>
      <c r="AO108" s="503"/>
      <c r="AP108" s="503"/>
      <c r="AQ108" s="503"/>
      <c r="AR108" s="36">
        <v>0</v>
      </c>
    </row>
    <row r="109" s="36" customFormat="1" ht="17.25" customHeight="1" spans="1:44">
      <c r="A109" s="453"/>
      <c r="D109" s="22"/>
      <c r="E109" s="459"/>
      <c r="F109" s="461"/>
      <c r="G109" s="459"/>
      <c r="H109" s="507"/>
      <c r="I109" s="526"/>
      <c r="J109" s="526"/>
      <c r="K109" s="526"/>
      <c r="L109" s="526"/>
      <c r="M109" s="526"/>
      <c r="N109" s="526"/>
      <c r="O109" s="526"/>
      <c r="P109" s="526"/>
      <c r="Q109" s="526"/>
      <c r="R109" s="526"/>
      <c r="S109" s="541"/>
      <c r="T109" s="541"/>
      <c r="U109" s="541"/>
      <c r="V109" s="541"/>
      <c r="W109" s="542"/>
      <c r="Y109" s="503"/>
      <c r="Z109" s="503"/>
      <c r="AA109" s="503"/>
      <c r="AB109" s="503"/>
      <c r="AC109" s="503"/>
      <c r="AD109" s="503"/>
      <c r="AE109" s="503"/>
      <c r="AF109" s="503"/>
      <c r="AG109" s="503"/>
      <c r="AH109" s="503"/>
      <c r="AI109" s="503"/>
      <c r="AJ109" s="503"/>
      <c r="AK109" s="503"/>
      <c r="AL109" s="503"/>
      <c r="AM109" s="503"/>
      <c r="AN109" s="503"/>
      <c r="AO109" s="503"/>
      <c r="AP109" s="503"/>
      <c r="AQ109" s="503"/>
      <c r="AR109" s="36">
        <v>0</v>
      </c>
    </row>
    <row r="110" s="36" customFormat="1" ht="17.25" customHeight="1" spans="1:44">
      <c r="A110" s="453"/>
      <c r="C110" s="217"/>
      <c r="D110" s="1276">
        <v>2</v>
      </c>
      <c r="E110" s="455" t="s">
        <v>250</v>
      </c>
      <c r="F110" s="456" t="s">
        <v>19</v>
      </c>
      <c r="G110" s="455"/>
      <c r="H110" s="505"/>
      <c r="I110" s="516"/>
      <c r="J110" s="517"/>
      <c r="K110" s="518"/>
      <c r="L110" s="518"/>
      <c r="M110" s="518"/>
      <c r="N110" s="519"/>
      <c r="O110" s="518"/>
      <c r="P110" s="518"/>
      <c r="Q110" s="518"/>
      <c r="R110" s="538"/>
      <c r="S110" s="518"/>
      <c r="T110" s="518"/>
      <c r="U110" s="518"/>
      <c r="V110" s="538"/>
      <c r="W110" s="539"/>
      <c r="X110" s="502"/>
      <c r="Y110" s="502"/>
      <c r="Z110" s="502"/>
      <c r="AA110" s="502"/>
      <c r="AB110" s="502"/>
      <c r="AC110" s="502" t="s">
        <v>251</v>
      </c>
      <c r="AD110" s="502" t="s">
        <v>252</v>
      </c>
      <c r="AE110" s="502" t="s">
        <v>253</v>
      </c>
      <c r="AF110" s="502" t="s">
        <v>254</v>
      </c>
      <c r="AG110" s="502"/>
      <c r="AH110" s="502" t="str">
        <f>IF($E$110=0,"",$E$110)</f>
        <v>Тариф на транспортировку горячей воды</v>
      </c>
      <c r="AI110" s="502" t="str">
        <f>IF($G$110=0,"",$G$110)</f>
        <v/>
      </c>
      <c r="AJ110" s="502" t="str">
        <f>IF($J$110=0,"",$J$110)</f>
        <v/>
      </c>
      <c r="AK110" s="502" t="str">
        <f>IF($K$110="нет","без дифференциации",IF($N$110=0,"",$N$110))</f>
        <v/>
      </c>
      <c r="AL110" s="502" t="str">
        <f>IF($O$110="нет","без дифференциации",IF($R$110=0,"",$R$110))</f>
        <v/>
      </c>
      <c r="AM110" s="502" t="str">
        <f>IF($S$110="нет","без дифференциации",IF($V$110=0,"",$V$110))</f>
        <v/>
      </c>
      <c r="AN110" s="1286">
        <f>$I$110</f>
        <v>0</v>
      </c>
      <c r="AO110" s="502" t="str">
        <f>$I$110&amp;"."&amp;$M$110</f>
        <v>.</v>
      </c>
      <c r="AP110" s="503" t="str">
        <f>$I$110&amp;"."&amp;$M$110&amp;"."&amp;$Q$110</f>
        <v>..</v>
      </c>
      <c r="AQ110" s="503" t="str">
        <f>$I$110&amp;"."&amp;$M$110&amp;"."&amp;$Q$110&amp;"."&amp;$U$110</f>
        <v>...</v>
      </c>
      <c r="AR110" s="36">
        <v>0</v>
      </c>
    </row>
    <row r="111" s="36" customFormat="1" ht="17.25" customHeight="1" spans="1:44">
      <c r="A111" s="453"/>
      <c r="D111" s="1276"/>
      <c r="E111" s="455"/>
      <c r="F111" s="458"/>
      <c r="G111" s="455"/>
      <c r="H111" s="506"/>
      <c r="I111" s="520"/>
      <c r="J111" s="521"/>
      <c r="K111" s="522"/>
      <c r="L111" s="522"/>
      <c r="M111" s="522"/>
      <c r="N111" s="523"/>
      <c r="O111" s="522"/>
      <c r="P111" s="522"/>
      <c r="Q111" s="522"/>
      <c r="R111" s="524"/>
      <c r="S111" s="522"/>
      <c r="T111" s="525"/>
      <c r="U111" s="525"/>
      <c r="V111" s="525"/>
      <c r="W111" s="540"/>
      <c r="X111" s="503"/>
      <c r="Y111" s="503"/>
      <c r="Z111" s="503"/>
      <c r="AA111" s="503"/>
      <c r="AB111" s="503"/>
      <c r="AC111" s="503"/>
      <c r="AD111" s="503"/>
      <c r="AE111" s="503"/>
      <c r="AF111" s="503"/>
      <c r="AG111" s="503"/>
      <c r="AH111" s="503"/>
      <c r="AI111" s="503"/>
      <c r="AJ111" s="503"/>
      <c r="AK111" s="503"/>
      <c r="AL111" s="503"/>
      <c r="AM111" s="503"/>
      <c r="AN111" s="503"/>
      <c r="AO111" s="503"/>
      <c r="AP111" s="503"/>
      <c r="AQ111" s="503"/>
      <c r="AR111" s="36">
        <v>0</v>
      </c>
    </row>
    <row r="112" s="36" customFormat="1" ht="17.25" customHeight="1" spans="1:44">
      <c r="A112" s="453"/>
      <c r="D112" s="22"/>
      <c r="E112" s="459"/>
      <c r="F112" s="458"/>
      <c r="G112" s="459"/>
      <c r="H112" s="506"/>
      <c r="I112" s="520"/>
      <c r="J112" s="452"/>
      <c r="K112" s="522"/>
      <c r="L112" s="522"/>
      <c r="M112" s="522"/>
      <c r="N112" s="524"/>
      <c r="O112" s="522"/>
      <c r="P112" s="522"/>
      <c r="Q112" s="525"/>
      <c r="R112" s="525"/>
      <c r="W112" s="540"/>
      <c r="X112" s="503"/>
      <c r="Y112" s="503"/>
      <c r="Z112" s="503"/>
      <c r="AA112" s="503"/>
      <c r="AB112" s="503"/>
      <c r="AC112" s="503"/>
      <c r="AD112" s="503"/>
      <c r="AE112" s="503"/>
      <c r="AF112" s="503"/>
      <c r="AG112" s="503"/>
      <c r="AH112" s="503"/>
      <c r="AI112" s="503"/>
      <c r="AJ112" s="503"/>
      <c r="AK112" s="503"/>
      <c r="AL112" s="503"/>
      <c r="AM112" s="503"/>
      <c r="AN112" s="503"/>
      <c r="AO112" s="503"/>
      <c r="AP112" s="503"/>
      <c r="AQ112" s="503"/>
      <c r="AR112" s="36">
        <v>0</v>
      </c>
    </row>
    <row r="113" s="36" customFormat="1" ht="17.25" customHeight="1" spans="1:44">
      <c r="A113" s="453"/>
      <c r="D113" s="22"/>
      <c r="E113" s="459"/>
      <c r="F113" s="458"/>
      <c r="G113" s="459"/>
      <c r="H113" s="506"/>
      <c r="I113" s="520"/>
      <c r="J113" s="452"/>
      <c r="K113" s="522"/>
      <c r="L113" s="525"/>
      <c r="M113" s="525"/>
      <c r="N113" s="525"/>
      <c r="O113" s="525"/>
      <c r="P113" s="525"/>
      <c r="Q113" s="525"/>
      <c r="R113" s="525"/>
      <c r="W113" s="540"/>
      <c r="X113" s="503"/>
      <c r="Y113" s="503"/>
      <c r="Z113" s="503"/>
      <c r="AA113" s="503"/>
      <c r="AB113" s="503"/>
      <c r="AC113" s="503"/>
      <c r="AD113" s="503"/>
      <c r="AE113" s="503"/>
      <c r="AF113" s="503"/>
      <c r="AG113" s="503"/>
      <c r="AH113" s="503"/>
      <c r="AI113" s="503"/>
      <c r="AJ113" s="503"/>
      <c r="AK113" s="503"/>
      <c r="AL113" s="503"/>
      <c r="AM113" s="503"/>
      <c r="AN113" s="503"/>
      <c r="AO113" s="503"/>
      <c r="AP113" s="503"/>
      <c r="AQ113" s="503"/>
      <c r="AR113" s="36">
        <v>0</v>
      </c>
    </row>
    <row r="114" s="36" customFormat="1" ht="17.25" customHeight="1" spans="1:44">
      <c r="A114" s="453"/>
      <c r="D114" s="22"/>
      <c r="E114" s="459"/>
      <c r="F114" s="461"/>
      <c r="G114" s="459"/>
      <c r="H114" s="507"/>
      <c r="I114" s="526"/>
      <c r="J114" s="526"/>
      <c r="K114" s="526"/>
      <c r="L114" s="526"/>
      <c r="M114" s="526"/>
      <c r="N114" s="526"/>
      <c r="O114" s="526"/>
      <c r="P114" s="526"/>
      <c r="Q114" s="526"/>
      <c r="R114" s="526"/>
      <c r="S114" s="541"/>
      <c r="T114" s="541"/>
      <c r="U114" s="541"/>
      <c r="V114" s="541"/>
      <c r="W114" s="542"/>
      <c r="X114" s="503"/>
      <c r="Y114" s="503"/>
      <c r="Z114" s="503"/>
      <c r="AA114" s="503"/>
      <c r="AB114" s="503"/>
      <c r="AC114" s="503"/>
      <c r="AD114" s="503"/>
      <c r="AE114" s="503"/>
      <c r="AF114" s="503"/>
      <c r="AG114" s="503"/>
      <c r="AH114" s="503"/>
      <c r="AI114" s="503"/>
      <c r="AJ114" s="503"/>
      <c r="AK114" s="503"/>
      <c r="AL114" s="503"/>
      <c r="AM114" s="503"/>
      <c r="AN114" s="503"/>
      <c r="AO114" s="503"/>
      <c r="AP114" s="503"/>
      <c r="AQ114" s="503"/>
      <c r="AR114" s="36">
        <v>0</v>
      </c>
    </row>
    <row r="115" s="36" customFormat="1" ht="17.25" customHeight="1" spans="1:44">
      <c r="A115" s="453"/>
      <c r="C115" s="217"/>
      <c r="D115" s="1276">
        <v>3</v>
      </c>
      <c r="E115" s="455" t="s">
        <v>255</v>
      </c>
      <c r="F115" s="456" t="s">
        <v>19</v>
      </c>
      <c r="G115" s="455"/>
      <c r="H115" s="505"/>
      <c r="I115" s="516"/>
      <c r="J115" s="517"/>
      <c r="K115" s="518"/>
      <c r="L115" s="518"/>
      <c r="M115" s="518"/>
      <c r="N115" s="519"/>
      <c r="O115" s="518"/>
      <c r="P115" s="518"/>
      <c r="Q115" s="518"/>
      <c r="R115" s="538"/>
      <c r="S115" s="518"/>
      <c r="T115" s="518"/>
      <c r="U115" s="518"/>
      <c r="V115" s="538"/>
      <c r="W115" s="539"/>
      <c r="X115" s="502"/>
      <c r="Y115" s="502"/>
      <c r="Z115" s="502"/>
      <c r="AA115" s="502"/>
      <c r="AB115" s="502"/>
      <c r="AC115" s="502" t="s">
        <v>256</v>
      </c>
      <c r="AD115" s="502" t="s">
        <v>257</v>
      </c>
      <c r="AE115" s="502" t="s">
        <v>258</v>
      </c>
      <c r="AF115" s="502" t="s">
        <v>259</v>
      </c>
      <c r="AG115" s="502"/>
      <c r="AH115" s="502" t="str">
        <f>IF($E$115=0,"",$E$115)</f>
        <v>Тариф на подключение (технологическое присоединение) к централизованной системе горячего водоснабжения</v>
      </c>
      <c r="AI115" s="502" t="str">
        <f>IF($G$115=0,"",$G$115)</f>
        <v/>
      </c>
      <c r="AJ115" s="502" t="str">
        <f>IF($J$115=0,"",$J$115)</f>
        <v/>
      </c>
      <c r="AK115" s="502" t="str">
        <f>IF($K$115="нет","без дифференциации",IF($N$115=0,"",$N$115))</f>
        <v/>
      </c>
      <c r="AL115" s="502" t="str">
        <f>IF($O$115="нет","без дифференциации",IF($R$115=0,"",$R$115))</f>
        <v/>
      </c>
      <c r="AM115" s="502" t="str">
        <f>IF($S$115="нет","без дифференциации",IF($V$115=0,"",$V$115))</f>
        <v/>
      </c>
      <c r="AN115" s="1286">
        <f>$I$115</f>
        <v>0</v>
      </c>
      <c r="AO115" s="502" t="str">
        <f>$I$115&amp;"."&amp;$M$115</f>
        <v>.</v>
      </c>
      <c r="AP115" s="503" t="str">
        <f>$I$115&amp;"."&amp;$M$115&amp;"."&amp;$Q$115</f>
        <v>..</v>
      </c>
      <c r="AQ115" s="503" t="str">
        <f>$I$115&amp;"."&amp;$M$115&amp;"."&amp;$Q$115&amp;"."&amp;$U$115</f>
        <v>...</v>
      </c>
      <c r="AR115" s="36">
        <v>0</v>
      </c>
    </row>
    <row r="116" s="36" customFormat="1" ht="17.25" customHeight="1" spans="1:44">
      <c r="A116" s="453"/>
      <c r="D116" s="1276"/>
      <c r="E116" s="455"/>
      <c r="F116" s="458"/>
      <c r="G116" s="455"/>
      <c r="H116" s="506"/>
      <c r="I116" s="520"/>
      <c r="J116" s="521"/>
      <c r="K116" s="522"/>
      <c r="L116" s="522"/>
      <c r="M116" s="522"/>
      <c r="N116" s="523"/>
      <c r="O116" s="522"/>
      <c r="P116" s="522"/>
      <c r="Q116" s="522"/>
      <c r="R116" s="524"/>
      <c r="S116" s="522"/>
      <c r="T116" s="525"/>
      <c r="U116" s="525"/>
      <c r="V116" s="525"/>
      <c r="W116" s="540"/>
      <c r="X116" s="503"/>
      <c r="Y116" s="503"/>
      <c r="Z116" s="503"/>
      <c r="AA116" s="503"/>
      <c r="AB116" s="503"/>
      <c r="AC116" s="503"/>
      <c r="AD116" s="503"/>
      <c r="AE116" s="503"/>
      <c r="AF116" s="503"/>
      <c r="AG116" s="503"/>
      <c r="AH116" s="503"/>
      <c r="AI116" s="503"/>
      <c r="AJ116" s="503"/>
      <c r="AK116" s="503"/>
      <c r="AL116" s="503"/>
      <c r="AM116" s="503"/>
      <c r="AN116" s="503"/>
      <c r="AO116" s="503"/>
      <c r="AP116" s="503"/>
      <c r="AQ116" s="503"/>
      <c r="AR116" s="36">
        <v>0</v>
      </c>
    </row>
    <row r="117" s="36" customFormat="1" ht="17.25" customHeight="1" spans="1:44">
      <c r="A117" s="453"/>
      <c r="D117" s="22"/>
      <c r="E117" s="459"/>
      <c r="F117" s="458"/>
      <c r="G117" s="459"/>
      <c r="H117" s="506"/>
      <c r="I117" s="520"/>
      <c r="J117" s="452"/>
      <c r="K117" s="522"/>
      <c r="L117" s="522"/>
      <c r="M117" s="522"/>
      <c r="N117" s="524"/>
      <c r="O117" s="522"/>
      <c r="P117" s="522"/>
      <c r="Q117" s="525"/>
      <c r="R117" s="525"/>
      <c r="W117" s="540"/>
      <c r="X117" s="503"/>
      <c r="Y117" s="503"/>
      <c r="Z117" s="503"/>
      <c r="AA117" s="503"/>
      <c r="AB117" s="503"/>
      <c r="AC117" s="503"/>
      <c r="AD117" s="503"/>
      <c r="AE117" s="503"/>
      <c r="AF117" s="503"/>
      <c r="AG117" s="503"/>
      <c r="AH117" s="503"/>
      <c r="AI117" s="503"/>
      <c r="AJ117" s="503"/>
      <c r="AK117" s="503"/>
      <c r="AL117" s="503"/>
      <c r="AM117" s="503"/>
      <c r="AN117" s="503"/>
      <c r="AO117" s="503"/>
      <c r="AP117" s="503"/>
      <c r="AQ117" s="503"/>
      <c r="AR117" s="36">
        <v>0</v>
      </c>
    </row>
    <row r="118" s="36" customFormat="1" ht="17.25" customHeight="1" spans="1:44">
      <c r="A118" s="453"/>
      <c r="D118" s="22"/>
      <c r="E118" s="459"/>
      <c r="F118" s="458"/>
      <c r="G118" s="459"/>
      <c r="H118" s="506"/>
      <c r="I118" s="520"/>
      <c r="J118" s="452"/>
      <c r="K118" s="522"/>
      <c r="L118" s="525"/>
      <c r="M118" s="525"/>
      <c r="N118" s="525"/>
      <c r="O118" s="525"/>
      <c r="P118" s="525"/>
      <c r="Q118" s="525"/>
      <c r="R118" s="525"/>
      <c r="W118" s="540"/>
      <c r="X118" s="503"/>
      <c r="Y118" s="503"/>
      <c r="Z118" s="503"/>
      <c r="AA118" s="503"/>
      <c r="AB118" s="503"/>
      <c r="AC118" s="503"/>
      <c r="AD118" s="503"/>
      <c r="AE118" s="503"/>
      <c r="AF118" s="503"/>
      <c r="AG118" s="503"/>
      <c r="AH118" s="503"/>
      <c r="AI118" s="503"/>
      <c r="AJ118" s="503"/>
      <c r="AK118" s="503"/>
      <c r="AL118" s="503"/>
      <c r="AM118" s="503"/>
      <c r="AN118" s="503"/>
      <c r="AO118" s="503"/>
      <c r="AP118" s="503"/>
      <c r="AQ118" s="503"/>
      <c r="AR118" s="36">
        <v>0</v>
      </c>
    </row>
    <row r="119" s="36" customFormat="1" ht="17.25" customHeight="1" spans="1:44">
      <c r="A119" s="453"/>
      <c r="D119" s="22"/>
      <c r="E119" s="459"/>
      <c r="F119" s="461"/>
      <c r="G119" s="459"/>
      <c r="H119" s="507"/>
      <c r="I119" s="526"/>
      <c r="J119" s="526"/>
      <c r="K119" s="526"/>
      <c r="L119" s="526"/>
      <c r="M119" s="526"/>
      <c r="N119" s="526"/>
      <c r="O119" s="526"/>
      <c r="P119" s="526"/>
      <c r="Q119" s="526"/>
      <c r="R119" s="526"/>
      <c r="S119" s="541"/>
      <c r="T119" s="541"/>
      <c r="U119" s="541"/>
      <c r="V119" s="541"/>
      <c r="W119" s="542"/>
      <c r="X119" s="503"/>
      <c r="Y119" s="503"/>
      <c r="Z119" s="503"/>
      <c r="AA119" s="503"/>
      <c r="AB119" s="503"/>
      <c r="AC119" s="503"/>
      <c r="AD119" s="503"/>
      <c r="AE119" s="503"/>
      <c r="AF119" s="503"/>
      <c r="AG119" s="503"/>
      <c r="AH119" s="503"/>
      <c r="AI119" s="503"/>
      <c r="AJ119" s="503"/>
      <c r="AK119" s="503"/>
      <c r="AL119" s="503"/>
      <c r="AM119" s="503"/>
      <c r="AN119" s="503"/>
      <c r="AO119" s="503"/>
      <c r="AP119" s="503"/>
      <c r="AQ119" s="503"/>
      <c r="AR119" s="36">
        <v>0</v>
      </c>
    </row>
    <row r="120" s="36" customFormat="1" customHeight="1" spans="1:44">
      <c r="A120" s="151"/>
      <c r="B120" s="151"/>
      <c r="Y120" s="503"/>
      <c r="Z120" s="503"/>
      <c r="AA120" s="503"/>
      <c r="AB120" s="503"/>
      <c r="AC120" s="503"/>
      <c r="AD120" s="503"/>
      <c r="AE120" s="503"/>
      <c r="AF120" s="503"/>
      <c r="AG120" s="503"/>
      <c r="AH120" s="503"/>
      <c r="AI120" s="503"/>
      <c r="AJ120" s="503"/>
      <c r="AK120" s="503"/>
      <c r="AL120" s="503"/>
      <c r="AM120" s="503"/>
      <c r="AN120" s="503"/>
      <c r="AO120" s="503"/>
      <c r="AP120" s="503"/>
      <c r="AQ120" s="503"/>
      <c r="AR120" s="36">
        <v>0</v>
      </c>
    </row>
    <row r="121" s="36" customFormat="1" ht="17.25" customHeight="1" spans="1:44">
      <c r="A121" s="453"/>
      <c r="C121" s="217"/>
      <c r="D121" s="1276">
        <v>1</v>
      </c>
      <c r="E121" s="455" t="s">
        <v>260</v>
      </c>
      <c r="F121" s="456" t="s">
        <v>19</v>
      </c>
      <c r="G121" s="455"/>
      <c r="H121" s="505"/>
      <c r="I121" s="516"/>
      <c r="J121" s="517"/>
      <c r="K121" s="518"/>
      <c r="L121" s="518"/>
      <c r="M121" s="518"/>
      <c r="N121" s="519"/>
      <c r="O121" s="518"/>
      <c r="P121" s="518"/>
      <c r="Q121" s="518"/>
      <c r="R121" s="538"/>
      <c r="S121" s="518"/>
      <c r="T121" s="518"/>
      <c r="U121" s="518"/>
      <c r="V121" s="538"/>
      <c r="W121" s="539"/>
      <c r="Y121" s="502"/>
      <c r="Z121" s="502"/>
      <c r="AA121" s="502"/>
      <c r="AB121" s="502"/>
      <c r="AC121" s="502" t="s">
        <v>261</v>
      </c>
      <c r="AD121" s="502" t="s">
        <v>262</v>
      </c>
      <c r="AE121" s="502" t="s">
        <v>263</v>
      </c>
      <c r="AF121" s="502" t="s">
        <v>264</v>
      </c>
      <c r="AG121" s="502"/>
      <c r="AH121" s="502" t="str">
        <f>IF($E$121=0,"",$E$121)</f>
        <v>Тариф на водоотведение</v>
      </c>
      <c r="AI121" s="502" t="str">
        <f>IF($G$121=0,"",$G$121)</f>
        <v/>
      </c>
      <c r="AJ121" s="502" t="str">
        <f>IF($J$121=0,"",$J$121)</f>
        <v/>
      </c>
      <c r="AK121" s="502" t="str">
        <f>IF($K$121="нет","без дифференциации",IF($N$121=0,"",$N$121))</f>
        <v/>
      </c>
      <c r="AL121" s="502" t="str">
        <f>IF($O$121="нет","без дифференциации",IF($R$121=0,"",$R$121))</f>
        <v/>
      </c>
      <c r="AM121" s="502" t="str">
        <f>IF($S$121="нет","без дифференциации",IF($V$121=0,"",$V$121))</f>
        <v/>
      </c>
      <c r="AN121" s="502">
        <f>$I$121</f>
        <v>0</v>
      </c>
      <c r="AO121" s="502" t="str">
        <f>$I$121&amp;"."&amp;$M$121</f>
        <v>.</v>
      </c>
      <c r="AP121" s="502" t="str">
        <f>$I$121&amp;"."&amp;$M$121&amp;"."&amp;$Q$121</f>
        <v>..</v>
      </c>
      <c r="AQ121" s="502" t="str">
        <f>$I$121&amp;"."&amp;$M$121&amp;"."&amp;$Q$121&amp;"."&amp;$U$121</f>
        <v>...</v>
      </c>
      <c r="AR121" s="36">
        <v>0</v>
      </c>
    </row>
    <row r="122" s="36" customFormat="1" ht="17.25" customHeight="1" spans="1:44">
      <c r="A122" s="453"/>
      <c r="D122" s="1276"/>
      <c r="E122" s="455"/>
      <c r="F122" s="458"/>
      <c r="G122" s="455"/>
      <c r="H122" s="506"/>
      <c r="I122" s="520"/>
      <c r="J122" s="521"/>
      <c r="K122" s="522"/>
      <c r="L122" s="522"/>
      <c r="M122" s="522"/>
      <c r="N122" s="523"/>
      <c r="O122" s="522"/>
      <c r="P122" s="522"/>
      <c r="Q122" s="522"/>
      <c r="R122" s="524"/>
      <c r="S122" s="522"/>
      <c r="T122" s="525"/>
      <c r="U122" s="525"/>
      <c r="V122" s="525"/>
      <c r="W122" s="540"/>
      <c r="Y122" s="503"/>
      <c r="Z122" s="503"/>
      <c r="AA122" s="503"/>
      <c r="AB122" s="503"/>
      <c r="AC122" s="503"/>
      <c r="AD122" s="503"/>
      <c r="AE122" s="503"/>
      <c r="AF122" s="503"/>
      <c r="AG122" s="503"/>
      <c r="AH122" s="503"/>
      <c r="AI122" s="503"/>
      <c r="AJ122" s="503"/>
      <c r="AK122" s="503"/>
      <c r="AL122" s="503"/>
      <c r="AM122" s="503"/>
      <c r="AN122" s="503"/>
      <c r="AO122" s="503"/>
      <c r="AP122" s="503"/>
      <c r="AQ122" s="503"/>
      <c r="AR122" s="36">
        <v>0</v>
      </c>
    </row>
    <row r="123" s="36" customFormat="1" ht="17.25" customHeight="1" spans="1:44">
      <c r="A123" s="453"/>
      <c r="C123" s="217"/>
      <c r="D123" s="1276"/>
      <c r="E123" s="455"/>
      <c r="F123" s="458"/>
      <c r="G123" s="455"/>
      <c r="H123" s="506"/>
      <c r="I123" s="520"/>
      <c r="J123" s="452"/>
      <c r="K123" s="522"/>
      <c r="L123" s="522"/>
      <c r="M123" s="522"/>
      <c r="N123" s="524"/>
      <c r="O123" s="522"/>
      <c r="P123" s="522"/>
      <c r="Q123" s="525"/>
      <c r="R123" s="525"/>
      <c r="W123" s="540"/>
      <c r="Y123" s="502"/>
      <c r="Z123" s="502"/>
      <c r="AA123" s="502"/>
      <c r="AB123" s="502"/>
      <c r="AC123" s="502"/>
      <c r="AD123" s="502"/>
      <c r="AE123" s="502"/>
      <c r="AF123" s="502"/>
      <c r="AG123" s="502"/>
      <c r="AH123" s="502"/>
      <c r="AI123" s="502"/>
      <c r="AJ123" s="502"/>
      <c r="AK123" s="502"/>
      <c r="AL123" s="502"/>
      <c r="AM123" s="502"/>
      <c r="AN123" s="502"/>
      <c r="AO123" s="502"/>
      <c r="AP123" s="502"/>
      <c r="AQ123" s="502"/>
      <c r="AR123" s="36">
        <v>0</v>
      </c>
    </row>
    <row r="124" s="36" customFormat="1" ht="17.25" customHeight="1" spans="1:44">
      <c r="A124" s="453"/>
      <c r="D124" s="1276"/>
      <c r="E124" s="455"/>
      <c r="F124" s="458"/>
      <c r="G124" s="455"/>
      <c r="H124" s="506"/>
      <c r="I124" s="520"/>
      <c r="J124" s="452"/>
      <c r="K124" s="522"/>
      <c r="L124" s="525"/>
      <c r="M124" s="525"/>
      <c r="N124" s="525"/>
      <c r="O124" s="525"/>
      <c r="P124" s="525"/>
      <c r="Q124" s="525"/>
      <c r="R124" s="525"/>
      <c r="W124" s="540"/>
      <c r="Y124" s="503"/>
      <c r="Z124" s="503"/>
      <c r="AA124" s="503"/>
      <c r="AB124" s="503"/>
      <c r="AC124" s="503"/>
      <c r="AD124" s="503"/>
      <c r="AE124" s="503"/>
      <c r="AF124" s="503"/>
      <c r="AG124" s="503"/>
      <c r="AH124" s="503"/>
      <c r="AI124" s="503"/>
      <c r="AJ124" s="503"/>
      <c r="AK124" s="503"/>
      <c r="AL124" s="503"/>
      <c r="AM124" s="503"/>
      <c r="AN124" s="503"/>
      <c r="AO124" s="503"/>
      <c r="AP124" s="503"/>
      <c r="AQ124" s="503"/>
      <c r="AR124" s="36">
        <v>0</v>
      </c>
    </row>
    <row r="125" s="36" customFormat="1" ht="17.25" customHeight="1" spans="1:44">
      <c r="A125" s="453"/>
      <c r="D125" s="22"/>
      <c r="E125" s="459"/>
      <c r="F125" s="461"/>
      <c r="G125" s="459"/>
      <c r="H125" s="507"/>
      <c r="I125" s="526"/>
      <c r="J125" s="526"/>
      <c r="K125" s="526"/>
      <c r="L125" s="526"/>
      <c r="M125" s="526"/>
      <c r="N125" s="526"/>
      <c r="O125" s="526"/>
      <c r="P125" s="526"/>
      <c r="Q125" s="526"/>
      <c r="R125" s="526"/>
      <c r="S125" s="541"/>
      <c r="T125" s="541"/>
      <c r="U125" s="541"/>
      <c r="V125" s="541"/>
      <c r="W125" s="542"/>
      <c r="Y125" s="503"/>
      <c r="Z125" s="503"/>
      <c r="AA125" s="503"/>
      <c r="AB125" s="503"/>
      <c r="AC125" s="503"/>
      <c r="AD125" s="503"/>
      <c r="AE125" s="503"/>
      <c r="AF125" s="503"/>
      <c r="AG125" s="503"/>
      <c r="AH125" s="503"/>
      <c r="AI125" s="503"/>
      <c r="AJ125" s="503"/>
      <c r="AK125" s="503"/>
      <c r="AL125" s="503"/>
      <c r="AM125" s="503"/>
      <c r="AN125" s="503"/>
      <c r="AO125" s="503"/>
      <c r="AP125" s="503"/>
      <c r="AQ125" s="503"/>
      <c r="AR125" s="36">
        <v>0</v>
      </c>
    </row>
    <row r="126" s="36" customFormat="1" ht="17.25" customHeight="1" spans="1:44">
      <c r="A126" s="453"/>
      <c r="C126" s="217"/>
      <c r="D126" s="1276">
        <v>2</v>
      </c>
      <c r="E126" s="455" t="s">
        <v>265</v>
      </c>
      <c r="F126" s="456" t="s">
        <v>19</v>
      </c>
      <c r="G126" s="455"/>
      <c r="H126" s="505"/>
      <c r="I126" s="516"/>
      <c r="J126" s="517"/>
      <c r="K126" s="518"/>
      <c r="L126" s="518"/>
      <c r="M126" s="518"/>
      <c r="N126" s="519"/>
      <c r="O126" s="518"/>
      <c r="P126" s="518"/>
      <c r="Q126" s="518"/>
      <c r="R126" s="538"/>
      <c r="S126" s="518"/>
      <c r="T126" s="518"/>
      <c r="U126" s="518"/>
      <c r="V126" s="538"/>
      <c r="W126" s="539"/>
      <c r="X126" s="502"/>
      <c r="Y126" s="502"/>
      <c r="Z126" s="502"/>
      <c r="AA126" s="502"/>
      <c r="AB126" s="502"/>
      <c r="AC126" s="502" t="s">
        <v>266</v>
      </c>
      <c r="AD126" s="502" t="s">
        <v>267</v>
      </c>
      <c r="AE126" s="502" t="s">
        <v>268</v>
      </c>
      <c r="AF126" s="502" t="s">
        <v>269</v>
      </c>
      <c r="AG126" s="502"/>
      <c r="AH126" s="502" t="str">
        <f>IF($E$126=0,"",$E$126)</f>
        <v>Тариф на транспортировку сточных вод</v>
      </c>
      <c r="AI126" s="502" t="str">
        <f>IF($G$126=0,"",$G$126)</f>
        <v/>
      </c>
      <c r="AJ126" s="502" t="str">
        <f>IF($J$126=0,"",$J$126)</f>
        <v/>
      </c>
      <c r="AK126" s="502" t="str">
        <f>IF($K$126="нет","без дифференциации",IF($N$126=0,"",$N$126))</f>
        <v/>
      </c>
      <c r="AL126" s="502" t="str">
        <f>IF($O$126="нет","без дифференциации",IF($R$126=0,"",$R$126))</f>
        <v/>
      </c>
      <c r="AM126" s="502" t="str">
        <f>IF($S$126="нет","без дифференциации",IF($V$126=0,"",$V$126))</f>
        <v/>
      </c>
      <c r="AN126" s="1286">
        <f>$I$126</f>
        <v>0</v>
      </c>
      <c r="AO126" s="502" t="str">
        <f>$I$126&amp;"."&amp;$M$126</f>
        <v>.</v>
      </c>
      <c r="AP126" s="503" t="str">
        <f>$I$126&amp;"."&amp;$M$126&amp;"."&amp;$Q$126</f>
        <v>..</v>
      </c>
      <c r="AQ126" s="503" t="str">
        <f>$I$126&amp;"."&amp;$M$126&amp;"."&amp;$Q$126&amp;"."&amp;$U$126</f>
        <v>...</v>
      </c>
      <c r="AR126" s="36">
        <v>0</v>
      </c>
    </row>
    <row r="127" s="36" customFormat="1" ht="17.25" customHeight="1" spans="1:44">
      <c r="A127" s="453"/>
      <c r="D127" s="1276"/>
      <c r="E127" s="455"/>
      <c r="F127" s="458"/>
      <c r="G127" s="455"/>
      <c r="H127" s="506"/>
      <c r="I127" s="520"/>
      <c r="J127" s="521"/>
      <c r="K127" s="522"/>
      <c r="L127" s="522"/>
      <c r="M127" s="522"/>
      <c r="N127" s="523"/>
      <c r="O127" s="522"/>
      <c r="P127" s="522"/>
      <c r="Q127" s="522"/>
      <c r="R127" s="524"/>
      <c r="S127" s="522"/>
      <c r="T127" s="525"/>
      <c r="U127" s="525"/>
      <c r="V127" s="525"/>
      <c r="W127" s="540"/>
      <c r="X127" s="503"/>
      <c r="Y127" s="503"/>
      <c r="Z127" s="503"/>
      <c r="AA127" s="503"/>
      <c r="AB127" s="503"/>
      <c r="AC127" s="503"/>
      <c r="AD127" s="503"/>
      <c r="AE127" s="503"/>
      <c r="AF127" s="503"/>
      <c r="AG127" s="503"/>
      <c r="AH127" s="503"/>
      <c r="AI127" s="503"/>
      <c r="AJ127" s="503"/>
      <c r="AK127" s="503"/>
      <c r="AL127" s="503"/>
      <c r="AM127" s="503"/>
      <c r="AN127" s="503"/>
      <c r="AO127" s="503"/>
      <c r="AP127" s="503"/>
      <c r="AQ127" s="503"/>
      <c r="AR127" s="36">
        <v>0</v>
      </c>
    </row>
    <row r="128" s="36" customFormat="1" ht="17.25" customHeight="1" spans="1:44">
      <c r="A128" s="453"/>
      <c r="D128" s="22"/>
      <c r="E128" s="459"/>
      <c r="F128" s="458"/>
      <c r="G128" s="459"/>
      <c r="H128" s="506"/>
      <c r="I128" s="520"/>
      <c r="J128" s="452"/>
      <c r="K128" s="522"/>
      <c r="L128" s="522"/>
      <c r="M128" s="522"/>
      <c r="N128" s="524"/>
      <c r="O128" s="522"/>
      <c r="P128" s="522"/>
      <c r="Q128" s="525"/>
      <c r="R128" s="525"/>
      <c r="W128" s="540"/>
      <c r="X128" s="503"/>
      <c r="Y128" s="503"/>
      <c r="Z128" s="503"/>
      <c r="AA128" s="503"/>
      <c r="AB128" s="503"/>
      <c r="AC128" s="503"/>
      <c r="AD128" s="503"/>
      <c r="AE128" s="503"/>
      <c r="AF128" s="503"/>
      <c r="AG128" s="503"/>
      <c r="AH128" s="503"/>
      <c r="AI128" s="503"/>
      <c r="AJ128" s="503"/>
      <c r="AK128" s="503"/>
      <c r="AL128" s="503"/>
      <c r="AM128" s="503"/>
      <c r="AN128" s="503"/>
      <c r="AO128" s="503"/>
      <c r="AP128" s="503"/>
      <c r="AQ128" s="503"/>
      <c r="AR128" s="36">
        <v>0</v>
      </c>
    </row>
    <row r="129" s="36" customFormat="1" ht="17.25" customHeight="1" spans="1:44">
      <c r="A129" s="453"/>
      <c r="D129" s="22"/>
      <c r="E129" s="459"/>
      <c r="F129" s="458"/>
      <c r="G129" s="459"/>
      <c r="H129" s="506"/>
      <c r="I129" s="520"/>
      <c r="J129" s="452"/>
      <c r="K129" s="522"/>
      <c r="L129" s="525"/>
      <c r="M129" s="525"/>
      <c r="N129" s="525"/>
      <c r="O129" s="525"/>
      <c r="P129" s="525"/>
      <c r="Q129" s="525"/>
      <c r="R129" s="525"/>
      <c r="W129" s="540"/>
      <c r="X129" s="503"/>
      <c r="Y129" s="503"/>
      <c r="Z129" s="503"/>
      <c r="AA129" s="503"/>
      <c r="AB129" s="503"/>
      <c r="AC129" s="503"/>
      <c r="AD129" s="503"/>
      <c r="AE129" s="503"/>
      <c r="AF129" s="503"/>
      <c r="AG129" s="503"/>
      <c r="AH129" s="503"/>
      <c r="AI129" s="503"/>
      <c r="AJ129" s="503"/>
      <c r="AK129" s="503"/>
      <c r="AL129" s="503"/>
      <c r="AM129" s="503"/>
      <c r="AN129" s="503"/>
      <c r="AO129" s="503"/>
      <c r="AP129" s="503"/>
      <c r="AQ129" s="503"/>
      <c r="AR129" s="36">
        <v>0</v>
      </c>
    </row>
    <row r="130" s="36" customFormat="1" ht="17.25" customHeight="1" spans="1:44">
      <c r="A130" s="453"/>
      <c r="D130" s="22"/>
      <c r="E130" s="459"/>
      <c r="F130" s="461"/>
      <c r="G130" s="459"/>
      <c r="H130" s="507"/>
      <c r="I130" s="526"/>
      <c r="J130" s="526"/>
      <c r="K130" s="526"/>
      <c r="L130" s="526"/>
      <c r="M130" s="526"/>
      <c r="N130" s="526"/>
      <c r="O130" s="526"/>
      <c r="P130" s="526"/>
      <c r="Q130" s="526"/>
      <c r="R130" s="526"/>
      <c r="S130" s="541"/>
      <c r="T130" s="541"/>
      <c r="U130" s="541"/>
      <c r="V130" s="541"/>
      <c r="W130" s="542"/>
      <c r="X130" s="503"/>
      <c r="Y130" s="503"/>
      <c r="Z130" s="503"/>
      <c r="AA130" s="503"/>
      <c r="AB130" s="503"/>
      <c r="AC130" s="503"/>
      <c r="AD130" s="503"/>
      <c r="AE130" s="503"/>
      <c r="AF130" s="503"/>
      <c r="AG130" s="503"/>
      <c r="AH130" s="503"/>
      <c r="AI130" s="503"/>
      <c r="AJ130" s="503"/>
      <c r="AK130" s="503"/>
      <c r="AL130" s="503"/>
      <c r="AM130" s="503"/>
      <c r="AN130" s="503"/>
      <c r="AO130" s="503"/>
      <c r="AP130" s="503"/>
      <c r="AQ130" s="503"/>
      <c r="AR130" s="36">
        <v>0</v>
      </c>
    </row>
    <row r="131" s="36" customFormat="1" ht="17.25" customHeight="1" spans="1:44">
      <c r="A131" s="453"/>
      <c r="C131" s="217"/>
      <c r="D131" s="1276">
        <v>3</v>
      </c>
      <c r="E131" s="455" t="s">
        <v>270</v>
      </c>
      <c r="F131" s="456" t="s">
        <v>19</v>
      </c>
      <c r="G131" s="455"/>
      <c r="H131" s="505"/>
      <c r="I131" s="516"/>
      <c r="J131" s="517"/>
      <c r="K131" s="518"/>
      <c r="L131" s="518"/>
      <c r="M131" s="518"/>
      <c r="N131" s="519"/>
      <c r="O131" s="518"/>
      <c r="P131" s="518"/>
      <c r="Q131" s="518"/>
      <c r="R131" s="538"/>
      <c r="S131" s="518"/>
      <c r="T131" s="518"/>
      <c r="U131" s="518"/>
      <c r="V131" s="538"/>
      <c r="W131" s="539"/>
      <c r="X131" s="502"/>
      <c r="Y131" s="502"/>
      <c r="Z131" s="502"/>
      <c r="AA131" s="502"/>
      <c r="AB131" s="502"/>
      <c r="AC131" s="502" t="s">
        <v>271</v>
      </c>
      <c r="AD131" s="502" t="s">
        <v>272</v>
      </c>
      <c r="AE131" s="502" t="s">
        <v>273</v>
      </c>
      <c r="AF131" s="502" t="s">
        <v>274</v>
      </c>
      <c r="AG131" s="502"/>
      <c r="AH131" s="502" t="str">
        <f>IF($E$131=0,"",$E$131)</f>
        <v>Тариф на подключение (технологическое присоединение) к централизованной системе водоотведения</v>
      </c>
      <c r="AI131" s="502" t="str">
        <f>IF($G$131=0,"",$G$131)</f>
        <v/>
      </c>
      <c r="AJ131" s="502" t="str">
        <f>IF($J$131=0,"",$J$131)</f>
        <v/>
      </c>
      <c r="AK131" s="502" t="str">
        <f>IF($K$131="нет","без дифференциации",IF($N$131=0,"",$N$131))</f>
        <v/>
      </c>
      <c r="AL131" s="502" t="str">
        <f>IF($O$131="нет","без дифференциации",IF($R$131=0,"",$R$131))</f>
        <v/>
      </c>
      <c r="AM131" s="502" t="str">
        <f>IF($S$131="нет","без дифференциации",IF($V$131=0,"",$V$131))</f>
        <v/>
      </c>
      <c r="AN131" s="1286">
        <f>$I$131</f>
        <v>0</v>
      </c>
      <c r="AO131" s="502" t="str">
        <f>$I$131&amp;"."&amp;$M$131</f>
        <v>.</v>
      </c>
      <c r="AP131" s="503" t="str">
        <f>$I$131&amp;"."&amp;$M$131&amp;"."&amp;$Q$131</f>
        <v>..</v>
      </c>
      <c r="AQ131" s="503" t="str">
        <f>$I$131&amp;"."&amp;$M$131&amp;"."&amp;$Q$131&amp;"."&amp;$U$131</f>
        <v>...</v>
      </c>
      <c r="AR131" s="36">
        <v>0</v>
      </c>
    </row>
    <row r="132" s="36" customFormat="1" ht="17.25" customHeight="1" spans="1:44">
      <c r="A132" s="453"/>
      <c r="D132" s="1276"/>
      <c r="E132" s="455"/>
      <c r="F132" s="458"/>
      <c r="G132" s="455"/>
      <c r="H132" s="506"/>
      <c r="I132" s="520"/>
      <c r="J132" s="521"/>
      <c r="K132" s="522"/>
      <c r="L132" s="522"/>
      <c r="M132" s="522"/>
      <c r="N132" s="523"/>
      <c r="O132" s="522"/>
      <c r="P132" s="522"/>
      <c r="Q132" s="522"/>
      <c r="R132" s="524"/>
      <c r="S132" s="522"/>
      <c r="T132" s="525"/>
      <c r="U132" s="525"/>
      <c r="V132" s="525"/>
      <c r="W132" s="540"/>
      <c r="X132" s="503"/>
      <c r="Y132" s="503"/>
      <c r="Z132" s="503"/>
      <c r="AA132" s="503"/>
      <c r="AB132" s="503"/>
      <c r="AC132" s="503"/>
      <c r="AD132" s="503"/>
      <c r="AE132" s="503"/>
      <c r="AF132" s="503"/>
      <c r="AG132" s="503"/>
      <c r="AH132" s="503"/>
      <c r="AI132" s="503"/>
      <c r="AJ132" s="503"/>
      <c r="AK132" s="503"/>
      <c r="AL132" s="503"/>
      <c r="AM132" s="503"/>
      <c r="AN132" s="503"/>
      <c r="AO132" s="503"/>
      <c r="AP132" s="503"/>
      <c r="AQ132" s="503"/>
      <c r="AR132" s="36">
        <v>0</v>
      </c>
    </row>
    <row r="133" s="36" customFormat="1" ht="17.25" customHeight="1" spans="1:44">
      <c r="A133" s="453"/>
      <c r="D133" s="22"/>
      <c r="E133" s="459"/>
      <c r="F133" s="458"/>
      <c r="G133" s="459"/>
      <c r="H133" s="506"/>
      <c r="I133" s="520"/>
      <c r="J133" s="452"/>
      <c r="K133" s="522"/>
      <c r="L133" s="522"/>
      <c r="M133" s="522"/>
      <c r="N133" s="524"/>
      <c r="O133" s="522"/>
      <c r="P133" s="522"/>
      <c r="Q133" s="525"/>
      <c r="R133" s="525"/>
      <c r="W133" s="540"/>
      <c r="X133" s="503"/>
      <c r="Y133" s="503"/>
      <c r="Z133" s="503"/>
      <c r="AA133" s="503"/>
      <c r="AB133" s="503"/>
      <c r="AC133" s="503"/>
      <c r="AD133" s="503"/>
      <c r="AE133" s="503"/>
      <c r="AF133" s="503"/>
      <c r="AG133" s="503"/>
      <c r="AH133" s="503"/>
      <c r="AI133" s="503"/>
      <c r="AJ133" s="503"/>
      <c r="AK133" s="503"/>
      <c r="AL133" s="503"/>
      <c r="AM133" s="503"/>
      <c r="AN133" s="503"/>
      <c r="AO133" s="503"/>
      <c r="AP133" s="503"/>
      <c r="AQ133" s="503"/>
      <c r="AR133" s="36">
        <v>0</v>
      </c>
    </row>
    <row r="134" s="36" customFormat="1" ht="17.25" customHeight="1" spans="1:44">
      <c r="A134" s="453"/>
      <c r="D134" s="22"/>
      <c r="E134" s="459"/>
      <c r="F134" s="458"/>
      <c r="G134" s="459"/>
      <c r="H134" s="506"/>
      <c r="I134" s="520"/>
      <c r="J134" s="452"/>
      <c r="K134" s="522"/>
      <c r="L134" s="525"/>
      <c r="M134" s="525"/>
      <c r="N134" s="525"/>
      <c r="O134" s="525"/>
      <c r="P134" s="525"/>
      <c r="Q134" s="525"/>
      <c r="R134" s="525"/>
      <c r="W134" s="540"/>
      <c r="X134" s="503"/>
      <c r="Y134" s="503"/>
      <c r="Z134" s="503"/>
      <c r="AA134" s="503"/>
      <c r="AB134" s="503"/>
      <c r="AC134" s="503"/>
      <c r="AD134" s="503"/>
      <c r="AE134" s="503"/>
      <c r="AF134" s="503"/>
      <c r="AG134" s="503"/>
      <c r="AH134" s="503"/>
      <c r="AI134" s="503"/>
      <c r="AJ134" s="503"/>
      <c r="AK134" s="503"/>
      <c r="AL134" s="503"/>
      <c r="AM134" s="503"/>
      <c r="AN134" s="503"/>
      <c r="AO134" s="503"/>
      <c r="AP134" s="503"/>
      <c r="AQ134" s="503"/>
      <c r="AR134" s="36">
        <v>0</v>
      </c>
    </row>
    <row r="135" s="36" customFormat="1" ht="17.25" customHeight="1" spans="1:44">
      <c r="A135" s="453"/>
      <c r="D135" s="22"/>
      <c r="E135" s="459"/>
      <c r="F135" s="461"/>
      <c r="G135" s="459"/>
      <c r="H135" s="507"/>
      <c r="I135" s="526"/>
      <c r="J135" s="526"/>
      <c r="K135" s="526"/>
      <c r="L135" s="526"/>
      <c r="M135" s="526"/>
      <c r="N135" s="526"/>
      <c r="O135" s="526"/>
      <c r="P135" s="526"/>
      <c r="Q135" s="526"/>
      <c r="R135" s="526"/>
      <c r="S135" s="541"/>
      <c r="T135" s="541"/>
      <c r="U135" s="541"/>
      <c r="V135" s="541"/>
      <c r="W135" s="542"/>
      <c r="X135" s="503"/>
      <c r="Y135" s="503"/>
      <c r="Z135" s="503"/>
      <c r="AA135" s="503"/>
      <c r="AB135" s="503"/>
      <c r="AC135" s="503"/>
      <c r="AD135" s="503"/>
      <c r="AE135" s="503"/>
      <c r="AF135" s="503"/>
      <c r="AG135" s="503"/>
      <c r="AH135" s="503"/>
      <c r="AI135" s="503"/>
      <c r="AJ135" s="503"/>
      <c r="AK135" s="503"/>
      <c r="AL135" s="503"/>
      <c r="AM135" s="503"/>
      <c r="AN135" s="503"/>
      <c r="AO135" s="503"/>
      <c r="AP135" s="503"/>
      <c r="AQ135" s="503"/>
      <c r="AR135" s="36">
        <v>0</v>
      </c>
    </row>
    <row r="136" ht="11.55" customHeight="1" spans="44:44">
      <c r="AR136" s="36">
        <v>11</v>
      </c>
    </row>
    <row r="137" ht="11.55" customHeight="1" spans="44:44">
      <c r="AR137" s="36">
        <v>11</v>
      </c>
    </row>
    <row r="138" ht="11.55" customHeight="1" spans="44:44">
      <c r="AR138" s="36">
        <v>11</v>
      </c>
    </row>
    <row r="139" ht="11.55" customHeight="1" spans="44:44">
      <c r="AR139" s="36">
        <v>11</v>
      </c>
    </row>
    <row r="140" ht="11.55" customHeight="1" spans="44:44">
      <c r="AR140" s="36">
        <v>11</v>
      </c>
    </row>
    <row r="141" ht="11.55" customHeight="1" spans="44:44">
      <c r="AR141" s="36">
        <v>11</v>
      </c>
    </row>
    <row r="142" ht="11.55" customHeight="1" spans="44:44">
      <c r="AR142" s="36">
        <v>11</v>
      </c>
    </row>
    <row r="143" ht="11.55" customHeight="1" spans="44:44">
      <c r="AR143" s="36">
        <v>11</v>
      </c>
    </row>
    <row r="144" ht="11.55" customHeight="1" spans="44:44">
      <c r="AR144" s="36">
        <v>11</v>
      </c>
    </row>
    <row r="145" ht="11.55" customHeight="1" spans="44:44">
      <c r="AR145" s="36">
        <v>11</v>
      </c>
    </row>
    <row r="146" hidden="1" customHeight="1" spans="1:44">
      <c r="A146" s="151" t="s">
        <v>83</v>
      </c>
      <c r="B146" s="151">
        <v>0</v>
      </c>
      <c r="C146" s="36">
        <v>3</v>
      </c>
      <c r="D146" s="36">
        <v>6</v>
      </c>
      <c r="E146" s="36">
        <v>42</v>
      </c>
      <c r="F146" s="36">
        <v>14</v>
      </c>
      <c r="G146" s="36">
        <v>42</v>
      </c>
      <c r="H146" s="36">
        <v>3</v>
      </c>
      <c r="I146" s="36">
        <v>5</v>
      </c>
      <c r="J146" s="36">
        <v>47</v>
      </c>
      <c r="K146" s="36">
        <v>3</v>
      </c>
      <c r="L146" s="36">
        <v>3</v>
      </c>
      <c r="M146" s="36">
        <v>5</v>
      </c>
      <c r="N146" s="36">
        <v>28</v>
      </c>
      <c r="O146" s="36">
        <v>3</v>
      </c>
      <c r="P146" s="36">
        <v>3</v>
      </c>
      <c r="Q146" s="36">
        <v>5</v>
      </c>
      <c r="R146" s="36">
        <v>34</v>
      </c>
      <c r="S146" s="36">
        <v>0</v>
      </c>
      <c r="T146" s="36">
        <v>0</v>
      </c>
      <c r="U146" s="36">
        <v>0</v>
      </c>
      <c r="V146" s="36">
        <v>0</v>
      </c>
      <c r="W146" s="36">
        <v>30</v>
      </c>
      <c r="X146" s="36">
        <v>3</v>
      </c>
      <c r="Y146" s="503">
        <v>0</v>
      </c>
      <c r="Z146" s="503">
        <v>0</v>
      </c>
      <c r="AA146" s="503">
        <v>0</v>
      </c>
      <c r="AB146" s="503">
        <v>0</v>
      </c>
      <c r="AC146" s="503">
        <v>0</v>
      </c>
      <c r="AD146" s="503">
        <v>0</v>
      </c>
      <c r="AE146" s="503">
        <v>0</v>
      </c>
      <c r="AF146" s="503">
        <v>0</v>
      </c>
      <c r="AG146" s="503">
        <v>0</v>
      </c>
      <c r="AH146" s="503">
        <v>0</v>
      </c>
      <c r="AI146" s="503">
        <v>0</v>
      </c>
      <c r="AJ146" s="503">
        <v>0</v>
      </c>
      <c r="AK146" s="503">
        <v>0</v>
      </c>
      <c r="AL146" s="503">
        <v>0</v>
      </c>
      <c r="AM146" s="503">
        <v>0</v>
      </c>
      <c r="AN146" s="503">
        <v>0</v>
      </c>
      <c r="AO146" s="503">
        <v>0</v>
      </c>
      <c r="AP146" s="503">
        <v>0</v>
      </c>
      <c r="AQ146" s="503">
        <v>0</v>
      </c>
      <c r="AR146" s="36">
        <v>11</v>
      </c>
    </row>
  </sheetData>
  <sheetProtection formatColumns="0" formatRows="0" insertRows="0" deleteColumns="0" deleteRows="0" sort="0" autoFilter="0"/>
  <mergeCells count="379">
    <mergeCell ref="D5:J5"/>
    <mergeCell ref="D6:J6"/>
    <mergeCell ref="D7:J7"/>
    <mergeCell ref="E9:F9"/>
    <mergeCell ref="K9:N9"/>
    <mergeCell ref="O9:R9"/>
    <mergeCell ref="S9:V9"/>
    <mergeCell ref="L10:M10"/>
    <mergeCell ref="P10:Q10"/>
    <mergeCell ref="T10:U10"/>
    <mergeCell ref="H11:I11"/>
    <mergeCell ref="L11:M11"/>
    <mergeCell ref="P11:Q11"/>
    <mergeCell ref="T11:U11"/>
    <mergeCell ref="E69:W69"/>
    <mergeCell ref="E70:W70"/>
    <mergeCell ref="E71:W71"/>
    <mergeCell ref="E72:W72"/>
    <mergeCell ref="E73:W73"/>
    <mergeCell ref="E75:W75"/>
    <mergeCell ref="E76:W76"/>
    <mergeCell ref="E77:W77"/>
    <mergeCell ref="D9:D10"/>
    <mergeCell ref="D13:D17"/>
    <mergeCell ref="D18:D22"/>
    <mergeCell ref="D23:D27"/>
    <mergeCell ref="D28:D32"/>
    <mergeCell ref="D33:D37"/>
    <mergeCell ref="D38:D42"/>
    <mergeCell ref="D43:D47"/>
    <mergeCell ref="D48:D52"/>
    <mergeCell ref="D53:D57"/>
    <mergeCell ref="D58:D62"/>
    <mergeCell ref="D63:D67"/>
    <mergeCell ref="D79:D83"/>
    <mergeCell ref="D84:D88"/>
    <mergeCell ref="D89:D93"/>
    <mergeCell ref="D94:D98"/>
    <mergeCell ref="D99:D103"/>
    <mergeCell ref="D105:D109"/>
    <mergeCell ref="D110:D114"/>
    <mergeCell ref="D115:D119"/>
    <mergeCell ref="D121:D125"/>
    <mergeCell ref="D126:D130"/>
    <mergeCell ref="D131:D135"/>
    <mergeCell ref="E13:E17"/>
    <mergeCell ref="E18:E22"/>
    <mergeCell ref="E23:E27"/>
    <mergeCell ref="E28:E32"/>
    <mergeCell ref="E33:E37"/>
    <mergeCell ref="E38:E42"/>
    <mergeCell ref="E43:E47"/>
    <mergeCell ref="E48:E52"/>
    <mergeCell ref="E53:E57"/>
    <mergeCell ref="E58:E62"/>
    <mergeCell ref="E63:E67"/>
    <mergeCell ref="E79:E83"/>
    <mergeCell ref="E84:E88"/>
    <mergeCell ref="E89:E93"/>
    <mergeCell ref="E94:E98"/>
    <mergeCell ref="E99:E103"/>
    <mergeCell ref="E105:E109"/>
    <mergeCell ref="E110:E114"/>
    <mergeCell ref="E115:E119"/>
    <mergeCell ref="E121:E125"/>
    <mergeCell ref="E126:E130"/>
    <mergeCell ref="E131:E135"/>
    <mergeCell ref="F13:F17"/>
    <mergeCell ref="F18:F22"/>
    <mergeCell ref="F23:F27"/>
    <mergeCell ref="F28:F32"/>
    <mergeCell ref="F33:F37"/>
    <mergeCell ref="F38:F42"/>
    <mergeCell ref="F43:F47"/>
    <mergeCell ref="F48:F52"/>
    <mergeCell ref="F53:F57"/>
    <mergeCell ref="F58:F62"/>
    <mergeCell ref="F63:F67"/>
    <mergeCell ref="F79:F83"/>
    <mergeCell ref="F84:F88"/>
    <mergeCell ref="F89:F93"/>
    <mergeCell ref="F94:F98"/>
    <mergeCell ref="F99:F103"/>
    <mergeCell ref="F105:F109"/>
    <mergeCell ref="F110:F114"/>
    <mergeCell ref="F115:F119"/>
    <mergeCell ref="F121:F125"/>
    <mergeCell ref="F126:F130"/>
    <mergeCell ref="F131:F135"/>
    <mergeCell ref="G9:G10"/>
    <mergeCell ref="G13:G17"/>
    <mergeCell ref="G18:G22"/>
    <mergeCell ref="G23:G27"/>
    <mergeCell ref="G28:G32"/>
    <mergeCell ref="G33:G37"/>
    <mergeCell ref="G38:G42"/>
    <mergeCell ref="G43:G47"/>
    <mergeCell ref="G48:G52"/>
    <mergeCell ref="G53:G57"/>
    <mergeCell ref="G58:G62"/>
    <mergeCell ref="G63:G67"/>
    <mergeCell ref="G79:G83"/>
    <mergeCell ref="G84:G88"/>
    <mergeCell ref="G89:G93"/>
    <mergeCell ref="G94:G98"/>
    <mergeCell ref="G99:G103"/>
    <mergeCell ref="G105:G109"/>
    <mergeCell ref="G110:G114"/>
    <mergeCell ref="G115:G119"/>
    <mergeCell ref="G121:G125"/>
    <mergeCell ref="G126:G130"/>
    <mergeCell ref="G131:G135"/>
    <mergeCell ref="H13:H16"/>
    <mergeCell ref="H18:H21"/>
    <mergeCell ref="H23:H26"/>
    <mergeCell ref="H28:H31"/>
    <mergeCell ref="H33:H36"/>
    <mergeCell ref="H38:H41"/>
    <mergeCell ref="H43:H46"/>
    <mergeCell ref="H48:H51"/>
    <mergeCell ref="H53:H56"/>
    <mergeCell ref="H58:H61"/>
    <mergeCell ref="H63:H66"/>
    <mergeCell ref="H79:H82"/>
    <mergeCell ref="H84:H87"/>
    <mergeCell ref="H89:H92"/>
    <mergeCell ref="H94:H97"/>
    <mergeCell ref="H99:H102"/>
    <mergeCell ref="H105:H108"/>
    <mergeCell ref="H110:H113"/>
    <mergeCell ref="H115:H118"/>
    <mergeCell ref="H121:H124"/>
    <mergeCell ref="H126:H129"/>
    <mergeCell ref="H131:H134"/>
    <mergeCell ref="I13:I16"/>
    <mergeCell ref="I18:I21"/>
    <mergeCell ref="I23:I26"/>
    <mergeCell ref="I28:I31"/>
    <mergeCell ref="I33:I36"/>
    <mergeCell ref="I38:I41"/>
    <mergeCell ref="I43:I46"/>
    <mergeCell ref="I48:I51"/>
    <mergeCell ref="I53:I56"/>
    <mergeCell ref="I58:I61"/>
    <mergeCell ref="I63:I66"/>
    <mergeCell ref="I79:I82"/>
    <mergeCell ref="I84:I87"/>
    <mergeCell ref="I89:I92"/>
    <mergeCell ref="I94:I97"/>
    <mergeCell ref="I99:I102"/>
    <mergeCell ref="I105:I108"/>
    <mergeCell ref="I110:I113"/>
    <mergeCell ref="I115:I118"/>
    <mergeCell ref="I121:I124"/>
    <mergeCell ref="I126:I129"/>
    <mergeCell ref="I131:I134"/>
    <mergeCell ref="J9:J10"/>
    <mergeCell ref="J13:J16"/>
    <mergeCell ref="J18:J21"/>
    <mergeCell ref="J23:J26"/>
    <mergeCell ref="J28:J31"/>
    <mergeCell ref="J33:J36"/>
    <mergeCell ref="J38:J41"/>
    <mergeCell ref="J43:J46"/>
    <mergeCell ref="J48:J51"/>
    <mergeCell ref="J53:J56"/>
    <mergeCell ref="J58:J61"/>
    <mergeCell ref="J63:J66"/>
    <mergeCell ref="J79:J82"/>
    <mergeCell ref="J84:J87"/>
    <mergeCell ref="J89:J92"/>
    <mergeCell ref="J94:J97"/>
    <mergeCell ref="J99:J102"/>
    <mergeCell ref="J105:J108"/>
    <mergeCell ref="J110:J113"/>
    <mergeCell ref="J115:J118"/>
    <mergeCell ref="J121:J124"/>
    <mergeCell ref="J126:J129"/>
    <mergeCell ref="J131:J134"/>
    <mergeCell ref="K13:K16"/>
    <mergeCell ref="K18:K21"/>
    <mergeCell ref="K23:K26"/>
    <mergeCell ref="K28:K31"/>
    <mergeCell ref="K33:K36"/>
    <mergeCell ref="K38:K41"/>
    <mergeCell ref="K43:K46"/>
    <mergeCell ref="K48:K51"/>
    <mergeCell ref="K53:K56"/>
    <mergeCell ref="K58:K61"/>
    <mergeCell ref="K63:K66"/>
    <mergeCell ref="K79:K82"/>
    <mergeCell ref="K84:K87"/>
    <mergeCell ref="K89:K92"/>
    <mergeCell ref="K94:K97"/>
    <mergeCell ref="K99:K102"/>
    <mergeCell ref="K105:K108"/>
    <mergeCell ref="K110:K113"/>
    <mergeCell ref="K115:K118"/>
    <mergeCell ref="K121:K124"/>
    <mergeCell ref="K126:K129"/>
    <mergeCell ref="K131:K134"/>
    <mergeCell ref="L13:L15"/>
    <mergeCell ref="L18:L20"/>
    <mergeCell ref="L23:L25"/>
    <mergeCell ref="L28:L30"/>
    <mergeCell ref="L33:L35"/>
    <mergeCell ref="L38:L40"/>
    <mergeCell ref="L43:L45"/>
    <mergeCell ref="L48:L50"/>
    <mergeCell ref="L53:L55"/>
    <mergeCell ref="L58:L60"/>
    <mergeCell ref="L63:L65"/>
    <mergeCell ref="L79:L81"/>
    <mergeCell ref="L84:L86"/>
    <mergeCell ref="L89:L91"/>
    <mergeCell ref="L94:L96"/>
    <mergeCell ref="L99:L101"/>
    <mergeCell ref="L105:L107"/>
    <mergeCell ref="L110:L112"/>
    <mergeCell ref="L115:L117"/>
    <mergeCell ref="L121:L123"/>
    <mergeCell ref="L126:L128"/>
    <mergeCell ref="L131:L133"/>
    <mergeCell ref="M13:M15"/>
    <mergeCell ref="M18:M20"/>
    <mergeCell ref="M23:M25"/>
    <mergeCell ref="M28:M30"/>
    <mergeCell ref="M33:M35"/>
    <mergeCell ref="M38:M40"/>
    <mergeCell ref="M43:M45"/>
    <mergeCell ref="M48:M50"/>
    <mergeCell ref="M53:M55"/>
    <mergeCell ref="M58:M60"/>
    <mergeCell ref="M63:M65"/>
    <mergeCell ref="M79:M81"/>
    <mergeCell ref="M84:M86"/>
    <mergeCell ref="M89:M91"/>
    <mergeCell ref="M94:M96"/>
    <mergeCell ref="M99:M101"/>
    <mergeCell ref="M105:M107"/>
    <mergeCell ref="M110:M112"/>
    <mergeCell ref="M115:M117"/>
    <mergeCell ref="M121:M123"/>
    <mergeCell ref="M126:M128"/>
    <mergeCell ref="M131:M133"/>
    <mergeCell ref="N13:N15"/>
    <mergeCell ref="N18:N20"/>
    <mergeCell ref="N23:N25"/>
    <mergeCell ref="N28:N30"/>
    <mergeCell ref="N33:N35"/>
    <mergeCell ref="N38:N40"/>
    <mergeCell ref="N43:N45"/>
    <mergeCell ref="N48:N50"/>
    <mergeCell ref="N53:N55"/>
    <mergeCell ref="N58:N60"/>
    <mergeCell ref="N63:N65"/>
    <mergeCell ref="N79:N81"/>
    <mergeCell ref="N84:N86"/>
    <mergeCell ref="N89:N91"/>
    <mergeCell ref="N94:N96"/>
    <mergeCell ref="N99:N101"/>
    <mergeCell ref="N105:N107"/>
    <mergeCell ref="N110:N112"/>
    <mergeCell ref="N115:N117"/>
    <mergeCell ref="N121:N123"/>
    <mergeCell ref="N126:N128"/>
    <mergeCell ref="N131:N133"/>
    <mergeCell ref="O13:O15"/>
    <mergeCell ref="O18:O20"/>
    <mergeCell ref="O23:O25"/>
    <mergeCell ref="O28:O30"/>
    <mergeCell ref="O33:O35"/>
    <mergeCell ref="O38:O40"/>
    <mergeCell ref="O43:O45"/>
    <mergeCell ref="O48:O50"/>
    <mergeCell ref="O53:O55"/>
    <mergeCell ref="O58:O60"/>
    <mergeCell ref="O63:O65"/>
    <mergeCell ref="O79:O81"/>
    <mergeCell ref="O84:O86"/>
    <mergeCell ref="O89:O91"/>
    <mergeCell ref="O94:O96"/>
    <mergeCell ref="O99:O101"/>
    <mergeCell ref="O105:O107"/>
    <mergeCell ref="O110:O112"/>
    <mergeCell ref="O115:O117"/>
    <mergeCell ref="O121:O123"/>
    <mergeCell ref="O126:O128"/>
    <mergeCell ref="O131:O133"/>
    <mergeCell ref="P13:P14"/>
    <mergeCell ref="P18:P19"/>
    <mergeCell ref="P23:P24"/>
    <mergeCell ref="P28:P29"/>
    <mergeCell ref="P33:P34"/>
    <mergeCell ref="P38:P39"/>
    <mergeCell ref="P43:P44"/>
    <mergeCell ref="P48:P49"/>
    <mergeCell ref="P53:P54"/>
    <mergeCell ref="P58:P59"/>
    <mergeCell ref="P63:P64"/>
    <mergeCell ref="P79:P80"/>
    <mergeCell ref="P84:P85"/>
    <mergeCell ref="P89:P90"/>
    <mergeCell ref="P94:P95"/>
    <mergeCell ref="P99:P100"/>
    <mergeCell ref="P105:P106"/>
    <mergeCell ref="P110:P111"/>
    <mergeCell ref="P115:P116"/>
    <mergeCell ref="P121:P122"/>
    <mergeCell ref="P126:P127"/>
    <mergeCell ref="P131:P132"/>
    <mergeCell ref="Q13:Q14"/>
    <mergeCell ref="Q18:Q19"/>
    <mergeCell ref="Q23:Q24"/>
    <mergeCell ref="Q28:Q29"/>
    <mergeCell ref="Q33:Q34"/>
    <mergeCell ref="Q38:Q39"/>
    <mergeCell ref="Q43:Q44"/>
    <mergeCell ref="Q48:Q49"/>
    <mergeCell ref="Q53:Q54"/>
    <mergeCell ref="Q58:Q59"/>
    <mergeCell ref="Q63:Q64"/>
    <mergeCell ref="Q79:Q80"/>
    <mergeCell ref="Q84:Q85"/>
    <mergeCell ref="Q89:Q90"/>
    <mergeCell ref="Q94:Q95"/>
    <mergeCell ref="Q99:Q100"/>
    <mergeCell ref="Q105:Q106"/>
    <mergeCell ref="Q110:Q111"/>
    <mergeCell ref="Q115:Q116"/>
    <mergeCell ref="Q121:Q122"/>
    <mergeCell ref="Q126:Q127"/>
    <mergeCell ref="Q131:Q132"/>
    <mergeCell ref="R13:R14"/>
    <mergeCell ref="R18:R19"/>
    <mergeCell ref="R23:R24"/>
    <mergeCell ref="R28:R29"/>
    <mergeCell ref="R33:R34"/>
    <mergeCell ref="R38:R39"/>
    <mergeCell ref="R43:R44"/>
    <mergeCell ref="R48:R49"/>
    <mergeCell ref="R53:R54"/>
    <mergeCell ref="R58:R59"/>
    <mergeCell ref="R63:R64"/>
    <mergeCell ref="R79:R80"/>
    <mergeCell ref="R84:R85"/>
    <mergeCell ref="R89:R90"/>
    <mergeCell ref="R94:R95"/>
    <mergeCell ref="R99:R100"/>
    <mergeCell ref="R105:R106"/>
    <mergeCell ref="R110:R111"/>
    <mergeCell ref="R115:R116"/>
    <mergeCell ref="R121:R122"/>
    <mergeCell ref="R126:R127"/>
    <mergeCell ref="R131:R132"/>
    <mergeCell ref="S13:S14"/>
    <mergeCell ref="S18:S19"/>
    <mergeCell ref="S23:S24"/>
    <mergeCell ref="S28:S29"/>
    <mergeCell ref="S33:S34"/>
    <mergeCell ref="S38:S39"/>
    <mergeCell ref="S43:S44"/>
    <mergeCell ref="S48:S49"/>
    <mergeCell ref="S53:S54"/>
    <mergeCell ref="S58:S59"/>
    <mergeCell ref="S63:S64"/>
    <mergeCell ref="S79:S80"/>
    <mergeCell ref="S84:S85"/>
    <mergeCell ref="S89:S90"/>
    <mergeCell ref="S94:S95"/>
    <mergeCell ref="S99:S100"/>
    <mergeCell ref="S105:S106"/>
    <mergeCell ref="S110:S111"/>
    <mergeCell ref="S115:S116"/>
    <mergeCell ref="S121:S122"/>
    <mergeCell ref="S126:S127"/>
    <mergeCell ref="S131:S132"/>
    <mergeCell ref="W9:W10"/>
    <mergeCell ref="H9:I10"/>
  </mergeCells>
  <dataValidations count="5">
    <dataValidation type="textLength" operator="lessThanOrEqual" allowBlank="1" showInputMessage="1" showErrorMessage="1" errorTitle="Ошибка" error="Допускается ввод не более 900 символов!" sqref="V13:W13 V18:W18 V23:W23 V28:W28 V33:W33 V38:W38 V43:W43 V48:W48 V53:W53 V58:W58 V63:W63 V79:W79 V84:W84 V89:W89 V94:W94 V99:W99 V105:W105 V110:W110 V115:W115 V121:W121 V126:W126 V131:W131 J13:J14 J18:J19 J23:J24 J28:J29 J33:J34 J38:J39 J43:J44 J48:J49 J53:J54 J58:J59 J63:J64 J79:J80 J84:J85 J89:J90 J94:J95 J99:J100 J105:J106 J110:J111 J115:J116 J121:J122 J126:J127 J131:J132 R13:R14 R18:R19 R23:R24 R28:R29 R33:R34 R38:R39 R43:R44 R48:R49 R53:R54 R58:R59 R63:R64 R79:R80 R84:R85 R89:R90 R94:R95 R99:R100 R105:R106 R110:R111 R115:R116 R121:R122 R126:R127 R131:R132">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Для выбора выполните двойной щелчок левой клавиши мыши по соответствующей ячейке." sqref="F13:F67 F79:F103 F105:F119 F121:F135 K13:K14 K18:K19 K23:K24 K28:K29 K33:K34 K38:K39 K43:K44 K48:K49 K53:K54 K58:K59 K63:K64 K79:K80 K84:K85 K89:K90 K94:K95 K99:K100 K105:K106 K110:K111 K115:K116 K121:K122 K126:K127 K131:K132 O13:O14 O18:O19 O23:O24 O28:O29 O33:O34 O38:O39 O43:O44 O48:O49 O53:O54 O58:O59 O63:O64 O79:O80 O84:O85 O89:O90 O94:O95 O99:O100 O105:O106 O110:O111 O115:O116 O121:O122 O126:O127 O131:O132 S13:S14 S18:S19 S23:S24 S28:S29 S33:S34 S38:S39 S43:S44 S48:S49 S53:S54 S58:S59 S63:S64 S79:S80 S84:S85 S89:S90 S94:S95 S99:S100 S105:S106 S110:S111 S115:S116 S121:S122 S126:S127 S131:S132"/>
    <dataValidation allowBlank="1" showInputMessage="1" showErrorMessage="1" prompt="Выберите виды деятельности, выполнив двойной щелчок левой кнопки мыши по ячейке." sqref="G13:G67 G79:G103 G105:G119 G121:G13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N15 N18:N20 N23:N25 N28:N30 N33:N35 N38:N40 N43:N45 N48:N50 N53:N55 N58:N60 N63:N65 N79:N81 N84:N86 N89:N91 N94:N96 N99:N101 N105:N107 N110:N112 N115:N117 N121:N123 N126:N128 N131:N133">
      <formula1>DESCRIPTION_TERRITORY</formula1>
    </dataValidation>
  </dataValidations>
  <pageMargins left="0.7" right="0.7" top="0.75" bottom="0.75" header="0.3" footer="0.3"/>
  <pageSetup paperSize="9" orientation="portrait"/>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1"/>
  </sheetPr>
  <dimension ref="A1:V30"/>
  <sheetViews>
    <sheetView showGridLines="0" zoomScale="90" zoomScaleNormal="90" workbookViewId="0">
      <pane xSplit="8" ySplit="18" topLeftCell="I19" activePane="bottomRight" state="frozen"/>
      <selection/>
      <selection pane="topRight"/>
      <selection pane="bottomLeft"/>
      <selection pane="bottomRight" activeCell="A1" sqref="A1"/>
    </sheetView>
  </sheetViews>
  <sheetFormatPr defaultColWidth="10.5714285714286" defaultRowHeight="15" customHeight="1"/>
  <cols>
    <col min="1" max="1" width="9.14285714285714" style="575" hidden="1" customWidth="1"/>
    <col min="2" max="2" width="9.14285714285714" style="43" hidden="1" customWidth="1"/>
    <col min="3" max="3" width="4" style="235" customWidth="1"/>
    <col min="4" max="4" width="6" style="43" customWidth="1"/>
    <col min="5" max="5" width="47" style="43" customWidth="1"/>
    <col min="6" max="6" width="9" style="43" customWidth="1"/>
    <col min="7" max="7" width="25.7142857142857" style="43" hidden="1" customWidth="1"/>
    <col min="8" max="8" width="34" style="43" hidden="1" customWidth="1"/>
    <col min="9" max="9" width="25.7142857142857" style="43" customWidth="1"/>
    <col min="10" max="10" width="33" style="43" customWidth="1"/>
    <col min="11" max="11" width="50" style="38" customWidth="1"/>
    <col min="12" max="20" width="10" style="43" customWidth="1"/>
    <col min="21" max="21" width="10" style="754" customWidth="1"/>
    <col min="22" max="22" width="10.5714285714286" style="43" hidden="1"/>
  </cols>
  <sheetData>
    <row r="1" s="38" customFormat="1" ht="22.5" hidden="1" customHeight="1" spans="3:22">
      <c r="C1" s="48"/>
      <c r="G1" s="38">
        <v>4</v>
      </c>
      <c r="I1" s="38">
        <v>4</v>
      </c>
      <c r="U1" s="288"/>
      <c r="V1" s="38" t="s">
        <v>14</v>
      </c>
    </row>
    <row r="2" s="43" customFormat="1" hidden="1" customHeight="1" spans="1:22">
      <c r="A2" s="575"/>
      <c r="C2" s="235"/>
      <c r="D2" s="522"/>
      <c r="E2" s="521"/>
      <c r="F2" s="86"/>
      <c r="G2" s="594"/>
      <c r="H2" s="594"/>
      <c r="I2" s="594"/>
      <c r="J2" s="594"/>
      <c r="U2" s="754"/>
      <c r="V2" s="43">
        <v>0</v>
      </c>
    </row>
    <row r="3" s="38" customFormat="1" hidden="1" customHeight="1" spans="3:22">
      <c r="C3" s="48"/>
      <c r="U3" s="288"/>
      <c r="V3" s="38">
        <v>0</v>
      </c>
    </row>
    <row r="4" ht="15.75" customHeight="1" spans="22:22">
      <c r="V4" s="43">
        <v>15</v>
      </c>
    </row>
    <row r="5" ht="66" customHeight="1" spans="4:22">
      <c r="D5" s="755" t="s">
        <v>1363</v>
      </c>
      <c r="E5" s="755"/>
      <c r="F5" s="755"/>
      <c r="G5" s="755"/>
      <c r="H5" s="755"/>
      <c r="I5" s="755"/>
      <c r="J5" s="755"/>
      <c r="V5" s="43">
        <v>63</v>
      </c>
    </row>
    <row r="6" ht="15.75" customHeight="1" spans="4:22">
      <c r="D6" s="660" t="str">
        <f>IF(org=0,"Не определено",org)</f>
        <v>АО "Теплокоммунэнерго"</v>
      </c>
      <c r="E6" s="660"/>
      <c r="F6" s="660"/>
      <c r="G6" s="660"/>
      <c r="H6" s="660"/>
      <c r="I6" s="660"/>
      <c r="J6" s="660"/>
      <c r="V6" s="43">
        <v>15</v>
      </c>
    </row>
    <row r="7" ht="15.75" customHeight="1" spans="4:22">
      <c r="D7" s="577"/>
      <c r="G7" s="38">
        <v>22</v>
      </c>
      <c r="I7" s="38">
        <v>1</v>
      </c>
      <c r="J7" s="577"/>
      <c r="V7" s="43">
        <v>15</v>
      </c>
    </row>
    <row r="8" s="43" customFormat="1" ht="1.05" customHeight="1" spans="1:22">
      <c r="A8" s="575"/>
      <c r="C8" s="235"/>
      <c r="G8" s="38"/>
      <c r="H8" s="577"/>
      <c r="I8" s="38" t="s">
        <v>115</v>
      </c>
      <c r="J8" s="577"/>
      <c r="K8" s="38"/>
      <c r="U8" s="754"/>
      <c r="V8" s="43">
        <v>1</v>
      </c>
    </row>
    <row r="9" ht="15.75" customHeight="1" spans="4:22">
      <c r="D9" s="756"/>
      <c r="E9" s="757" t="s">
        <v>103</v>
      </c>
      <c r="F9" s="758"/>
      <c r="G9" s="759" t="str">
        <f>IF(G8="","",INDEX(DIFFERENTIATION_UNMERGE_VD,MATCH(G8,DIFFERENTIATION_ID_DIFF,0)))</f>
        <v/>
      </c>
      <c r="H9" s="760"/>
      <c r="I9" s="759">
        <f>IF(I8="","",INDEX(DIFFERENTIATION_UNMERGE_VD,MATCH(I8,DIFFERENTIATION_ID_DIFF,0)))</f>
        <v>0</v>
      </c>
      <c r="J9" s="760"/>
      <c r="K9" s="71" t="s">
        <v>297</v>
      </c>
      <c r="V9" s="43">
        <v>15</v>
      </c>
    </row>
    <row r="10" s="43" customFormat="1" ht="15.75" customHeight="1" spans="1:22">
      <c r="A10" s="575"/>
      <c r="C10" s="235"/>
      <c r="D10" s="756"/>
      <c r="E10" s="757" t="s">
        <v>558</v>
      </c>
      <c r="F10" s="758"/>
      <c r="G10" s="759" t="str">
        <f>IF(G8="","",INDEX(DIFFERENTIATION_UNMERGE_AREA,MATCH(G8,DIFFERENTIATION_ID_DIFF,0)))</f>
        <v/>
      </c>
      <c r="H10" s="760"/>
      <c r="I10" s="759" t="str">
        <f>IF(I8="","",INDEX(DIFFERENTIATION_UNMERGE_AREA,MATCH(I8,DIFFERENTIATION_ID_DIFF,0)))</f>
        <v/>
      </c>
      <c r="J10" s="760"/>
      <c r="K10" s="398"/>
      <c r="U10" s="754"/>
      <c r="V10" s="43">
        <v>15</v>
      </c>
    </row>
    <row r="11" s="43" customFormat="1" ht="15.75" customHeight="1" spans="1:22">
      <c r="A11" s="575"/>
      <c r="C11" s="235"/>
      <c r="D11" s="756"/>
      <c r="E11" s="757" t="s">
        <v>559</v>
      </c>
      <c r="F11" s="758"/>
      <c r="G11" s="759" t="str">
        <f>IF(G8="","",INDEX(DIFFERENTIATION_UNMERGE_SYSTEM,MATCH(G8,DIFFERENTIATION_ID_DIFF,0)))</f>
        <v/>
      </c>
      <c r="H11" s="760"/>
      <c r="I11" s="759" t="str">
        <f>IF(I8="","",INDEX(DIFFERENTIATION_UNMERGE_SYSTEM,MATCH(I8,DIFFERENTIATION_ID_DIFF,0)))</f>
        <v>без дифференциации</v>
      </c>
      <c r="J11" s="760"/>
      <c r="K11" s="398"/>
      <c r="U11" s="754"/>
      <c r="V11" s="43">
        <v>15</v>
      </c>
    </row>
    <row r="12" s="43" customFormat="1" ht="15.75" customHeight="1" spans="1:22">
      <c r="A12" s="575"/>
      <c r="C12" s="235"/>
      <c r="D12" s="761" t="s">
        <v>296</v>
      </c>
      <c r="E12" s="762"/>
      <c r="F12" s="762"/>
      <c r="G12" s="757"/>
      <c r="H12" s="757"/>
      <c r="I12" s="757"/>
      <c r="J12" s="757"/>
      <c r="K12" s="398"/>
      <c r="U12" s="754"/>
      <c r="V12" s="43">
        <v>15</v>
      </c>
    </row>
    <row r="13" ht="35.7" customHeight="1" spans="4:22">
      <c r="D13" s="64" t="s">
        <v>89</v>
      </c>
      <c r="E13" s="64" t="s">
        <v>298</v>
      </c>
      <c r="F13" s="64" t="s">
        <v>560</v>
      </c>
      <c r="G13" s="126" t="s">
        <v>299</v>
      </c>
      <c r="H13" s="64" t="s">
        <v>386</v>
      </c>
      <c r="I13" s="126" t="s">
        <v>299</v>
      </c>
      <c r="J13" s="64" t="s">
        <v>386</v>
      </c>
      <c r="K13" s="73"/>
      <c r="V13" s="43">
        <v>34</v>
      </c>
    </row>
    <row r="14" hidden="1" customHeight="1" spans="4:22">
      <c r="D14" s="763" t="s">
        <v>107</v>
      </c>
      <c r="E14" s="763" t="s">
        <v>108</v>
      </c>
      <c r="F14" s="763" t="s">
        <v>91</v>
      </c>
      <c r="G14" s="235" t="str">
        <f>G1&amp;".1"</f>
        <v>4.1</v>
      </c>
      <c r="H14" s="235"/>
      <c r="I14" s="235" t="str">
        <f>I1&amp;".1"</f>
        <v>4.1</v>
      </c>
      <c r="J14" s="235"/>
      <c r="K14" s="83"/>
      <c r="V14" s="43">
        <v>0</v>
      </c>
    </row>
    <row r="15" ht="22.5" hidden="1" customHeight="1" spans="1:22">
      <c r="A15" s="43"/>
      <c r="C15" s="217"/>
      <c r="D15" s="64">
        <v>1</v>
      </c>
      <c r="E15" s="393" t="s">
        <v>821</v>
      </c>
      <c r="F15" s="64" t="s">
        <v>822</v>
      </c>
      <c r="G15" s="764"/>
      <c r="H15" s="764"/>
      <c r="I15" s="764"/>
      <c r="J15" s="764"/>
      <c r="K15" s="83" t="s">
        <v>823</v>
      </c>
      <c r="V15" s="43">
        <v>0</v>
      </c>
    </row>
    <row r="16" ht="22.5" hidden="1" customHeight="1" spans="1:22">
      <c r="A16" s="43"/>
      <c r="C16" s="217"/>
      <c r="D16" s="64">
        <v>2</v>
      </c>
      <c r="E16" s="393" t="s">
        <v>824</v>
      </c>
      <c r="F16" s="64" t="s">
        <v>825</v>
      </c>
      <c r="G16" s="764"/>
      <c r="H16" s="764"/>
      <c r="I16" s="764"/>
      <c r="J16" s="764"/>
      <c r="K16" s="83" t="s">
        <v>826</v>
      </c>
      <c r="V16" s="43">
        <v>0</v>
      </c>
    </row>
    <row r="17" ht="123.75" hidden="1" customHeight="1" spans="1:22">
      <c r="A17" s="43"/>
      <c r="C17" s="217"/>
      <c r="D17" s="64">
        <v>3</v>
      </c>
      <c r="E17" s="393" t="s">
        <v>1364</v>
      </c>
      <c r="F17" s="64" t="s">
        <v>302</v>
      </c>
      <c r="G17" s="764"/>
      <c r="H17" s="764"/>
      <c r="I17" s="764"/>
      <c r="J17" s="764"/>
      <c r="K17" s="83" t="s">
        <v>1365</v>
      </c>
      <c r="V17" s="43">
        <v>0</v>
      </c>
    </row>
    <row r="18" ht="48.3" customHeight="1" spans="1:22">
      <c r="A18" s="43"/>
      <c r="C18" s="217"/>
      <c r="D18" s="64">
        <v>3</v>
      </c>
      <c r="E18" s="393" t="s">
        <v>827</v>
      </c>
      <c r="F18" s="64" t="s">
        <v>302</v>
      </c>
      <c r="G18" s="64" t="s">
        <v>302</v>
      </c>
      <c r="H18" s="71" t="s">
        <v>302</v>
      </c>
      <c r="I18" s="64" t="s">
        <v>302</v>
      </c>
      <c r="J18" s="71" t="s">
        <v>302</v>
      </c>
      <c r="K18" s="83" t="s">
        <v>1366</v>
      </c>
      <c r="V18" s="43">
        <v>46</v>
      </c>
    </row>
    <row r="19" ht="35.7" customHeight="1" spans="1:22">
      <c r="A19" s="43"/>
      <c r="C19" s="217"/>
      <c r="D19" s="232" t="s">
        <v>320</v>
      </c>
      <c r="E19" s="669" t="s">
        <v>829</v>
      </c>
      <c r="F19" s="64" t="s">
        <v>830</v>
      </c>
      <c r="G19" s="765"/>
      <c r="H19" s="215"/>
      <c r="I19" s="765"/>
      <c r="J19" s="628"/>
      <c r="K19" s="769"/>
      <c r="V19" s="43">
        <v>34</v>
      </c>
    </row>
    <row r="20" ht="35.7" customHeight="1" spans="1:22">
      <c r="A20" s="43"/>
      <c r="C20" s="217"/>
      <c r="D20" s="232" t="s">
        <v>328</v>
      </c>
      <c r="E20" s="669" t="s">
        <v>831</v>
      </c>
      <c r="F20" s="64" t="s">
        <v>832</v>
      </c>
      <c r="G20" s="765"/>
      <c r="H20" s="215"/>
      <c r="I20" s="765"/>
      <c r="J20" s="215"/>
      <c r="K20" s="769"/>
      <c r="V20" s="43">
        <v>34</v>
      </c>
    </row>
    <row r="21" ht="48.3" customHeight="1" spans="1:22">
      <c r="A21" s="43"/>
      <c r="C21" s="217"/>
      <c r="D21" s="232" t="s">
        <v>330</v>
      </c>
      <c r="E21" s="669" t="s">
        <v>833</v>
      </c>
      <c r="F21" s="64" t="s">
        <v>565</v>
      </c>
      <c r="G21" s="766"/>
      <c r="H21" s="215"/>
      <c r="I21" s="766"/>
      <c r="J21" s="215"/>
      <c r="K21" s="769"/>
      <c r="V21" s="43">
        <v>46</v>
      </c>
    </row>
    <row r="22" ht="67.5" hidden="1" customHeight="1" spans="1:22">
      <c r="A22" s="43"/>
      <c r="C22" s="217"/>
      <c r="D22" s="64">
        <v>5</v>
      </c>
      <c r="E22" s="393" t="s">
        <v>1367</v>
      </c>
      <c r="F22" s="64" t="s">
        <v>552</v>
      </c>
      <c r="G22" s="767"/>
      <c r="H22" s="768"/>
      <c r="I22" s="767"/>
      <c r="J22" s="768"/>
      <c r="K22" s="83" t="s">
        <v>1368</v>
      </c>
      <c r="V22" s="43">
        <v>0</v>
      </c>
    </row>
    <row r="23" ht="33.75" hidden="1" customHeight="1" spans="3:22">
      <c r="C23" s="217"/>
      <c r="D23" s="64">
        <v>6</v>
      </c>
      <c r="E23" s="393" t="s">
        <v>1369</v>
      </c>
      <c r="F23" s="64" t="s">
        <v>1370</v>
      </c>
      <c r="G23" s="767"/>
      <c r="H23" s="767"/>
      <c r="I23" s="767"/>
      <c r="J23" s="767"/>
      <c r="K23" s="83" t="s">
        <v>1371</v>
      </c>
      <c r="V23" s="43">
        <v>0</v>
      </c>
    </row>
    <row r="24" ht="15.75" customHeight="1" spans="22:22">
      <c r="V24" s="43">
        <v>15</v>
      </c>
    </row>
    <row r="25" ht="15.75" customHeight="1" spans="22:22">
      <c r="V25" s="43">
        <v>15</v>
      </c>
    </row>
    <row r="26" ht="15.75" customHeight="1" spans="22:22">
      <c r="V26" s="43">
        <v>15</v>
      </c>
    </row>
    <row r="27" ht="15.75" customHeight="1" spans="22:22">
      <c r="V27" s="43">
        <v>15</v>
      </c>
    </row>
    <row r="28" ht="15.75" customHeight="1" spans="22:22">
      <c r="V28" s="43">
        <v>15</v>
      </c>
    </row>
    <row r="29" ht="15.75" customHeight="1" spans="10:22">
      <c r="J29" s="770"/>
      <c r="V29" s="43">
        <v>15</v>
      </c>
    </row>
    <row r="30" ht="22.5" hidden="1" customHeight="1" spans="1:22">
      <c r="A30" s="575" t="s">
        <v>83</v>
      </c>
      <c r="B30" s="43">
        <v>0</v>
      </c>
      <c r="C30" s="235">
        <v>4</v>
      </c>
      <c r="D30" s="43">
        <v>6</v>
      </c>
      <c r="E30" s="43">
        <v>47</v>
      </c>
      <c r="F30" s="43">
        <v>9</v>
      </c>
      <c r="G30" s="43">
        <v>0</v>
      </c>
      <c r="H30" s="43">
        <v>0</v>
      </c>
      <c r="I30" s="43">
        <v>25</v>
      </c>
      <c r="J30" s="43">
        <v>33</v>
      </c>
      <c r="K30" s="38">
        <v>50</v>
      </c>
      <c r="L30" s="43">
        <v>10</v>
      </c>
      <c r="M30" s="43">
        <v>10</v>
      </c>
      <c r="N30" s="43">
        <v>10</v>
      </c>
      <c r="O30" s="43">
        <v>10</v>
      </c>
      <c r="P30" s="43">
        <v>10</v>
      </c>
      <c r="Q30" s="43">
        <v>10</v>
      </c>
      <c r="R30" s="43">
        <v>10</v>
      </c>
      <c r="S30" s="43">
        <v>10</v>
      </c>
      <c r="T30" s="43">
        <v>10</v>
      </c>
      <c r="U30" s="754">
        <v>10</v>
      </c>
      <c r="V30" s="43">
        <v>23</v>
      </c>
    </row>
  </sheetData>
  <sheetProtection formatColumns="0" formatRows="0" insertRows="0" deleteColumns="0" deleteRows="0" sort="0" autoFilter="0"/>
  <mergeCells count="13">
    <mergeCell ref="D5:J5"/>
    <mergeCell ref="D6:J6"/>
    <mergeCell ref="E9:F9"/>
    <mergeCell ref="G9:H9"/>
    <mergeCell ref="I9:J9"/>
    <mergeCell ref="E10:F10"/>
    <mergeCell ref="G10:H10"/>
    <mergeCell ref="I10:J10"/>
    <mergeCell ref="E11:F11"/>
    <mergeCell ref="G11:H11"/>
    <mergeCell ref="I11:J11"/>
    <mergeCell ref="D12:F12"/>
    <mergeCell ref="K9:K13"/>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3 E15"/>
    <dataValidation type="decimal" operator="between" allowBlank="1" showErrorMessage="1" errorTitle="Ошибка" error="Допускается ввод только неотрицательных чисел!" sqref="G21 I21">
      <formula1>0</formula1>
      <formula2>9.99999999999999E+23</formula2>
    </dataValidation>
    <dataValidation type="whole" operator="between"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CD118"/>
  <sheetViews>
    <sheetView showGridLines="0" workbookViewId="0">
      <selection activeCell="A1" sqref="A1"/>
    </sheetView>
  </sheetViews>
  <sheetFormatPr defaultColWidth="9.14285714285714" defaultRowHeight="11.25" customHeight="1"/>
  <cols>
    <col min="1" max="1" width="32.5714285714286" style="438" customWidth="1"/>
    <col min="2" max="2" width="11" customWidth="1"/>
    <col min="4" max="4" width="26.5714285714286" customWidth="1"/>
    <col min="5" max="5" width="36.847619047619" style="81" customWidth="1"/>
    <col min="6" max="6" width="41.4190476190476" style="81" customWidth="1"/>
    <col min="7" max="7" width="31.4190476190476" style="81" customWidth="1"/>
    <col min="8" max="8" width="40.847619047619" style="81" customWidth="1"/>
    <col min="9" max="9" width="14.5714285714286" style="81" customWidth="1"/>
    <col min="10" max="10" width="26.847619047619" style="81" customWidth="1"/>
    <col min="11" max="11" width="50" style="81" customWidth="1"/>
    <col min="12" max="12" width="52.4190476190476" style="81" customWidth="1"/>
    <col min="13" max="13" width="10.7142857142857" style="81" customWidth="1"/>
    <col min="14" max="14" width="55.1428571428571" style="81" customWidth="1"/>
    <col min="15" max="15" width="31.847619047619" style="81" customWidth="1"/>
    <col min="16" max="16" width="23.847619047619" style="81" customWidth="1"/>
    <col min="17" max="17" width="46.5714285714286" style="81" customWidth="1"/>
    <col min="18" max="18" width="24" style="81" customWidth="1"/>
    <col min="19" max="19" width="20.5714285714286" style="81" customWidth="1"/>
    <col min="20" max="20" width="22" style="81" customWidth="1"/>
    <col min="21" max="22" width="26.4190476190476" style="81" customWidth="1"/>
    <col min="23" max="23" width="8.28571428571429" style="81" hidden="1" customWidth="1"/>
    <col min="24" max="24" width="59.7142857142857" style="81" customWidth="1"/>
    <col min="25" max="25" width="49.1428571428571" style="81" customWidth="1"/>
    <col min="26" max="26" width="11.1428571428571" style="81" customWidth="1"/>
    <col min="27" max="30" width="29" style="81" customWidth="1"/>
    <col min="31" max="31" width="9.14285714285714" style="81"/>
    <col min="32" max="32" width="34.7142857142857" style="81" customWidth="1"/>
    <col min="33" max="33" width="9.14285714285714" style="81"/>
    <col min="34" max="35" width="34.4190476190476" style="81" customWidth="1"/>
    <col min="36" max="36" width="9.14285714285714" style="81"/>
    <col min="37" max="37" width="24.5714285714286" style="81" customWidth="1"/>
    <col min="38" max="38" width="9.14285714285714" style="81"/>
    <col min="39" max="39" width="26.1428571428571" style="81" customWidth="1"/>
    <col min="40" max="40" width="1.71428571428571" style="81" customWidth="1"/>
    <col min="41" max="41" width="9.14285714285714" style="81"/>
    <col min="42" max="43" width="47.847619047619" style="81" customWidth="1"/>
    <col min="44" max="44" width="1.71428571428571" style="81" customWidth="1"/>
    <col min="45" max="45" width="21.4190476190476" style="81" customWidth="1"/>
    <col min="46" max="46" width="1.71428571428571" style="81" customWidth="1"/>
    <col min="47" max="47" width="31.2857142857143" style="81" customWidth="1"/>
    <col min="48" max="48" width="1.71428571428571" style="81" customWidth="1"/>
    <col min="49" max="50" width="9.14285714285714" style="81"/>
    <col min="51" max="51" width="3.71428571428571" style="81" customWidth="1"/>
    <col min="52" max="52" width="60.847619047619" style="81" customWidth="1"/>
    <col min="53" max="53" width="49.2857142857143" style="81" customWidth="1"/>
    <col min="54" max="54" width="35.1428571428571" style="81" customWidth="1"/>
    <col min="55" max="55" width="9.14285714285714" style="81"/>
    <col min="56" max="56" width="1.71428571428571" style="81" customWidth="1"/>
    <col min="57" max="58" width="34.5714285714286" style="686" customWidth="1"/>
    <col min="59" max="59" width="30.7142857142857" style="81" customWidth="1"/>
    <col min="60" max="60" width="40.7142857142857" style="453" customWidth="1"/>
    <col min="61" max="61" width="15" style="453" customWidth="1"/>
    <col min="62" max="62" width="40.7142857142857" style="453" customWidth="1"/>
    <col min="63" max="63" width="2.71428571428571" style="453" customWidth="1"/>
    <col min="64" max="64" width="44.7142857142857" style="453" customWidth="1"/>
    <col min="65" max="65" width="2.71428571428571" style="453" customWidth="1"/>
    <col min="66" max="66" width="40.7142857142857" style="453" customWidth="1"/>
    <col min="67" max="68" width="9.14285714285714" style="81"/>
    <col min="69" max="69" width="18.1428571428571" style="81" customWidth="1"/>
    <col min="70" max="70" width="57.847619047619" style="81" customWidth="1"/>
    <col min="71" max="71" width="1.71428571428571" style="81" customWidth="1"/>
    <col min="72" max="72" width="22.5714285714286" style="81" customWidth="1"/>
    <col min="73" max="73" width="57.847619047619" style="81" customWidth="1"/>
    <col min="74" max="74" width="1.71428571428571" style="81" customWidth="1"/>
    <col min="75" max="75" width="22.5714285714286" style="81" customWidth="1"/>
    <col min="76" max="76" width="57.847619047619" style="81" customWidth="1"/>
    <col min="77" max="77" width="1.71428571428571" style="81" customWidth="1"/>
    <col min="78" max="78" width="22.5714285714286" style="81" customWidth="1"/>
    <col min="79" max="79" width="57.847619047619" style="81" customWidth="1"/>
    <col min="80" max="81" width="9.14285714285714" style="81"/>
    <col min="82" max="82" width="49.5714285714286" style="81" customWidth="1"/>
  </cols>
  <sheetData>
    <row r="1" s="685" customFormat="1" customHeight="1" spans="1:66">
      <c r="A1" s="687" t="s">
        <v>1372</v>
      </c>
      <c r="B1" s="687" t="s">
        <v>1373</v>
      </c>
      <c r="C1" s="687" t="s">
        <v>1374</v>
      </c>
      <c r="D1" s="687" t="s">
        <v>1375</v>
      </c>
      <c r="E1" s="687" t="s">
        <v>1376</v>
      </c>
      <c r="F1" s="687" t="s">
        <v>1377</v>
      </c>
      <c r="G1" s="687" t="s">
        <v>1378</v>
      </c>
      <c r="H1" s="687" t="s">
        <v>1379</v>
      </c>
      <c r="I1" s="687" t="s">
        <v>1380</v>
      </c>
      <c r="J1" s="687" t="s">
        <v>1381</v>
      </c>
      <c r="K1" s="687" t="s">
        <v>1382</v>
      </c>
      <c r="L1" s="687" t="s">
        <v>1383</v>
      </c>
      <c r="M1" s="687"/>
      <c r="N1" s="687" t="s">
        <v>1384</v>
      </c>
      <c r="O1" s="687" t="s">
        <v>1385</v>
      </c>
      <c r="P1" s="687" t="s">
        <v>1386</v>
      </c>
      <c r="Q1" s="687" t="s">
        <v>1387</v>
      </c>
      <c r="R1" s="687" t="s">
        <v>1388</v>
      </c>
      <c r="S1" s="687" t="s">
        <v>1389</v>
      </c>
      <c r="T1" s="687" t="s">
        <v>1390</v>
      </c>
      <c r="U1" s="687" t="s">
        <v>1391</v>
      </c>
      <c r="V1" s="687"/>
      <c r="W1" s="710" t="s">
        <v>1392</v>
      </c>
      <c r="X1" s="687" t="s">
        <v>1393</v>
      </c>
      <c r="Y1" s="687" t="s">
        <v>1394</v>
      </c>
      <c r="Z1" s="687"/>
      <c r="AA1" s="687" t="s">
        <v>1395</v>
      </c>
      <c r="AB1" s="687"/>
      <c r="AC1" s="687" t="s">
        <v>1396</v>
      </c>
      <c r="AD1" s="687"/>
      <c r="AF1" s="687" t="s">
        <v>1397</v>
      </c>
      <c r="AH1" s="687" t="s">
        <v>1398</v>
      </c>
      <c r="AI1" s="687" t="s">
        <v>1399</v>
      </c>
      <c r="AK1" s="687" t="s">
        <v>1400</v>
      </c>
      <c r="AM1" s="687" t="s">
        <v>1401</v>
      </c>
      <c r="AP1" s="687" t="s">
        <v>1402</v>
      </c>
      <c r="AQ1" s="687" t="s">
        <v>1403</v>
      </c>
      <c r="AS1" s="687" t="s">
        <v>1404</v>
      </c>
      <c r="AU1" s="687" t="s">
        <v>1405</v>
      </c>
      <c r="AW1" s="687" t="s">
        <v>1406</v>
      </c>
      <c r="AX1" s="687" t="s">
        <v>1407</v>
      </c>
      <c r="AZ1" s="741" t="s">
        <v>1408</v>
      </c>
      <c r="BB1" s="687" t="s">
        <v>1409</v>
      </c>
      <c r="BC1" s="687"/>
      <c r="BE1" s="687" t="s">
        <v>1410</v>
      </c>
      <c r="BF1" s="687" t="s">
        <v>1411</v>
      </c>
      <c r="BH1" s="742" t="s">
        <v>820</v>
      </c>
      <c r="BI1" s="453"/>
      <c r="BJ1" s="743" t="s">
        <v>1412</v>
      </c>
      <c r="BK1" s="453"/>
      <c r="BL1" s="744" t="s">
        <v>919</v>
      </c>
      <c r="BM1" s="453"/>
      <c r="BN1" s="748" t="s">
        <v>1413</v>
      </c>
    </row>
    <row r="2" customHeight="1" spans="1:58">
      <c r="A2" s="81" t="s">
        <v>1414</v>
      </c>
      <c r="B2" s="688">
        <v>2000</v>
      </c>
      <c r="C2" s="688">
        <v>2022</v>
      </c>
      <c r="D2" s="688" t="s">
        <v>66</v>
      </c>
      <c r="E2" s="689" t="s">
        <v>1415</v>
      </c>
      <c r="F2" s="689" t="s">
        <v>1416</v>
      </c>
      <c r="G2" s="689" t="s">
        <v>1417</v>
      </c>
      <c r="H2" s="689" t="s">
        <v>55</v>
      </c>
      <c r="I2" s="689" t="s">
        <v>107</v>
      </c>
      <c r="J2" s="689" t="s">
        <v>1418</v>
      </c>
      <c r="K2" s="59" t="s">
        <v>1419</v>
      </c>
      <c r="L2" s="59"/>
      <c r="M2" s="59">
        <v>1</v>
      </c>
      <c r="N2" s="716" t="s">
        <v>1420</v>
      </c>
      <c r="O2" s="689" t="s">
        <v>1421</v>
      </c>
      <c r="P2" s="717" t="s">
        <v>38</v>
      </c>
      <c r="Q2" s="729" t="s">
        <v>1422</v>
      </c>
      <c r="R2" s="730" t="s">
        <v>1423</v>
      </c>
      <c r="S2" s="730" t="s">
        <v>1424</v>
      </c>
      <c r="T2" s="692" t="s">
        <v>1425</v>
      </c>
      <c r="U2" s="59" t="s">
        <v>1426</v>
      </c>
      <c r="V2" s="731">
        <v>1</v>
      </c>
      <c r="W2" s="732"/>
      <c r="X2" s="732" t="s">
        <v>1427</v>
      </c>
      <c r="Y2" s="688" t="s">
        <v>1428</v>
      </c>
      <c r="Z2" s="737"/>
      <c r="AA2" s="688" t="s">
        <v>1429</v>
      </c>
      <c r="AB2" s="738" t="s">
        <v>1429</v>
      </c>
      <c r="AC2" s="688" t="s">
        <v>1430</v>
      </c>
      <c r="AD2" s="738" t="s">
        <v>1430</v>
      </c>
      <c r="AF2" s="689" t="s">
        <v>1426</v>
      </c>
      <c r="AH2" s="689" t="s">
        <v>1431</v>
      </c>
      <c r="AI2" s="689" t="s">
        <v>1431</v>
      </c>
      <c r="AK2" s="689" t="s">
        <v>1432</v>
      </c>
      <c r="AM2" s="689" t="s">
        <v>1433</v>
      </c>
      <c r="AP2" s="4" t="s">
        <v>1427</v>
      </c>
      <c r="AQ2" s="705" t="s">
        <v>1427</v>
      </c>
      <c r="AS2" s="688" t="s">
        <v>1434</v>
      </c>
      <c r="AU2" s="740" t="s">
        <v>1435</v>
      </c>
      <c r="AW2" s="740" t="s">
        <v>1436</v>
      </c>
      <c r="AX2" s="740" t="s">
        <v>1436</v>
      </c>
      <c r="AZ2" s="740" t="s">
        <v>53</v>
      </c>
      <c r="BB2" s="740" t="s">
        <v>1437</v>
      </c>
      <c r="BC2" s="740" t="s">
        <v>1438</v>
      </c>
      <c r="BE2" s="745" t="s">
        <v>1439</v>
      </c>
      <c r="BF2" s="745" t="s">
        <v>1439</v>
      </c>
    </row>
    <row r="3" customHeight="1" spans="1:79">
      <c r="A3" s="81" t="s">
        <v>1440</v>
      </c>
      <c r="B3" s="688">
        <v>2001</v>
      </c>
      <c r="C3" s="688">
        <v>2023</v>
      </c>
      <c r="D3" s="688" t="s">
        <v>19</v>
      </c>
      <c r="E3" s="689" t="s">
        <v>1441</v>
      </c>
      <c r="F3" s="689" t="s">
        <v>1442</v>
      </c>
      <c r="G3" s="689" t="s">
        <v>1443</v>
      </c>
      <c r="H3" s="689" t="s">
        <v>1444</v>
      </c>
      <c r="I3" s="689" t="s">
        <v>108</v>
      </c>
      <c r="J3" s="689" t="s">
        <v>550</v>
      </c>
      <c r="K3" s="59" t="s">
        <v>1445</v>
      </c>
      <c r="L3" s="59">
        <f>IFERROR(MATCH(K3,OFFER_METHOD,0),0)</f>
        <v>0</v>
      </c>
      <c r="M3" s="59">
        <v>2</v>
      </c>
      <c r="N3" s="716" t="s">
        <v>1446</v>
      </c>
      <c r="O3" s="689" t="s">
        <v>1447</v>
      </c>
      <c r="P3" s="717" t="s">
        <v>1448</v>
      </c>
      <c r="Q3" s="729" t="s">
        <v>1449</v>
      </c>
      <c r="R3" s="730" t="s">
        <v>1450</v>
      </c>
      <c r="S3" s="730" t="s">
        <v>1451</v>
      </c>
      <c r="T3" s="692" t="s">
        <v>1452</v>
      </c>
      <c r="U3" s="59" t="s">
        <v>1453</v>
      </c>
      <c r="V3" s="731">
        <v>2</v>
      </c>
      <c r="W3" s="732"/>
      <c r="X3" s="732" t="s">
        <v>1454</v>
      </c>
      <c r="Y3" s="688" t="s">
        <v>1428</v>
      </c>
      <c r="Z3" s="737"/>
      <c r="AA3" s="688" t="s">
        <v>1455</v>
      </c>
      <c r="AB3" s="738" t="s">
        <v>1455</v>
      </c>
      <c r="AC3" s="688" t="s">
        <v>1456</v>
      </c>
      <c r="AD3" s="738" t="s">
        <v>1456</v>
      </c>
      <c r="AF3" s="689" t="s">
        <v>1453</v>
      </c>
      <c r="AH3" s="689" t="s">
        <v>1457</v>
      </c>
      <c r="AI3" s="689" t="s">
        <v>1458</v>
      </c>
      <c r="AK3" s="689" t="s">
        <v>1459</v>
      </c>
      <c r="AM3" s="689" t="s">
        <v>1460</v>
      </c>
      <c r="AP3" s="4" t="s">
        <v>1461</v>
      </c>
      <c r="AQ3" s="705" t="s">
        <v>1461</v>
      </c>
      <c r="AS3" s="688" t="s">
        <v>1462</v>
      </c>
      <c r="AU3" s="740" t="s">
        <v>1463</v>
      </c>
      <c r="AW3" s="740" t="s">
        <v>1464</v>
      </c>
      <c r="AX3" s="740" t="s">
        <v>1464</v>
      </c>
      <c r="AZ3" s="740" t="s">
        <v>1465</v>
      </c>
      <c r="BB3" s="740" t="s">
        <v>1466</v>
      </c>
      <c r="BC3" s="740" t="s">
        <v>1438</v>
      </c>
      <c r="BE3" s="745" t="s">
        <v>1467</v>
      </c>
      <c r="BF3" s="745" t="s">
        <v>1467</v>
      </c>
      <c r="BH3" s="687" t="s">
        <v>1468</v>
      </c>
      <c r="BJ3" s="687" t="s">
        <v>1469</v>
      </c>
      <c r="BL3" s="687" t="s">
        <v>1470</v>
      </c>
      <c r="BN3" s="687" t="s">
        <v>1471</v>
      </c>
      <c r="BR3" s="687" t="s">
        <v>1472</v>
      </c>
      <c r="BS3" s="749"/>
      <c r="BT3" s="453"/>
      <c r="BU3" s="687" t="s">
        <v>1473</v>
      </c>
      <c r="BV3" s="453"/>
      <c r="BW3"/>
      <c r="BX3" s="687" t="s">
        <v>1474</v>
      </c>
      <c r="CA3" s="687" t="s">
        <v>1475</v>
      </c>
    </row>
    <row r="4" customHeight="1" spans="1:79">
      <c r="A4" s="81" t="s">
        <v>1476</v>
      </c>
      <c r="B4" s="688">
        <v>2002</v>
      </c>
      <c r="C4" s="688">
        <v>2024</v>
      </c>
      <c r="E4" s="689" t="s">
        <v>1477</v>
      </c>
      <c r="F4" s="689" t="s">
        <v>1478</v>
      </c>
      <c r="H4" s="689" t="s">
        <v>1479</v>
      </c>
      <c r="I4" s="689" t="s">
        <v>91</v>
      </c>
      <c r="J4" s="689" t="s">
        <v>1480</v>
      </c>
      <c r="K4" s="59" t="s">
        <v>1481</v>
      </c>
      <c r="L4" s="59">
        <f>IFERROR(MATCH(K4,OFFER_METHOD,0),0)</f>
        <v>0</v>
      </c>
      <c r="M4" s="59">
        <v>3</v>
      </c>
      <c r="N4" s="716" t="s">
        <v>1482</v>
      </c>
      <c r="O4" s="689" t="s">
        <v>1483</v>
      </c>
      <c r="Q4" s="729" t="s">
        <v>1484</v>
      </c>
      <c r="R4" s="730" t="s">
        <v>1485</v>
      </c>
      <c r="S4" s="730" t="s">
        <v>1486</v>
      </c>
      <c r="T4" s="692" t="s">
        <v>1487</v>
      </c>
      <c r="U4" s="59" t="s">
        <v>1488</v>
      </c>
      <c r="V4" s="731">
        <v>3</v>
      </c>
      <c r="W4" s="732"/>
      <c r="X4" s="732" t="s">
        <v>1489</v>
      </c>
      <c r="Y4" s="688" t="s">
        <v>1428</v>
      </c>
      <c r="Z4" s="503"/>
      <c r="AC4" s="688" t="s">
        <v>1490</v>
      </c>
      <c r="AD4" s="738" t="s">
        <v>1490</v>
      </c>
      <c r="AF4" s="689" t="s">
        <v>1488</v>
      </c>
      <c r="AH4" s="689" t="s">
        <v>1491</v>
      </c>
      <c r="AK4" s="689" t="s">
        <v>1492</v>
      </c>
      <c r="AM4" s="689" t="s">
        <v>1493</v>
      </c>
      <c r="AP4" s="4" t="s">
        <v>1454</v>
      </c>
      <c r="AQ4" s="705" t="s">
        <v>1454</v>
      </c>
      <c r="AS4" s="688" t="s">
        <v>1494</v>
      </c>
      <c r="AU4" s="740" t="s">
        <v>1495</v>
      </c>
      <c r="AW4" s="740" t="s">
        <v>1496</v>
      </c>
      <c r="AX4" s="740" t="s">
        <v>1496</v>
      </c>
      <c r="AZ4" s="740" t="s">
        <v>1497</v>
      </c>
      <c r="BB4" s="740" t="s">
        <v>1498</v>
      </c>
      <c r="BC4" s="740" t="s">
        <v>1499</v>
      </c>
      <c r="BE4" s="740">
        <v>2000</v>
      </c>
      <c r="BF4" s="740" t="s">
        <v>1500</v>
      </c>
      <c r="BH4" s="746" t="s">
        <v>1501</v>
      </c>
      <c r="BJ4" s="746" t="s">
        <v>1501</v>
      </c>
      <c r="BL4" s="746" t="s">
        <v>1501</v>
      </c>
      <c r="BN4" s="746" t="s">
        <v>1501</v>
      </c>
      <c r="BQ4" s="750" t="s">
        <v>1502</v>
      </c>
      <c r="BR4" s="4" t="s">
        <v>1503</v>
      </c>
      <c r="BS4" s="4"/>
      <c r="BT4" s="750" t="s">
        <v>1504</v>
      </c>
      <c r="BU4" s="4" t="s">
        <v>1505</v>
      </c>
      <c r="BV4" s="453"/>
      <c r="BW4" s="750" t="s">
        <v>1506</v>
      </c>
      <c r="BX4" s="4" t="s">
        <v>1507</v>
      </c>
      <c r="BZ4" s="750" t="s">
        <v>1508</v>
      </c>
      <c r="CA4" s="4" t="s">
        <v>1509</v>
      </c>
    </row>
    <row r="5" customHeight="1" spans="1:79">
      <c r="A5" s="81" t="s">
        <v>1510</v>
      </c>
      <c r="B5" s="688">
        <v>2003</v>
      </c>
      <c r="C5" s="690">
        <v>2025</v>
      </c>
      <c r="D5" s="691" t="s">
        <v>1511</v>
      </c>
      <c r="E5" s="692" t="s">
        <v>1512</v>
      </c>
      <c r="F5" s="689" t="s">
        <v>1513</v>
      </c>
      <c r="H5" s="689" t="s">
        <v>1514</v>
      </c>
      <c r="I5" s="689" t="s">
        <v>92</v>
      </c>
      <c r="K5" s="59" t="s">
        <v>1515</v>
      </c>
      <c r="L5" s="59">
        <f>IFERROR(MATCH(K5,OFFER_METHOD,0),0)</f>
        <v>0</v>
      </c>
      <c r="M5" s="59">
        <v>4</v>
      </c>
      <c r="N5" s="718" t="s">
        <v>1516</v>
      </c>
      <c r="O5" s="689" t="s">
        <v>1517</v>
      </c>
      <c r="Q5" s="729" t="s">
        <v>1518</v>
      </c>
      <c r="R5" s="730" t="s">
        <v>1519</v>
      </c>
      <c r="T5" s="689" t="s">
        <v>1520</v>
      </c>
      <c r="U5" s="59" t="s">
        <v>1521</v>
      </c>
      <c r="V5" s="731">
        <v>4</v>
      </c>
      <c r="W5" s="732"/>
      <c r="X5" s="732" t="s">
        <v>164</v>
      </c>
      <c r="Y5" s="688" t="s">
        <v>1522</v>
      </c>
      <c r="Z5" s="503">
        <v>1</v>
      </c>
      <c r="AF5" s="689" t="s">
        <v>1523</v>
      </c>
      <c r="AH5" s="689" t="s">
        <v>1524</v>
      </c>
      <c r="AK5" s="689" t="s">
        <v>1525</v>
      </c>
      <c r="AM5" s="689" t="s">
        <v>1526</v>
      </c>
      <c r="AP5" s="4" t="s">
        <v>164</v>
      </c>
      <c r="AQ5" s="705" t="s">
        <v>164</v>
      </c>
      <c r="AU5" s="740" t="s">
        <v>1527</v>
      </c>
      <c r="AW5" s="740" t="s">
        <v>1528</v>
      </c>
      <c r="AX5" s="740" t="s">
        <v>1528</v>
      </c>
      <c r="AZ5" s="740" t="s">
        <v>1529</v>
      </c>
      <c r="BB5" s="740" t="s">
        <v>1530</v>
      </c>
      <c r="BC5" s="740" t="s">
        <v>1531</v>
      </c>
      <c r="BE5" s="740">
        <v>2001</v>
      </c>
      <c r="BF5" s="740" t="s">
        <v>1532</v>
      </c>
      <c r="BH5" s="746" t="s">
        <v>1082</v>
      </c>
      <c r="BJ5" s="746" t="s">
        <v>1082</v>
      </c>
      <c r="BL5" s="746" t="s">
        <v>1082</v>
      </c>
      <c r="BN5" s="746" t="s">
        <v>1533</v>
      </c>
      <c r="BQ5" s="740">
        <v>4213775</v>
      </c>
      <c r="BR5" s="746" t="s">
        <v>1427</v>
      </c>
      <c r="BS5" s="57"/>
      <c r="BT5" s="740">
        <v>64236871</v>
      </c>
      <c r="BU5" s="746" t="s">
        <v>225</v>
      </c>
      <c r="BV5" s="453"/>
      <c r="BW5" s="740">
        <v>4213767</v>
      </c>
      <c r="BX5" s="746" t="s">
        <v>1534</v>
      </c>
      <c r="BZ5" s="740">
        <v>64237509</v>
      </c>
      <c r="CA5" s="751" t="s">
        <v>1535</v>
      </c>
    </row>
    <row r="6" customHeight="1" spans="1:79">
      <c r="A6" s="81" t="s">
        <v>1536</v>
      </c>
      <c r="B6" s="688">
        <v>2004</v>
      </c>
      <c r="C6" s="690">
        <v>2026</v>
      </c>
      <c r="D6" s="22"/>
      <c r="E6" s="692" t="s">
        <v>1537</v>
      </c>
      <c r="F6" s="36"/>
      <c r="H6" s="689" t="s">
        <v>1538</v>
      </c>
      <c r="I6" s="689" t="s">
        <v>109</v>
      </c>
      <c r="J6" s="687" t="s">
        <v>1539</v>
      </c>
      <c r="L6" s="59">
        <f>SUM(kind_of_control_method_filter)</f>
        <v>0</v>
      </c>
      <c r="N6" s="718" t="s">
        <v>1540</v>
      </c>
      <c r="O6" s="689" t="s">
        <v>1541</v>
      </c>
      <c r="R6" s="730" t="s">
        <v>1422</v>
      </c>
      <c r="T6" s="689" t="s">
        <v>1542</v>
      </c>
      <c r="U6" s="59" t="s">
        <v>1523</v>
      </c>
      <c r="V6" s="731">
        <v>5</v>
      </c>
      <c r="W6" s="732"/>
      <c r="X6" s="688" t="s">
        <v>170</v>
      </c>
      <c r="Y6" s="688" t="s">
        <v>1543</v>
      </c>
      <c r="Z6" s="503"/>
      <c r="AA6" s="709"/>
      <c r="AH6" s="689" t="s">
        <v>1544</v>
      </c>
      <c r="AK6" s="689" t="s">
        <v>1545</v>
      </c>
      <c r="AM6" s="689" t="s">
        <v>1546</v>
      </c>
      <c r="AP6" s="4" t="s">
        <v>170</v>
      </c>
      <c r="AQ6" s="705" t="s">
        <v>170</v>
      </c>
      <c r="AU6" s="740" t="s">
        <v>1547</v>
      </c>
      <c r="AW6" s="740" t="s">
        <v>1548</v>
      </c>
      <c r="AX6" s="740" t="s">
        <v>1548</v>
      </c>
      <c r="BB6" s="740" t="s">
        <v>1549</v>
      </c>
      <c r="BC6" s="740" t="s">
        <v>1531</v>
      </c>
      <c r="BE6" s="740">
        <v>2002</v>
      </c>
      <c r="BF6" s="740" t="s">
        <v>1550</v>
      </c>
      <c r="BH6" s="746" t="s">
        <v>1551</v>
      </c>
      <c r="BJ6" s="746" t="s">
        <v>1552</v>
      </c>
      <c r="BL6" s="746" t="s">
        <v>1552</v>
      </c>
      <c r="BN6" s="746" t="s">
        <v>1553</v>
      </c>
      <c r="BQ6" s="740">
        <v>4213784</v>
      </c>
      <c r="BR6" s="751" t="s">
        <v>1461</v>
      </c>
      <c r="BS6" s="752"/>
      <c r="BT6" s="740">
        <v>64236872</v>
      </c>
      <c r="BU6" s="746" t="s">
        <v>230</v>
      </c>
      <c r="BV6" s="453"/>
      <c r="BW6" s="740">
        <v>4213768</v>
      </c>
      <c r="BX6" s="746" t="s">
        <v>250</v>
      </c>
      <c r="BZ6" s="740">
        <v>64237510</v>
      </c>
      <c r="CA6" s="746" t="s">
        <v>1554</v>
      </c>
    </row>
    <row r="7" customHeight="1" spans="1:79">
      <c r="A7" s="81" t="s">
        <v>1555</v>
      </c>
      <c r="B7" s="688">
        <v>2005</v>
      </c>
      <c r="E7" s="689" t="s">
        <v>1556</v>
      </c>
      <c r="F7" s="36"/>
      <c r="H7" s="689" t="s">
        <v>1557</v>
      </c>
      <c r="I7" s="689" t="s">
        <v>93</v>
      </c>
      <c r="J7" s="689" t="s">
        <v>1558</v>
      </c>
      <c r="N7" s="25" t="s">
        <v>1559</v>
      </c>
      <c r="O7" s="689" t="s">
        <v>1560</v>
      </c>
      <c r="U7" s="59" t="s">
        <v>19</v>
      </c>
      <c r="V7" s="733" t="s">
        <v>93</v>
      </c>
      <c r="W7" s="732"/>
      <c r="X7" s="688" t="s">
        <v>176</v>
      </c>
      <c r="Y7" s="688" t="s">
        <v>1522</v>
      </c>
      <c r="Z7" s="503"/>
      <c r="AA7" s="709"/>
      <c r="AH7" s="689" t="s">
        <v>1561</v>
      </c>
      <c r="AK7" s="689" t="s">
        <v>1562</v>
      </c>
      <c r="AM7" s="689" t="s">
        <v>1563</v>
      </c>
      <c r="AP7" s="4" t="s">
        <v>176</v>
      </c>
      <c r="AQ7" s="705" t="s">
        <v>176</v>
      </c>
      <c r="AU7" s="740" t="s">
        <v>1564</v>
      </c>
      <c r="AW7" s="740" t="s">
        <v>1565</v>
      </c>
      <c r="AX7" s="740" t="s">
        <v>1565</v>
      </c>
      <c r="AZ7" s="687" t="s">
        <v>1566</v>
      </c>
      <c r="BB7" s="740" t="s">
        <v>1567</v>
      </c>
      <c r="BC7" s="740" t="s">
        <v>1531</v>
      </c>
      <c r="BE7" s="740">
        <v>2003</v>
      </c>
      <c r="BF7" s="740" t="s">
        <v>1568</v>
      </c>
      <c r="BH7" s="746" t="s">
        <v>1053</v>
      </c>
      <c r="BJ7" s="746" t="s">
        <v>1551</v>
      </c>
      <c r="BL7" s="746" t="s">
        <v>1551</v>
      </c>
      <c r="BN7" s="746" t="s">
        <v>1569</v>
      </c>
      <c r="BQ7" s="740">
        <v>4213781</v>
      </c>
      <c r="BR7" s="746" t="s">
        <v>1454</v>
      </c>
      <c r="BS7" s="57"/>
      <c r="BT7" s="740">
        <v>64236873</v>
      </c>
      <c r="BU7" s="746" t="s">
        <v>235</v>
      </c>
      <c r="BV7" s="453"/>
      <c r="BW7" s="740">
        <v>4213769</v>
      </c>
      <c r="BX7" s="746" t="s">
        <v>1570</v>
      </c>
      <c r="BZ7" s="740">
        <v>64237511</v>
      </c>
      <c r="CA7" s="746" t="s">
        <v>265</v>
      </c>
    </row>
    <row r="8" customHeight="1" spans="1:79">
      <c r="A8" s="81" t="s">
        <v>1571</v>
      </c>
      <c r="B8" s="688">
        <v>2006</v>
      </c>
      <c r="E8" s="689" t="s">
        <v>1572</v>
      </c>
      <c r="F8" s="36"/>
      <c r="H8" s="689" t="s">
        <v>1573</v>
      </c>
      <c r="I8" s="689" t="s">
        <v>94</v>
      </c>
      <c r="J8" s="689" t="s">
        <v>1574</v>
      </c>
      <c r="N8" s="719" t="s">
        <v>1575</v>
      </c>
      <c r="O8" s="689" t="s">
        <v>1576</v>
      </c>
      <c r="V8" s="733" t="s">
        <v>94</v>
      </c>
      <c r="W8" s="732"/>
      <c r="X8" s="688" t="s">
        <v>182</v>
      </c>
      <c r="Y8" s="688" t="s">
        <v>1522</v>
      </c>
      <c r="Z8" s="503"/>
      <c r="AA8" s="709"/>
      <c r="AK8" s="689" t="s">
        <v>1577</v>
      </c>
      <c r="AP8" s="4" t="s">
        <v>182</v>
      </c>
      <c r="AQ8" s="705" t="s">
        <v>182</v>
      </c>
      <c r="AU8" s="740" t="s">
        <v>1578</v>
      </c>
      <c r="AW8" s="740" t="s">
        <v>1579</v>
      </c>
      <c r="AX8" s="740" t="s">
        <v>1579</v>
      </c>
      <c r="AZ8" s="740" t="s">
        <v>1580</v>
      </c>
      <c r="BB8" s="740" t="s">
        <v>1581</v>
      </c>
      <c r="BC8" s="740" t="s">
        <v>1531</v>
      </c>
      <c r="BE8" s="740">
        <v>2004</v>
      </c>
      <c r="BF8" s="740" t="s">
        <v>1582</v>
      </c>
      <c r="BH8" s="746" t="s">
        <v>1583</v>
      </c>
      <c r="BJ8" s="746" t="s">
        <v>1584</v>
      </c>
      <c r="BL8" s="746" t="s">
        <v>1584</v>
      </c>
      <c r="BN8" s="746" t="s">
        <v>1585</v>
      </c>
      <c r="BQ8" s="740">
        <v>4213776</v>
      </c>
      <c r="BR8" s="746" t="s">
        <v>164</v>
      </c>
      <c r="BS8" s="57"/>
      <c r="BT8" s="740">
        <v>64236874</v>
      </c>
      <c r="BU8" s="751" t="s">
        <v>1586</v>
      </c>
      <c r="BV8" s="453"/>
      <c r="BW8" s="740">
        <v>4213770</v>
      </c>
      <c r="BX8" s="751" t="s">
        <v>1587</v>
      </c>
      <c r="BZ8" s="740">
        <v>64237512</v>
      </c>
      <c r="CA8" s="746" t="s">
        <v>260</v>
      </c>
    </row>
    <row r="9" customHeight="1" spans="1:76">
      <c r="A9" s="81" t="s">
        <v>1588</v>
      </c>
      <c r="B9" s="688">
        <v>2007</v>
      </c>
      <c r="E9" s="689" t="s">
        <v>1589</v>
      </c>
      <c r="F9" s="687" t="s">
        <v>1590</v>
      </c>
      <c r="G9" s="687" t="s">
        <v>1591</v>
      </c>
      <c r="H9" s="687" t="s">
        <v>1592</v>
      </c>
      <c r="I9" s="689" t="s">
        <v>110</v>
      </c>
      <c r="O9" s="689" t="s">
        <v>1593</v>
      </c>
      <c r="V9" s="733" t="s">
        <v>110</v>
      </c>
      <c r="W9" s="732"/>
      <c r="X9" s="688" t="s">
        <v>188</v>
      </c>
      <c r="Y9" s="688" t="s">
        <v>1428</v>
      </c>
      <c r="Z9" s="503">
        <v>1</v>
      </c>
      <c r="AA9" s="709"/>
      <c r="AK9" s="689" t="s">
        <v>1594</v>
      </c>
      <c r="AP9" s="4" t="s">
        <v>1595</v>
      </c>
      <c r="AQ9" s="705" t="s">
        <v>1595</v>
      </c>
      <c r="AW9" s="740" t="s">
        <v>1596</v>
      </c>
      <c r="AX9" s="740" t="s">
        <v>1596</v>
      </c>
      <c r="AZ9" s="740" t="s">
        <v>1317</v>
      </c>
      <c r="BB9" s="740" t="s">
        <v>1597</v>
      </c>
      <c r="BC9" s="740" t="s">
        <v>1531</v>
      </c>
      <c r="BE9" s="740">
        <v>2005</v>
      </c>
      <c r="BF9" s="740" t="s">
        <v>1598</v>
      </c>
      <c r="BH9" s="746" t="s">
        <v>1599</v>
      </c>
      <c r="BJ9" s="746" t="s">
        <v>1600</v>
      </c>
      <c r="BL9" s="746" t="s">
        <v>1600</v>
      </c>
      <c r="BN9" s="746" t="s">
        <v>1601</v>
      </c>
      <c r="BQ9" s="740">
        <v>4213777</v>
      </c>
      <c r="BR9" s="746" t="s">
        <v>170</v>
      </c>
      <c r="BS9" s="57"/>
      <c r="BT9" s="740">
        <v>64236875</v>
      </c>
      <c r="BU9" s="746" t="s">
        <v>240</v>
      </c>
      <c r="BV9" s="453"/>
      <c r="BW9"/>
      <c r="BX9"/>
    </row>
    <row r="10" customHeight="1" spans="1:76">
      <c r="A10" s="81" t="s">
        <v>1602</v>
      </c>
      <c r="B10" s="688">
        <v>2008</v>
      </c>
      <c r="E10" s="59" t="s">
        <v>1603</v>
      </c>
      <c r="F10" s="689" t="s">
        <v>1604</v>
      </c>
      <c r="G10" s="692" t="s">
        <v>1605</v>
      </c>
      <c r="H10" s="689" t="s">
        <v>1606</v>
      </c>
      <c r="I10" s="689" t="s">
        <v>146</v>
      </c>
      <c r="J10" s="687" t="s">
        <v>1607</v>
      </c>
      <c r="K10" s="687" t="s">
        <v>1608</v>
      </c>
      <c r="O10" s="689" t="s">
        <v>1609</v>
      </c>
      <c r="V10" s="734" t="s">
        <v>146</v>
      </c>
      <c r="W10" s="735"/>
      <c r="X10" s="735" t="s">
        <v>1610</v>
      </c>
      <c r="Y10" s="739" t="s">
        <v>1611</v>
      </c>
      <c r="Z10" s="503"/>
      <c r="AP10" s="4" t="s">
        <v>1610</v>
      </c>
      <c r="AQ10" s="705" t="s">
        <v>1610</v>
      </c>
      <c r="AW10" s="740" t="s">
        <v>1612</v>
      </c>
      <c r="AX10" s="740" t="s">
        <v>1612</v>
      </c>
      <c r="AZ10" s="740" t="s">
        <v>1613</v>
      </c>
      <c r="BB10" s="740" t="s">
        <v>1614</v>
      </c>
      <c r="BC10" s="740" t="s">
        <v>1531</v>
      </c>
      <c r="BE10" s="740">
        <v>2006</v>
      </c>
      <c r="BF10" s="740" t="s">
        <v>1615</v>
      </c>
      <c r="BH10" s="746" t="s">
        <v>1616</v>
      </c>
      <c r="BJ10" s="746" t="s">
        <v>1617</v>
      </c>
      <c r="BL10" s="746" t="s">
        <v>1617</v>
      </c>
      <c r="BN10" s="746" t="s">
        <v>1618</v>
      </c>
      <c r="BQ10" s="740">
        <v>4213778</v>
      </c>
      <c r="BR10" s="746" t="s">
        <v>176</v>
      </c>
      <c r="BS10" s="57"/>
      <c r="BT10" s="740">
        <v>64236876</v>
      </c>
      <c r="BU10" s="746" t="s">
        <v>220</v>
      </c>
      <c r="BV10" s="453"/>
      <c r="BW10"/>
      <c r="BX10"/>
    </row>
    <row r="11" customHeight="1" spans="1:76">
      <c r="A11" s="81" t="s">
        <v>1619</v>
      </c>
      <c r="B11" s="688">
        <v>2009</v>
      </c>
      <c r="E11" s="59" t="s">
        <v>1620</v>
      </c>
      <c r="F11" s="689" t="s">
        <v>1621</v>
      </c>
      <c r="G11" s="692" t="s">
        <v>1622</v>
      </c>
      <c r="H11" s="689" t="s">
        <v>1623</v>
      </c>
      <c r="I11" s="689" t="s">
        <v>147</v>
      </c>
      <c r="J11" s="689" t="s">
        <v>1624</v>
      </c>
      <c r="K11" s="720" t="s">
        <v>1625</v>
      </c>
      <c r="O11" s="689" t="s">
        <v>1626</v>
      </c>
      <c r="V11" s="733" t="s">
        <v>147</v>
      </c>
      <c r="W11" s="736"/>
      <c r="X11" s="732" t="s">
        <v>1595</v>
      </c>
      <c r="Y11" s="688" t="s">
        <v>1627</v>
      </c>
      <c r="Z11" s="503"/>
      <c r="AP11" s="4" t="s">
        <v>188</v>
      </c>
      <c r="AQ11" s="715" t="s">
        <v>188</v>
      </c>
      <c r="AW11" s="740" t="s">
        <v>1628</v>
      </c>
      <c r="AX11" s="740" t="s">
        <v>1628</v>
      </c>
      <c r="AZ11" s="740" t="s">
        <v>1629</v>
      </c>
      <c r="BB11" s="740" t="s">
        <v>1630</v>
      </c>
      <c r="BC11" s="740" t="s">
        <v>1531</v>
      </c>
      <c r="BE11" s="740">
        <v>2007</v>
      </c>
      <c r="BF11" s="740" t="s">
        <v>1631</v>
      </c>
      <c r="BH11" s="746" t="s">
        <v>1632</v>
      </c>
      <c r="BJ11" s="746" t="s">
        <v>1599</v>
      </c>
      <c r="BL11" s="746" t="s">
        <v>1599</v>
      </c>
      <c r="BN11" s="746" t="s">
        <v>1633</v>
      </c>
      <c r="BQ11" s="740">
        <v>4213780</v>
      </c>
      <c r="BR11" s="746" t="s">
        <v>182</v>
      </c>
      <c r="BS11" s="57"/>
      <c r="BW11"/>
      <c r="BX11"/>
    </row>
    <row r="12" customHeight="1" spans="1:76">
      <c r="A12" s="81" t="s">
        <v>1634</v>
      </c>
      <c r="B12" s="688">
        <v>2010</v>
      </c>
      <c r="E12" s="59" t="s">
        <v>1635</v>
      </c>
      <c r="F12" s="689" t="s">
        <v>1636</v>
      </c>
      <c r="G12" s="692" t="s">
        <v>1623</v>
      </c>
      <c r="I12" s="689" t="s">
        <v>148</v>
      </c>
      <c r="J12" s="689" t="s">
        <v>1637</v>
      </c>
      <c r="K12" s="720" t="s">
        <v>1638</v>
      </c>
      <c r="O12" s="689" t="s">
        <v>1422</v>
      </c>
      <c r="V12" s="733" t="s">
        <v>148</v>
      </c>
      <c r="W12" s="715"/>
      <c r="X12" s="732" t="s">
        <v>1639</v>
      </c>
      <c r="Y12" s="688" t="s">
        <v>1428</v>
      </c>
      <c r="AP12" s="4"/>
      <c r="AW12" s="740" t="s">
        <v>147</v>
      </c>
      <c r="AX12" s="740" t="s">
        <v>147</v>
      </c>
      <c r="AZ12" s="740" t="s">
        <v>1640</v>
      </c>
      <c r="BB12" s="740" t="s">
        <v>1641</v>
      </c>
      <c r="BC12" s="740" t="s">
        <v>1531</v>
      </c>
      <c r="BE12" s="740">
        <v>2008</v>
      </c>
      <c r="BF12" s="740" t="s">
        <v>1642</v>
      </c>
      <c r="BH12" s="746" t="s">
        <v>1643</v>
      </c>
      <c r="BJ12" s="746" t="s">
        <v>1644</v>
      </c>
      <c r="BL12" s="746" t="s">
        <v>1644</v>
      </c>
      <c r="BN12" s="746" t="s">
        <v>1645</v>
      </c>
      <c r="BQ12" s="740">
        <v>4213779</v>
      </c>
      <c r="BR12" s="746" t="s">
        <v>1595</v>
      </c>
      <c r="BS12" s="57"/>
      <c r="BT12" s="453"/>
      <c r="BU12" s="453"/>
      <c r="BV12" s="453"/>
      <c r="BW12"/>
      <c r="BX12"/>
    </row>
    <row r="13" customHeight="1" spans="1:76">
      <c r="A13" s="81" t="s">
        <v>1646</v>
      </c>
      <c r="B13" s="688">
        <v>2011</v>
      </c>
      <c r="E13" s="689" t="s">
        <v>1647</v>
      </c>
      <c r="F13" s="36"/>
      <c r="I13" s="689" t="s">
        <v>149</v>
      </c>
      <c r="K13" s="720" t="s">
        <v>1594</v>
      </c>
      <c r="V13" s="733" t="s">
        <v>149</v>
      </c>
      <c r="W13" s="715"/>
      <c r="X13" s="715"/>
      <c r="Y13" s="715"/>
      <c r="AW13" s="740" t="s">
        <v>148</v>
      </c>
      <c r="AX13" s="740" t="s">
        <v>148</v>
      </c>
      <c r="BB13" s="740" t="s">
        <v>1648</v>
      </c>
      <c r="BC13" s="740" t="s">
        <v>1649</v>
      </c>
      <c r="BE13" s="740">
        <v>2009</v>
      </c>
      <c r="BF13" s="740" t="s">
        <v>1043</v>
      </c>
      <c r="BH13" s="746" t="s">
        <v>1650</v>
      </c>
      <c r="BJ13" s="746" t="s">
        <v>1632</v>
      </c>
      <c r="BL13" s="746" t="s">
        <v>1632</v>
      </c>
      <c r="BN13" s="746" t="s">
        <v>1651</v>
      </c>
      <c r="BQ13" s="740">
        <v>4213783</v>
      </c>
      <c r="BR13" s="746" t="s">
        <v>1610</v>
      </c>
      <c r="BS13" s="57"/>
      <c r="BT13" s="453"/>
      <c r="BU13" s="453"/>
      <c r="BV13" s="453"/>
      <c r="BW13" s="453"/>
      <c r="BX13"/>
    </row>
    <row r="14" customHeight="1" spans="1:76">
      <c r="A14" s="81" t="s">
        <v>1652</v>
      </c>
      <c r="B14" s="688">
        <v>2012</v>
      </c>
      <c r="I14" s="689" t="s">
        <v>150</v>
      </c>
      <c r="J14" s="687" t="s">
        <v>1653</v>
      </c>
      <c r="N14" s="687" t="s">
        <v>1654</v>
      </c>
      <c r="V14" s="731">
        <v>13</v>
      </c>
      <c r="W14" s="732"/>
      <c r="X14" s="732" t="s">
        <v>1461</v>
      </c>
      <c r="Y14" s="688" t="s">
        <v>1428</v>
      </c>
      <c r="AW14" s="740" t="s">
        <v>149</v>
      </c>
      <c r="AX14" s="740" t="s">
        <v>149</v>
      </c>
      <c r="AZ14" s="687" t="s">
        <v>1655</v>
      </c>
      <c r="BB14" s="740" t="s">
        <v>1656</v>
      </c>
      <c r="BC14" s="740" t="s">
        <v>1649</v>
      </c>
      <c r="BE14" s="740">
        <v>2010</v>
      </c>
      <c r="BF14" s="740" t="s">
        <v>1657</v>
      </c>
      <c r="BH14" s="746" t="s">
        <v>1569</v>
      </c>
      <c r="BJ14" s="747" t="s">
        <v>1658</v>
      </c>
      <c r="BL14" s="747" t="s">
        <v>1658</v>
      </c>
      <c r="BN14" s="746" t="s">
        <v>1659</v>
      </c>
      <c r="BQ14" s="740">
        <v>4213782</v>
      </c>
      <c r="BR14" s="746" t="s">
        <v>188</v>
      </c>
      <c r="BS14" s="57"/>
      <c r="BT14" s="453"/>
      <c r="BU14" s="453"/>
      <c r="BV14" s="453"/>
      <c r="BW14" s="453"/>
      <c r="BX14"/>
    </row>
    <row r="15" ht="19.5" customHeight="1" spans="1:76">
      <c r="A15" s="81" t="s">
        <v>1660</v>
      </c>
      <c r="B15" s="688">
        <v>2013</v>
      </c>
      <c r="E15" s="691" t="s">
        <v>1661</v>
      </c>
      <c r="G15" s="687" t="s">
        <v>1662</v>
      </c>
      <c r="H15" s="687" t="s">
        <v>1663</v>
      </c>
      <c r="I15" s="59" t="s">
        <v>151</v>
      </c>
      <c r="J15" s="715" t="s">
        <v>578</v>
      </c>
      <c r="N15" s="721" t="s">
        <v>1664</v>
      </c>
      <c r="X15" s="4"/>
      <c r="AW15" s="740" t="s">
        <v>150</v>
      </c>
      <c r="AX15" s="740" t="s">
        <v>150</v>
      </c>
      <c r="AZ15" s="740" t="s">
        <v>1580</v>
      </c>
      <c r="BB15" s="740" t="s">
        <v>1665</v>
      </c>
      <c r="BC15" s="740" t="s">
        <v>1649</v>
      </c>
      <c r="BE15" s="740">
        <v>2011</v>
      </c>
      <c r="BF15" s="740" t="s">
        <v>1666</v>
      </c>
      <c r="BH15" s="746" t="s">
        <v>1585</v>
      </c>
      <c r="BJ15" s="747" t="s">
        <v>1667</v>
      </c>
      <c r="BL15" s="747" t="s">
        <v>1667</v>
      </c>
      <c r="BN15" s="746" t="s">
        <v>1668</v>
      </c>
      <c r="BR15" s="453"/>
      <c r="BS15" s="453"/>
      <c r="BT15" s="453"/>
      <c r="BU15" s="453"/>
      <c r="BV15" s="453"/>
      <c r="BW15" s="453"/>
      <c r="BX15"/>
    </row>
    <row r="16" ht="21" customHeight="1" spans="1:76">
      <c r="A16" s="693" t="s">
        <v>1669</v>
      </c>
      <c r="B16" s="688">
        <v>2014</v>
      </c>
      <c r="E16" s="694" t="s">
        <v>1670</v>
      </c>
      <c r="G16" s="689" t="s">
        <v>1671</v>
      </c>
      <c r="H16" s="689" t="s">
        <v>1672</v>
      </c>
      <c r="I16" s="59" t="s">
        <v>1100</v>
      </c>
      <c r="J16" s="715" t="s">
        <v>550</v>
      </c>
      <c r="N16" s="721" t="s">
        <v>1673</v>
      </c>
      <c r="AW16" s="740" t="s">
        <v>151</v>
      </c>
      <c r="AX16" s="740" t="s">
        <v>151</v>
      </c>
      <c r="AZ16" s="740" t="s">
        <v>1317</v>
      </c>
      <c r="BB16" s="740" t="s">
        <v>1674</v>
      </c>
      <c r="BC16" s="740" t="s">
        <v>1649</v>
      </c>
      <c r="BE16" s="740">
        <v>2012</v>
      </c>
      <c r="BH16" s="746" t="s">
        <v>1601</v>
      </c>
      <c r="BJ16" s="747" t="s">
        <v>1675</v>
      </c>
      <c r="BL16" s="747" t="s">
        <v>1675</v>
      </c>
      <c r="BN16" s="746" t="s">
        <v>1676</v>
      </c>
      <c r="BR16" s="453"/>
      <c r="BS16" s="453"/>
      <c r="BT16" s="453"/>
      <c r="BU16" s="453"/>
      <c r="BV16" s="453"/>
      <c r="BW16" s="453"/>
      <c r="BX16"/>
    </row>
    <row r="17" ht="21" customHeight="1" spans="1:82">
      <c r="A17" s="81" t="s">
        <v>1677</v>
      </c>
      <c r="B17" s="688">
        <v>2015</v>
      </c>
      <c r="G17" s="689" t="s">
        <v>1623</v>
      </c>
      <c r="H17" s="689" t="s">
        <v>1623</v>
      </c>
      <c r="I17" s="689" t="s">
        <v>1102</v>
      </c>
      <c r="N17" s="721" t="s">
        <v>1678</v>
      </c>
      <c r="X17" s="4"/>
      <c r="AW17" s="740" t="s">
        <v>1100</v>
      </c>
      <c r="AX17" s="740" t="s">
        <v>1100</v>
      </c>
      <c r="AZ17" s="740" t="s">
        <v>68</v>
      </c>
      <c r="BB17" s="740" t="s">
        <v>1679</v>
      </c>
      <c r="BC17" s="740" t="s">
        <v>1531</v>
      </c>
      <c r="BE17" s="740">
        <v>2013</v>
      </c>
      <c r="BH17" s="746" t="s">
        <v>1618</v>
      </c>
      <c r="BJ17" s="747" t="s">
        <v>1680</v>
      </c>
      <c r="BL17" s="747" t="s">
        <v>1680</v>
      </c>
      <c r="BN17" s="746" t="s">
        <v>1681</v>
      </c>
      <c r="BR17" s="687" t="s">
        <v>1472</v>
      </c>
      <c r="BS17" s="749"/>
      <c r="BU17" s="687" t="s">
        <v>1682</v>
      </c>
      <c r="BV17" s="453"/>
      <c r="BW17"/>
      <c r="BX17" s="687" t="s">
        <v>1683</v>
      </c>
      <c r="CA17" s="687" t="s">
        <v>1684</v>
      </c>
      <c r="CD17" s="687" t="s">
        <v>1685</v>
      </c>
    </row>
    <row r="18" ht="21" customHeight="1" spans="1:82">
      <c r="A18" s="81" t="s">
        <v>1686</v>
      </c>
      <c r="B18" s="688">
        <v>2016</v>
      </c>
      <c r="E18" s="695" t="s">
        <v>1687</v>
      </c>
      <c r="I18" s="689" t="s">
        <v>1105</v>
      </c>
      <c r="N18" s="721" t="s">
        <v>1688</v>
      </c>
      <c r="X18" s="4"/>
      <c r="AW18" s="740" t="s">
        <v>1102</v>
      </c>
      <c r="AX18" s="740" t="s">
        <v>1102</v>
      </c>
      <c r="BB18" s="740" t="s">
        <v>1689</v>
      </c>
      <c r="BC18" s="740" t="s">
        <v>1531</v>
      </c>
      <c r="BE18" s="740">
        <v>2014</v>
      </c>
      <c r="BH18" s="746" t="s">
        <v>1633</v>
      </c>
      <c r="BJ18" s="747" t="s">
        <v>1690</v>
      </c>
      <c r="BL18" s="747" t="s">
        <v>1690</v>
      </c>
      <c r="BN18" s="746" t="s">
        <v>1691</v>
      </c>
      <c r="BQ18" s="750" t="s">
        <v>1502</v>
      </c>
      <c r="BR18" s="4" t="s">
        <v>1503</v>
      </c>
      <c r="BS18" s="4"/>
      <c r="BT18" s="750" t="s">
        <v>1692</v>
      </c>
      <c r="BU18" s="4" t="s">
        <v>1693</v>
      </c>
      <c r="BV18" s="453"/>
      <c r="BW18" s="750" t="s">
        <v>1694</v>
      </c>
      <c r="BX18" s="4" t="s">
        <v>1695</v>
      </c>
      <c r="BZ18" s="750" t="s">
        <v>1696</v>
      </c>
      <c r="CA18" s="4" t="s">
        <v>1697</v>
      </c>
      <c r="CC18" s="750" t="s">
        <v>1698</v>
      </c>
      <c r="CD18" s="4" t="s">
        <v>1699</v>
      </c>
    </row>
    <row r="19" ht="21" customHeight="1" spans="1:82">
      <c r="A19" s="693" t="s">
        <v>1700</v>
      </c>
      <c r="B19" s="688">
        <v>2017</v>
      </c>
      <c r="E19" s="81" t="s">
        <v>163</v>
      </c>
      <c r="I19" s="689" t="s">
        <v>1112</v>
      </c>
      <c r="N19" s="721" t="s">
        <v>1701</v>
      </c>
      <c r="X19" s="4"/>
      <c r="AW19" s="740" t="s">
        <v>1105</v>
      </c>
      <c r="AX19" s="740" t="s">
        <v>1105</v>
      </c>
      <c r="AZ19" s="687" t="s">
        <v>1702</v>
      </c>
      <c r="BB19" s="740" t="s">
        <v>1703</v>
      </c>
      <c r="BC19" s="740" t="s">
        <v>1531</v>
      </c>
      <c r="BE19" s="740">
        <v>2015</v>
      </c>
      <c r="BH19" s="746" t="s">
        <v>1704</v>
      </c>
      <c r="BJ19" s="747" t="s">
        <v>1705</v>
      </c>
      <c r="BL19" s="747" t="s">
        <v>1705</v>
      </c>
      <c r="BQ19" s="740">
        <v>4190064</v>
      </c>
      <c r="BR19" s="746" t="s">
        <v>1706</v>
      </c>
      <c r="BS19" s="57"/>
      <c r="BT19" s="740">
        <v>4189671</v>
      </c>
      <c r="BU19" s="746" t="s">
        <v>1707</v>
      </c>
      <c r="BV19" s="453"/>
      <c r="BW19" s="740">
        <v>4189706</v>
      </c>
      <c r="BX19" s="746" t="s">
        <v>1708</v>
      </c>
      <c r="BZ19" s="740">
        <v>4189714</v>
      </c>
      <c r="CA19" s="746" t="s">
        <v>1709</v>
      </c>
      <c r="CC19" s="740">
        <v>4189708</v>
      </c>
      <c r="CD19" s="746" t="s">
        <v>1710</v>
      </c>
    </row>
    <row r="20" ht="21" customHeight="1" spans="1:82">
      <c r="A20" s="81" t="s">
        <v>1711</v>
      </c>
      <c r="B20" s="688">
        <v>2018</v>
      </c>
      <c r="E20" s="81" t="s">
        <v>1461</v>
      </c>
      <c r="I20" s="689" t="s">
        <v>1117</v>
      </c>
      <c r="N20" s="721" t="s">
        <v>1712</v>
      </c>
      <c r="AW20" s="740" t="s">
        <v>1112</v>
      </c>
      <c r="AX20" s="740" t="s">
        <v>1112</v>
      </c>
      <c r="AZ20" s="740" t="s">
        <v>1713</v>
      </c>
      <c r="BB20" s="740" t="s">
        <v>1714</v>
      </c>
      <c r="BC20" s="740" t="s">
        <v>1649</v>
      </c>
      <c r="BE20" s="740">
        <v>2016</v>
      </c>
      <c r="BH20" s="746" t="s">
        <v>1645</v>
      </c>
      <c r="BJ20" s="746" t="s">
        <v>1569</v>
      </c>
      <c r="BL20" s="746" t="s">
        <v>1569</v>
      </c>
      <c r="BQ20" s="740">
        <v>4190065</v>
      </c>
      <c r="BR20" s="746" t="s">
        <v>1715</v>
      </c>
      <c r="BS20" s="57"/>
      <c r="BT20" s="740">
        <v>4189672</v>
      </c>
      <c r="BU20" s="746" t="s">
        <v>1716</v>
      </c>
      <c r="BV20" s="453"/>
      <c r="BW20" s="740">
        <v>4189705</v>
      </c>
      <c r="BX20" s="746" t="s">
        <v>1717</v>
      </c>
      <c r="BZ20" s="740">
        <v>4189713</v>
      </c>
      <c r="CA20" s="746" t="s">
        <v>1717</v>
      </c>
      <c r="CC20" s="740">
        <v>4189709</v>
      </c>
      <c r="CD20" s="746" t="s">
        <v>1718</v>
      </c>
    </row>
    <row r="21" ht="21" customHeight="1" spans="1:82">
      <c r="A21" s="81" t="s">
        <v>1719</v>
      </c>
      <c r="B21" s="688">
        <v>2019</v>
      </c>
      <c r="I21" s="689" t="s">
        <v>1121</v>
      </c>
      <c r="N21" s="721" t="s">
        <v>1720</v>
      </c>
      <c r="AW21" s="740" t="s">
        <v>1117</v>
      </c>
      <c r="AX21" s="740" t="s">
        <v>1117</v>
      </c>
      <c r="AZ21" s="740" t="s">
        <v>1721</v>
      </c>
      <c r="BB21" s="740" t="s">
        <v>1722</v>
      </c>
      <c r="BC21" s="740" t="s">
        <v>1531</v>
      </c>
      <c r="BE21" s="740">
        <v>2017</v>
      </c>
      <c r="BH21" s="746" t="s">
        <v>1651</v>
      </c>
      <c r="BJ21" s="746" t="s">
        <v>1585</v>
      </c>
      <c r="BL21" s="746" t="s">
        <v>1585</v>
      </c>
      <c r="BQ21" s="740">
        <v>4190066</v>
      </c>
      <c r="BR21" s="746" t="s">
        <v>1723</v>
      </c>
      <c r="BS21" s="57"/>
      <c r="BT21" s="740">
        <v>4189673</v>
      </c>
      <c r="BU21" s="746" t="s">
        <v>1724</v>
      </c>
      <c r="BV21" s="453"/>
      <c r="BW21" s="740">
        <v>4189707</v>
      </c>
      <c r="BX21" s="746" t="s">
        <v>1725</v>
      </c>
      <c r="BZ21" s="740">
        <v>4189712</v>
      </c>
      <c r="CA21" s="746" t="s">
        <v>1726</v>
      </c>
      <c r="CC21" s="740">
        <v>4189710</v>
      </c>
      <c r="CD21" s="746" t="s">
        <v>1727</v>
      </c>
    </row>
    <row r="22" ht="21" customHeight="1" spans="1:82">
      <c r="A22" s="81" t="s">
        <v>1728</v>
      </c>
      <c r="B22" s="688">
        <v>2020</v>
      </c>
      <c r="N22" s="721" t="s">
        <v>1729</v>
      </c>
      <c r="AW22" s="740" t="s">
        <v>1121</v>
      </c>
      <c r="AX22" s="740" t="s">
        <v>1121</v>
      </c>
      <c r="AZ22" s="740" t="s">
        <v>1730</v>
      </c>
      <c r="BB22" s="740" t="s">
        <v>1731</v>
      </c>
      <c r="BC22" s="740" t="s">
        <v>1531</v>
      </c>
      <c r="BE22" s="740">
        <v>2018</v>
      </c>
      <c r="BH22" s="746" t="s">
        <v>1659</v>
      </c>
      <c r="BJ22" s="746" t="s">
        <v>1601</v>
      </c>
      <c r="BL22" s="746" t="s">
        <v>1601</v>
      </c>
      <c r="BQ22" s="740">
        <v>4190067</v>
      </c>
      <c r="BR22" s="746" t="s">
        <v>1732</v>
      </c>
      <c r="BS22" s="57"/>
      <c r="BT22" s="740">
        <v>4189674</v>
      </c>
      <c r="BU22" s="746" t="s">
        <v>1733</v>
      </c>
      <c r="BV22" s="453"/>
      <c r="BW22" s="453"/>
      <c r="CC22" s="740">
        <v>4189711</v>
      </c>
      <c r="CD22" s="746" t="s">
        <v>289</v>
      </c>
    </row>
    <row r="23" ht="21" customHeight="1" spans="1:82">
      <c r="A23" s="81" t="s">
        <v>1734</v>
      </c>
      <c r="B23" s="688">
        <v>2021</v>
      </c>
      <c r="AW23" s="740" t="s">
        <v>1123</v>
      </c>
      <c r="AX23" s="740" t="s">
        <v>1123</v>
      </c>
      <c r="AZ23" s="740" t="s">
        <v>1735</v>
      </c>
      <c r="BB23" s="740" t="s">
        <v>1736</v>
      </c>
      <c r="BC23" s="740" t="s">
        <v>1438</v>
      </c>
      <c r="BE23" s="740">
        <v>2019</v>
      </c>
      <c r="BH23" s="746" t="s">
        <v>1668</v>
      </c>
      <c r="BJ23" s="746" t="s">
        <v>1618</v>
      </c>
      <c r="BL23" s="746" t="s">
        <v>1618</v>
      </c>
      <c r="BQ23" s="740">
        <v>4190068</v>
      </c>
      <c r="BR23" s="746" t="s">
        <v>1737</v>
      </c>
      <c r="BS23" s="57"/>
      <c r="BT23" s="740">
        <v>4189675</v>
      </c>
      <c r="BU23" s="746" t="s">
        <v>1738</v>
      </c>
      <c r="BV23" s="453"/>
      <c r="BW23" s="453"/>
      <c r="CC23" s="740">
        <v>5110778</v>
      </c>
      <c r="CD23" s="746" t="s">
        <v>1739</v>
      </c>
    </row>
    <row r="24" ht="21" customHeight="1" spans="1:82">
      <c r="A24" s="81" t="s">
        <v>1740</v>
      </c>
      <c r="B24" s="688">
        <v>2022</v>
      </c>
      <c r="AW24" s="740" t="s">
        <v>1125</v>
      </c>
      <c r="AX24" s="740" t="s">
        <v>1125</v>
      </c>
      <c r="AZ24" s="740" t="s">
        <v>1741</v>
      </c>
      <c r="BB24" s="740" t="s">
        <v>1742</v>
      </c>
      <c r="BC24" s="740" t="s">
        <v>1743</v>
      </c>
      <c r="BE24" s="740">
        <v>2020</v>
      </c>
      <c r="BH24" s="746" t="s">
        <v>1676</v>
      </c>
      <c r="BJ24" s="746" t="s">
        <v>1633</v>
      </c>
      <c r="BL24" s="746" t="s">
        <v>1633</v>
      </c>
      <c r="BQ24" s="740">
        <v>4190069</v>
      </c>
      <c r="BR24" s="746" t="s">
        <v>1744</v>
      </c>
      <c r="BS24" s="57"/>
      <c r="BT24" s="740">
        <v>4189676</v>
      </c>
      <c r="BU24" s="746" t="s">
        <v>1745</v>
      </c>
      <c r="BV24" s="453"/>
      <c r="BW24" s="453"/>
      <c r="CC24" s="740">
        <v>25575374</v>
      </c>
      <c r="CD24" s="746" t="s">
        <v>1746</v>
      </c>
    </row>
    <row r="25" customHeight="1" spans="1:75">
      <c r="A25" s="81" t="s">
        <v>1747</v>
      </c>
      <c r="B25" s="688">
        <v>2023</v>
      </c>
      <c r="AW25" s="740" t="s">
        <v>1129</v>
      </c>
      <c r="AX25" s="740" t="s">
        <v>1129</v>
      </c>
      <c r="AZ25" s="740" t="s">
        <v>1748</v>
      </c>
      <c r="BB25" s="740" t="s">
        <v>1749</v>
      </c>
      <c r="BC25" s="740" t="s">
        <v>1743</v>
      </c>
      <c r="BE25" s="740">
        <v>2021</v>
      </c>
      <c r="BH25" s="746" t="s">
        <v>1681</v>
      </c>
      <c r="BJ25" s="746" t="s">
        <v>1704</v>
      </c>
      <c r="BL25" s="746" t="s">
        <v>1704</v>
      </c>
      <c r="BQ25" s="740">
        <v>4190070</v>
      </c>
      <c r="BR25" s="746" t="s">
        <v>1750</v>
      </c>
      <c r="BS25" s="57"/>
      <c r="BT25" s="740">
        <v>4189677</v>
      </c>
      <c r="BU25" s="746" t="s">
        <v>1751</v>
      </c>
      <c r="BV25" s="453"/>
      <c r="BW25" s="453"/>
    </row>
    <row r="26" customHeight="1" spans="1:75">
      <c r="A26" s="81" t="s">
        <v>1752</v>
      </c>
      <c r="B26" s="688">
        <v>2024</v>
      </c>
      <c r="J26" s="722" t="s">
        <v>1753</v>
      </c>
      <c r="AX26" s="740" t="s">
        <v>1131</v>
      </c>
      <c r="AZ26" s="740" t="s">
        <v>1626</v>
      </c>
      <c r="BB26" s="740" t="s">
        <v>1754</v>
      </c>
      <c r="BC26" s="740" t="s">
        <v>1743</v>
      </c>
      <c r="BE26" s="740">
        <v>2022</v>
      </c>
      <c r="BH26" s="746" t="s">
        <v>1691</v>
      </c>
      <c r="BJ26" s="746" t="s">
        <v>1645</v>
      </c>
      <c r="BL26" s="746" t="s">
        <v>1645</v>
      </c>
      <c r="BQ26" s="740">
        <v>4190071</v>
      </c>
      <c r="BR26" s="746" t="s">
        <v>1755</v>
      </c>
      <c r="BS26" s="57"/>
      <c r="BV26" s="453"/>
      <c r="BW26" s="453"/>
    </row>
    <row r="27" customHeight="1" spans="1:75">
      <c r="A27" s="81" t="s">
        <v>1756</v>
      </c>
      <c r="B27" s="688">
        <v>2025</v>
      </c>
      <c r="J27" s="235" t="s">
        <v>683</v>
      </c>
      <c r="AX27" s="740" t="s">
        <v>1133</v>
      </c>
      <c r="BB27" s="740" t="s">
        <v>1757</v>
      </c>
      <c r="BC27" s="740" t="s">
        <v>1743</v>
      </c>
      <c r="BE27" s="740">
        <v>2023</v>
      </c>
      <c r="BH27" s="453" t="s">
        <v>22</v>
      </c>
      <c r="BJ27" s="746" t="s">
        <v>1651</v>
      </c>
      <c r="BL27" s="746" t="s">
        <v>1651</v>
      </c>
      <c r="BN27" s="453" t="s">
        <v>22</v>
      </c>
      <c r="BQ27" s="740">
        <v>4190072</v>
      </c>
      <c r="BR27" s="746" t="s">
        <v>1758</v>
      </c>
      <c r="BS27" s="57"/>
      <c r="BV27" s="453"/>
      <c r="BW27" s="453"/>
    </row>
    <row r="28" customHeight="1" spans="1:75">
      <c r="A28" s="81" t="s">
        <v>1759</v>
      </c>
      <c r="D28" s="81"/>
      <c r="E28" s="696"/>
      <c r="F28" s="696"/>
      <c r="H28" s="468" t="s">
        <v>1760</v>
      </c>
      <c r="AX28" s="740" t="s">
        <v>1138</v>
      </c>
      <c r="AZ28" s="687" t="s">
        <v>1761</v>
      </c>
      <c r="BB28" s="740" t="s">
        <v>1762</v>
      </c>
      <c r="BC28" s="740" t="s">
        <v>1763</v>
      </c>
      <c r="BE28" s="740">
        <v>2024</v>
      </c>
      <c r="BH28" s="453" t="s">
        <v>22</v>
      </c>
      <c r="BJ28" s="746" t="s">
        <v>1659</v>
      </c>
      <c r="BL28" s="746" t="s">
        <v>1659</v>
      </c>
      <c r="BN28" s="453" t="s">
        <v>22</v>
      </c>
      <c r="BQ28" s="740">
        <v>4190073</v>
      </c>
      <c r="BR28" s="746" t="s">
        <v>1764</v>
      </c>
      <c r="BS28" s="57"/>
      <c r="BV28" s="453"/>
      <c r="BW28" s="453"/>
    </row>
    <row r="29" customHeight="1" spans="1:64">
      <c r="A29" s="81" t="s">
        <v>1765</v>
      </c>
      <c r="D29" s="697" t="s">
        <v>1766</v>
      </c>
      <c r="E29" s="698" t="str">
        <f ca="1">IF(TEMPLATE_GROUP="","",INDEX(StartDateList,MATCH(TEMPLATE_GROUP,CodeTemplateList,0),1))</f>
        <v>01.01.2026</v>
      </c>
      <c r="F29" s="698" t="str">
        <f ca="1">IF(TEMPLATE_GROUP="","",INDEX(EndDateList,MATCH(TEMPLATE_GROUP,CodeTemplateList,0),1))</f>
        <v>31.12.2026</v>
      </c>
      <c r="H29" s="699" t="s">
        <v>1767</v>
      </c>
      <c r="AX29" s="740" t="s">
        <v>1143</v>
      </c>
      <c r="AZ29" s="740" t="s">
        <v>1423</v>
      </c>
      <c r="BB29" s="740" t="s">
        <v>1626</v>
      </c>
      <c r="BC29" s="503"/>
      <c r="BE29" s="740">
        <v>2025</v>
      </c>
      <c r="BJ29" s="746" t="s">
        <v>1668</v>
      </c>
      <c r="BL29" s="746" t="s">
        <v>1668</v>
      </c>
    </row>
    <row r="30" customHeight="1" spans="1:64">
      <c r="A30" s="81" t="s">
        <v>1768</v>
      </c>
      <c r="D30" s="700"/>
      <c r="E30" s="520"/>
      <c r="F30" s="520"/>
      <c r="AX30" s="740" t="s">
        <v>1148</v>
      </c>
      <c r="AZ30" s="740" t="s">
        <v>1450</v>
      </c>
      <c r="BE30" s="740">
        <v>2026</v>
      </c>
      <c r="BJ30" s="746" t="s">
        <v>1769</v>
      </c>
      <c r="BL30" s="746" t="s">
        <v>1769</v>
      </c>
    </row>
    <row r="31" ht="12.75" customHeight="1" spans="1:64">
      <c r="A31" s="81" t="s">
        <v>1770</v>
      </c>
      <c r="D31" s="81"/>
      <c r="E31" s="696"/>
      <c r="F31" s="696"/>
      <c r="H31" s="701"/>
      <c r="AX31" s="740" t="s">
        <v>1150</v>
      </c>
      <c r="AZ31" s="740" t="s">
        <v>1771</v>
      </c>
      <c r="BE31" s="740">
        <v>2027</v>
      </c>
      <c r="BJ31" s="746" t="s">
        <v>1772</v>
      </c>
      <c r="BL31" s="746" t="s">
        <v>1772</v>
      </c>
    </row>
    <row r="32" customHeight="1" spans="1:64">
      <c r="A32" s="81" t="s">
        <v>1773</v>
      </c>
      <c r="D32" s="697" t="s">
        <v>1774</v>
      </c>
      <c r="E32" s="698" t="str">
        <f ca="1">IF(TEMPLATE_GROUP="","",INDEX(StartDateList,MATCH(TEMPLATE_GROUP,CodeTemplateList,0),1))</f>
        <v>01.01.2026</v>
      </c>
      <c r="F32" s="698" t="str">
        <f ca="1">IF(TEMPLATE_GROUP="","",INDEX(EndDateList,MATCH(TEMPLATE_GROUP,CodeTemplateList,0),1))</f>
        <v>31.12.2026</v>
      </c>
      <c r="H32" s="702" t="s">
        <v>1775</v>
      </c>
      <c r="O32" s="81" t="s">
        <v>1421</v>
      </c>
      <c r="AX32" s="740" t="s">
        <v>1152</v>
      </c>
      <c r="AZ32" s="740" t="s">
        <v>1519</v>
      </c>
      <c r="BE32" s="740">
        <v>2028</v>
      </c>
      <c r="BJ32" s="746" t="s">
        <v>1676</v>
      </c>
      <c r="BL32" s="746" t="s">
        <v>1676</v>
      </c>
    </row>
    <row r="33" customHeight="1" spans="1:64">
      <c r="A33" s="81" t="s">
        <v>1776</v>
      </c>
      <c r="O33" s="81" t="s">
        <v>1447</v>
      </c>
      <c r="AX33" s="740" t="s">
        <v>1156</v>
      </c>
      <c r="AZ33" s="740" t="s">
        <v>1422</v>
      </c>
      <c r="BE33" s="740">
        <v>2029</v>
      </c>
      <c r="BJ33" s="746" t="s">
        <v>1681</v>
      </c>
      <c r="BL33" s="746" t="s">
        <v>1681</v>
      </c>
    </row>
    <row r="34" customHeight="1" spans="1:64">
      <c r="A34" s="81" t="s">
        <v>1777</v>
      </c>
      <c r="O34" s="81" t="s">
        <v>1483</v>
      </c>
      <c r="AX34" s="740" t="s">
        <v>1158</v>
      </c>
      <c r="BE34" s="740">
        <v>2030</v>
      </c>
      <c r="BJ34" s="746" t="s">
        <v>1691</v>
      </c>
      <c r="BL34" s="746" t="s">
        <v>1691</v>
      </c>
    </row>
    <row r="35" customHeight="1" spans="1:64">
      <c r="A35" s="81" t="s">
        <v>1778</v>
      </c>
      <c r="O35" s="81" t="s">
        <v>1517</v>
      </c>
      <c r="AX35" s="740" t="s">
        <v>1098</v>
      </c>
      <c r="AZ35" s="687" t="s">
        <v>1779</v>
      </c>
      <c r="BE35" s="740">
        <v>2031</v>
      </c>
      <c r="BL35" s="746" t="s">
        <v>1780</v>
      </c>
    </row>
    <row r="36" customHeight="1" spans="1:64">
      <c r="A36" s="693" t="s">
        <v>1781</v>
      </c>
      <c r="D36" s="703" t="s">
        <v>1782</v>
      </c>
      <c r="E36" s="704" t="s">
        <v>820</v>
      </c>
      <c r="F36" s="705" t="str">
        <f>INDEX(E37:E41,MATCH(TEMPLATE_SPHERE,F37:F41,0))</f>
        <v>теплоснабжения</v>
      </c>
      <c r="G36" s="705" t="str">
        <f>INDEX(G37:G41,MATCH(TEMPLATE_SPHERE,F37:F41,0))</f>
        <v>теплоснабжение</v>
      </c>
      <c r="O36" s="81" t="s">
        <v>1541</v>
      </c>
      <c r="AX36" s="740" t="s">
        <v>1161</v>
      </c>
      <c r="AZ36" s="740" t="s">
        <v>1422</v>
      </c>
      <c r="BE36" s="740">
        <v>2032</v>
      </c>
      <c r="BL36" s="746" t="s">
        <v>1783</v>
      </c>
    </row>
    <row r="37" customHeight="1" spans="1:57">
      <c r="A37" s="81" t="s">
        <v>1784</v>
      </c>
      <c r="E37" s="706" t="s">
        <v>1785</v>
      </c>
      <c r="F37" s="707" t="s">
        <v>820</v>
      </c>
      <c r="G37" s="706" t="s">
        <v>1786</v>
      </c>
      <c r="O37" s="81" t="s">
        <v>1560</v>
      </c>
      <c r="AX37" s="740" t="s">
        <v>1163</v>
      </c>
      <c r="AZ37" s="740" t="s">
        <v>1449</v>
      </c>
      <c r="BE37" s="740">
        <v>2033</v>
      </c>
    </row>
    <row r="38" customHeight="1" spans="1:66">
      <c r="A38" s="81" t="s">
        <v>1787</v>
      </c>
      <c r="E38" s="706" t="s">
        <v>1788</v>
      </c>
      <c r="F38" s="708" t="s">
        <v>866</v>
      </c>
      <c r="G38" s="706" t="s">
        <v>1789</v>
      </c>
      <c r="O38" s="81" t="s">
        <v>1576</v>
      </c>
      <c r="AX38" s="740" t="s">
        <v>1167</v>
      </c>
      <c r="AZ38" s="740" t="s">
        <v>1484</v>
      </c>
      <c r="BE38" s="740">
        <v>2034</v>
      </c>
      <c r="BH38" s="687" t="s">
        <v>1790</v>
      </c>
      <c r="BJ38" s="687" t="s">
        <v>1791</v>
      </c>
      <c r="BL38" s="687" t="s">
        <v>1792</v>
      </c>
      <c r="BN38" s="687" t="s">
        <v>1793</v>
      </c>
    </row>
    <row r="39" customHeight="1" spans="1:66">
      <c r="A39" s="81" t="s">
        <v>1794</v>
      </c>
      <c r="E39" s="706" t="s">
        <v>1795</v>
      </c>
      <c r="F39" s="708" t="s">
        <v>919</v>
      </c>
      <c r="G39" s="706" t="s">
        <v>1796</v>
      </c>
      <c r="O39" s="81" t="s">
        <v>1593</v>
      </c>
      <c r="AX39" s="740" t="s">
        <v>1171</v>
      </c>
      <c r="AZ39" s="740" t="s">
        <v>1518</v>
      </c>
      <c r="BE39" s="740">
        <v>2035</v>
      </c>
      <c r="BH39" s="746" t="s">
        <v>1797</v>
      </c>
      <c r="BJ39" s="747" t="s">
        <v>1797</v>
      </c>
      <c r="BL39" s="747" t="s">
        <v>1797</v>
      </c>
      <c r="BN39" s="746" t="s">
        <v>1798</v>
      </c>
    </row>
    <row r="40" customHeight="1" spans="1:66">
      <c r="A40" s="81" t="s">
        <v>1799</v>
      </c>
      <c r="E40" s="706" t="s">
        <v>1800</v>
      </c>
      <c r="F40" s="708" t="s">
        <v>906</v>
      </c>
      <c r="G40" s="706" t="s">
        <v>1801</v>
      </c>
      <c r="O40" s="81" t="s">
        <v>1609</v>
      </c>
      <c r="AX40" s="740" t="s">
        <v>1173</v>
      </c>
      <c r="BE40" s="740">
        <v>2036</v>
      </c>
      <c r="BH40" s="746" t="s">
        <v>1802</v>
      </c>
      <c r="BJ40" s="747" t="s">
        <v>1229</v>
      </c>
      <c r="BL40" s="747" t="s">
        <v>1229</v>
      </c>
      <c r="BN40" s="746" t="s">
        <v>1263</v>
      </c>
    </row>
    <row r="41" customHeight="1" spans="1:66">
      <c r="A41" s="81" t="s">
        <v>1803</v>
      </c>
      <c r="E41" s="706" t="s">
        <v>1804</v>
      </c>
      <c r="F41" s="708" t="s">
        <v>1805</v>
      </c>
      <c r="G41" s="706" t="s">
        <v>1804</v>
      </c>
      <c r="O41" s="81" t="s">
        <v>1626</v>
      </c>
      <c r="AX41" s="740" t="s">
        <v>1175</v>
      </c>
      <c r="AZ41" s="687" t="s">
        <v>1806</v>
      </c>
      <c r="BE41" s="740">
        <v>2037</v>
      </c>
      <c r="BH41" s="746" t="s">
        <v>1807</v>
      </c>
      <c r="BJ41" s="747" t="s">
        <v>1225</v>
      </c>
      <c r="BL41" s="747" t="s">
        <v>1225</v>
      </c>
      <c r="BN41" s="746" t="s">
        <v>1250</v>
      </c>
    </row>
    <row r="42" customHeight="1" spans="1:66">
      <c r="A42" s="81" t="s">
        <v>1808</v>
      </c>
      <c r="AX42" s="740" t="s">
        <v>1180</v>
      </c>
      <c r="AZ42" s="740" t="s">
        <v>1421</v>
      </c>
      <c r="BE42" s="740">
        <v>2038</v>
      </c>
      <c r="BH42" s="746" t="s">
        <v>1247</v>
      </c>
      <c r="BJ42" s="747" t="s">
        <v>1227</v>
      </c>
      <c r="BL42" s="747" t="s">
        <v>1227</v>
      </c>
      <c r="BN42" s="746" t="s">
        <v>1809</v>
      </c>
    </row>
    <row r="43" customHeight="1" spans="1:66">
      <c r="A43" s="81" t="s">
        <v>1810</v>
      </c>
      <c r="AX43" s="740" t="s">
        <v>1067</v>
      </c>
      <c r="AZ43" s="740" t="s">
        <v>1447</v>
      </c>
      <c r="BE43" s="740">
        <v>2039</v>
      </c>
      <c r="BH43" s="746" t="s">
        <v>1811</v>
      </c>
      <c r="BJ43" s="747" t="s">
        <v>1807</v>
      </c>
      <c r="BL43" s="747" t="s">
        <v>1807</v>
      </c>
      <c r="BN43" s="746" t="s">
        <v>1812</v>
      </c>
    </row>
    <row r="44" customHeight="1" spans="1:66">
      <c r="A44" s="81" t="s">
        <v>1813</v>
      </c>
      <c r="G44" s="709">
        <f ca="1">YEAR(TODAY())</f>
        <v>2026</v>
      </c>
      <c r="I44" s="712" t="s">
        <v>1814</v>
      </c>
      <c r="J44" s="715" t="s">
        <v>1815</v>
      </c>
      <c r="K44" s="715" t="s">
        <v>1816</v>
      </c>
      <c r="AX44" s="740" t="s">
        <v>1817</v>
      </c>
      <c r="AZ44" s="740" t="s">
        <v>1483</v>
      </c>
      <c r="BE44" s="740">
        <v>2040</v>
      </c>
      <c r="BH44" s="746" t="s">
        <v>1818</v>
      </c>
      <c r="BJ44" s="747" t="s">
        <v>1247</v>
      </c>
      <c r="BL44" s="747" t="s">
        <v>1247</v>
      </c>
      <c r="BN44" s="746" t="s">
        <v>1819</v>
      </c>
    </row>
    <row r="45" customHeight="1" spans="1:66">
      <c r="A45" s="81" t="s">
        <v>1820</v>
      </c>
      <c r="D45" s="703" t="s">
        <v>1821</v>
      </c>
      <c r="E45" s="704" t="s">
        <v>1221</v>
      </c>
      <c r="F45" s="710" t="s">
        <v>1822</v>
      </c>
      <c r="G45" s="711" t="s">
        <v>1823</v>
      </c>
      <c r="H45" s="712" t="s">
        <v>1824</v>
      </c>
      <c r="I45" s="723" t="b">
        <f>INDEX(PeriodIsEmptyList,MATCH(TEMPLATE_GROUP,CodeTemplateList,0),1)</f>
        <v>0</v>
      </c>
      <c r="J45" s="724" t="str">
        <f>INDEX(NameTemplatesInTitleList,MATCH(TEMPLATE_GROUP,CodeTemplateList,0),1)</f>
        <v>Информация об инвестиционных программах регулируемой организации в области теплоснабжения</v>
      </c>
      <c r="K45" s="72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740" t="s">
        <v>1059</v>
      </c>
      <c r="AZ45" s="740" t="s">
        <v>1517</v>
      </c>
      <c r="BE45" s="740">
        <v>2041</v>
      </c>
      <c r="BH45" s="746" t="s">
        <v>1825</v>
      </c>
      <c r="BJ45" s="747" t="s">
        <v>1241</v>
      </c>
      <c r="BL45" s="747" t="s">
        <v>1241</v>
      </c>
      <c r="BN45" s="746" t="s">
        <v>1826</v>
      </c>
    </row>
    <row r="46" customHeight="1" spans="1:66">
      <c r="A46" s="81" t="s">
        <v>1827</v>
      </c>
      <c r="E46" s="706" t="s">
        <v>27</v>
      </c>
      <c r="F46" s="707" t="s">
        <v>1828</v>
      </c>
      <c r="G46" s="713" t="str">
        <f ca="1">IFERROR(IF(TITLE_DATE_FIL="","01.01."&amp;CURRENT_YEAR,"01.01."&amp;YEAR(TITLE_DATE_FIL)),"01.01."&amp;CURRENT_YEAR)</f>
        <v>01.01.2026</v>
      </c>
      <c r="H46" s="713" t="str">
        <f ca="1">IFERROR(IF(TITLE_DATE_FIL="","31.12."&amp;CURRENT_YEAR,"31.12."&amp;YEAR(TITLE_DATE_FIL)),"31.12."&amp;CURRENT_YEAR)</f>
        <v>31.12.2026</v>
      </c>
      <c r="I46" s="725" t="b">
        <f>IF(TITLE_DATE_FIL="",TRUE,FALSE)</f>
        <v>1</v>
      </c>
      <c r="J46" s="726" t="str">
        <f>"Общая информация о регулируемой организации ("&amp;TEMPLATE_SPHERE_RUS&amp;")"</f>
        <v>Общая информация о регулируемой организации (теплоснабжения)</v>
      </c>
      <c r="K46" s="727"/>
      <c r="AX46" s="740" t="s">
        <v>1829</v>
      </c>
      <c r="AZ46" s="740" t="s">
        <v>1541</v>
      </c>
      <c r="BE46" s="740">
        <v>2042</v>
      </c>
      <c r="BH46" s="746" t="s">
        <v>1250</v>
      </c>
      <c r="BJ46" s="747" t="s">
        <v>1231</v>
      </c>
      <c r="BL46" s="747" t="s">
        <v>1231</v>
      </c>
      <c r="BN46" s="746" t="s">
        <v>1830</v>
      </c>
    </row>
    <row r="47" customHeight="1" spans="1:66">
      <c r="A47" s="81" t="s">
        <v>1831</v>
      </c>
      <c r="E47" s="706" t="s">
        <v>33</v>
      </c>
      <c r="F47" s="708" t="s">
        <v>1832</v>
      </c>
      <c r="G47" s="713" t="str">
        <f ca="1">IFERROR(IF(f_year="","01.01."&amp;CURRENT_YEAR,IF(LEN(f_quart)=0,"01.01."&amp;f_year,IF(f_quart="I квартал","01.01."&amp;f_year,IF(f_quart="II квартал","01.04."&amp;f_year,(IF(f_quart="III квартал","01.07."&amp;f_year,"01.10."&amp;f_year)))))),"01.01."&amp;CURRENT_YEAR)</f>
        <v>01.01.2026</v>
      </c>
      <c r="H47" s="713" t="str">
        <f ca="1">IFERROR(IF(f_year="","31.12."&amp;CURRENT_YEAR,IF(LEN(f_quart)=0,"31.12."&amp;f_year,IF(f_quart="I квартал","31.03."&amp;f_year,IF(f_quart="II квартал","30.06."&amp;f_year,(IF(f_quart="III квартал","30.09."&amp;f_year,"31.12."&amp;f_year)))))),"31.12."&amp;CURRENT_YEAR)</f>
        <v>31.12.2026</v>
      </c>
      <c r="I47" s="728" t="b">
        <f>IF(OR(f_year="",f_quart=""),TRUE,FALSE)</f>
        <v>1</v>
      </c>
      <c r="J47" s="72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727"/>
      <c r="AX47" s="740" t="s">
        <v>1833</v>
      </c>
      <c r="AZ47" s="740" t="s">
        <v>1560</v>
      </c>
      <c r="BE47" s="740">
        <v>2043</v>
      </c>
      <c r="BH47" s="746" t="s">
        <v>1809</v>
      </c>
      <c r="BJ47" s="747" t="s">
        <v>1233</v>
      </c>
      <c r="BL47" s="747" t="s">
        <v>1233</v>
      </c>
      <c r="BN47" s="746" t="s">
        <v>1834</v>
      </c>
    </row>
    <row r="48" customHeight="1" spans="1:66">
      <c r="A48" s="81" t="s">
        <v>1835</v>
      </c>
      <c r="E48" s="706" t="s">
        <v>1836</v>
      </c>
      <c r="F48" s="708" t="s">
        <v>1837</v>
      </c>
      <c r="G48" s="713" t="str">
        <f ca="1">IFERROR(IF(f_year="","01.01."&amp;CURRENT_YEAR,"01.01."&amp;f_year),"01.01."&amp;CURRENT_YEAR)</f>
        <v>01.01.2026</v>
      </c>
      <c r="H48" s="713" t="str">
        <f ca="1">IFERROR(IF(f_year="","31.12."&amp;CURRENT_YEAR,"31.12."&amp;f_year),"31.12."&amp;CURRENT_YEAR)</f>
        <v>31.12.2026</v>
      </c>
      <c r="I48" s="725" t="b">
        <f>IF(f_year="",TRUE,FALSE)</f>
        <v>0</v>
      </c>
      <c r="J48" s="726" t="s">
        <v>1838</v>
      </c>
      <c r="K48" s="727"/>
      <c r="AX48" s="740" t="s">
        <v>1839</v>
      </c>
      <c r="AZ48" s="740" t="s">
        <v>1576</v>
      </c>
      <c r="BE48" s="740">
        <v>2044</v>
      </c>
      <c r="BH48" s="746" t="s">
        <v>1812</v>
      </c>
      <c r="BJ48" s="747" t="s">
        <v>1235</v>
      </c>
      <c r="BL48" s="747" t="s">
        <v>1235</v>
      </c>
      <c r="BN48" s="746" t="s">
        <v>1840</v>
      </c>
    </row>
    <row r="49" customHeight="1" spans="1:64">
      <c r="A49" s="81" t="s">
        <v>1841</v>
      </c>
      <c r="E49" s="706" t="s">
        <v>1842</v>
      </c>
      <c r="F49" s="708" t="s">
        <v>1843</v>
      </c>
      <c r="G49" s="713" t="str">
        <f ca="1">IFERROR(IF(f_year="","01.01."&amp;CURRENT_YEAR,"01.01."&amp;f_year),"01.01."&amp;CURRENT_YEAR)</f>
        <v>01.01.2026</v>
      </c>
      <c r="H49" s="713" t="str">
        <f ca="1">IFERROR(IF(f_year="","31.12."&amp;CURRENT_YEAR,"31.12."&amp;f_year),"31.12."&amp;CURRENT_YEAR)</f>
        <v>31.12.2026</v>
      </c>
      <c r="I49" s="725" t="b">
        <f>IF(f_year="",TRUE,FALSE)</f>
        <v>0</v>
      </c>
      <c r="J49" s="72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727"/>
      <c r="AX49" s="740" t="s">
        <v>1844</v>
      </c>
      <c r="AZ49" s="740" t="s">
        <v>1593</v>
      </c>
      <c r="BE49" s="740">
        <v>2045</v>
      </c>
      <c r="BH49" s="746" t="s">
        <v>1251</v>
      </c>
      <c r="BJ49" s="747" t="s">
        <v>1237</v>
      </c>
      <c r="BL49" s="747" t="s">
        <v>1237</v>
      </c>
    </row>
    <row r="50" customHeight="1" spans="1:64">
      <c r="A50" s="81" t="s">
        <v>1845</v>
      </c>
      <c r="E50" s="706" t="s">
        <v>1846</v>
      </c>
      <c r="F50" s="708" t="s">
        <v>1221</v>
      </c>
      <c r="G50" s="713" t="str">
        <f ca="1">IFERROR(IF(f_year="","01.01."&amp;CURRENT_YEAR,"01.01."&amp;f_year),"01.01."&amp;CURRENT_YEAR)</f>
        <v>01.01.2026</v>
      </c>
      <c r="H50" s="713" t="str">
        <f ca="1">IFERROR(IF(f_year="","31.12."&amp;CURRENT_YEAR,"31.12."&amp;f_year),"31.12."&amp;CURRENT_YEAR)</f>
        <v>31.12.2026</v>
      </c>
      <c r="I50" s="725" t="b">
        <f>IF(f_year="",TRUE,FALSE)</f>
        <v>0</v>
      </c>
      <c r="J50" s="72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727"/>
      <c r="AX50" s="740" t="s">
        <v>1847</v>
      </c>
      <c r="AZ50" s="740" t="s">
        <v>1609</v>
      </c>
      <c r="BE50" s="740">
        <v>2046</v>
      </c>
      <c r="BH50" s="746" t="s">
        <v>1819</v>
      </c>
      <c r="BJ50" s="747" t="s">
        <v>1239</v>
      </c>
      <c r="BL50" s="747" t="s">
        <v>1239</v>
      </c>
    </row>
    <row r="51" customHeight="1" spans="1:64">
      <c r="A51" s="81" t="s">
        <v>1848</v>
      </c>
      <c r="E51" s="706" t="s">
        <v>1849</v>
      </c>
      <c r="F51" s="708" t="s">
        <v>1850</v>
      </c>
      <c r="G51" s="713" t="str">
        <f ca="1">IFERROR(IF(TITLE_PERIOD_START="","01.01."&amp;CURRENT_YEAR,"01.01."&amp;YEAR(TITLE_PERIOD_START)),"01.01."&amp;CURRENT_YEAR)</f>
        <v>01.01.2026</v>
      </c>
      <c r="H51" s="713" t="str">
        <f ca="1">IFERROR(IF(TITLE_PERIOD_END="","31.12."&amp;CURRENT_YEAR,"31.12."&amp;YEAR(TITLE_PERIOD_END)),"31.12."&amp;CURRENT_YEAR)</f>
        <v>31.12.2026</v>
      </c>
      <c r="I51" s="728" t="b">
        <f>IF(OR(TITLE_PERIOD_START="",TITLE_PERIOD_END=""),TRUE,FALSE)</f>
        <v>1</v>
      </c>
      <c r="J51" s="72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727"/>
      <c r="AX51" s="740" t="s">
        <v>1851</v>
      </c>
      <c r="AZ51" s="740" t="s">
        <v>1626</v>
      </c>
      <c r="BE51" s="740">
        <v>2047</v>
      </c>
      <c r="BH51" s="746" t="s">
        <v>1826</v>
      </c>
      <c r="BJ51" s="747" t="s">
        <v>1852</v>
      </c>
      <c r="BL51" s="747" t="s">
        <v>1852</v>
      </c>
    </row>
    <row r="52" customHeight="1" spans="1:64">
      <c r="A52" s="81" t="s">
        <v>1853</v>
      </c>
      <c r="E52" s="706" t="s">
        <v>1854</v>
      </c>
      <c r="F52" s="708" t="s">
        <v>1855</v>
      </c>
      <c r="G52" s="713" t="str">
        <f ca="1">IFERROR(IF(TITLE_PERIOD_START="","01.01."&amp;CURRENT_YEAR,"01.01."&amp;YEAR(TITLE_PERIOD_START)),"01.01."&amp;CURRENT_YEAR)</f>
        <v>01.01.2026</v>
      </c>
      <c r="H52" s="713" t="str">
        <f ca="1">IFERROR(IF(TITLE_PERIOD_END="","31.12."&amp;CURRENT_YEAR,"31.12."&amp;YEAR(TITLE_PERIOD_END)),"31.12."&amp;CURRENT_YEAR)</f>
        <v>31.12.2026</v>
      </c>
      <c r="I52" s="728" t="b">
        <f>IF(OR(TITLE_PERIOD_START="",TITLE_PERIOD_END=""),TRUE,FALSE)</f>
        <v>1</v>
      </c>
      <c r="J52" s="726" t="str">
        <f>"Показатели, подлежащие раскрытию в сфере "&amp;TEMPLATE_SPHERE_RUS&amp;" (цены и тарифы)"</f>
        <v>Показатели, подлежащие раскрытию в сфере теплоснабжения (цены и тарифы)</v>
      </c>
      <c r="K52" s="727"/>
      <c r="AX52" s="740" t="s">
        <v>1856</v>
      </c>
      <c r="AZ52" s="740" t="s">
        <v>1422</v>
      </c>
      <c r="BE52" s="740">
        <v>2048</v>
      </c>
      <c r="BH52" s="746" t="s">
        <v>1830</v>
      </c>
      <c r="BJ52" s="747" t="s">
        <v>1250</v>
      </c>
      <c r="BL52" s="747" t="s">
        <v>1250</v>
      </c>
    </row>
    <row r="53" customHeight="1" spans="1:64">
      <c r="A53" s="81" t="s">
        <v>1857</v>
      </c>
      <c r="E53" s="706" t="s">
        <v>1858</v>
      </c>
      <c r="F53" s="708" t="s">
        <v>1858</v>
      </c>
      <c r="G53" s="713" t="str">
        <f ca="1">IFERROR(IF(f_year="","01.01."&amp;CURRENT_YEAR,"01.01."&amp;f_year),"01.01."&amp;CURRENT_YEAR)</f>
        <v>01.01.2026</v>
      </c>
      <c r="H53" s="713" t="str">
        <f ca="1">IFERROR(IF(f_year="","31.12."&amp;CURRENT_YEAR,"31.12."&amp;f_year),"31.12."&amp;CURRENT_YEAR)</f>
        <v>31.12.2026</v>
      </c>
      <c r="I53" s="725" t="b">
        <f>IF(AND(f_year="",TITLE_DATE_FIL=""),TRUE,FALSE)</f>
        <v>0</v>
      </c>
      <c r="J53" s="726" t="s">
        <v>1859</v>
      </c>
      <c r="K53" s="727"/>
      <c r="AX53" s="740" t="s">
        <v>1860</v>
      </c>
      <c r="BE53" s="740">
        <v>2049</v>
      </c>
      <c r="BH53" s="746" t="s">
        <v>1834</v>
      </c>
      <c r="BJ53" s="747" t="s">
        <v>1809</v>
      </c>
      <c r="BL53" s="747" t="s">
        <v>1809</v>
      </c>
    </row>
    <row r="54" customHeight="1" spans="1:64">
      <c r="A54" s="81" t="s">
        <v>1861</v>
      </c>
      <c r="AX54" s="740" t="s">
        <v>1862</v>
      </c>
      <c r="AZ54" s="687" t="s">
        <v>1863</v>
      </c>
      <c r="BE54" s="740">
        <v>2050</v>
      </c>
      <c r="BH54" s="746" t="s">
        <v>1840</v>
      </c>
      <c r="BJ54" s="747" t="s">
        <v>1812</v>
      </c>
      <c r="BL54" s="747" t="s">
        <v>1812</v>
      </c>
    </row>
    <row r="55" customHeight="1" spans="1:64">
      <c r="A55" s="81" t="s">
        <v>1864</v>
      </c>
      <c r="AX55" s="740" t="s">
        <v>1865</v>
      </c>
      <c r="AZ55" s="740" t="s">
        <v>1424</v>
      </c>
      <c r="BE55" s="740">
        <v>2051</v>
      </c>
      <c r="BH55" s="453" t="s">
        <v>22</v>
      </c>
      <c r="BJ55" s="747" t="s">
        <v>1251</v>
      </c>
      <c r="BL55" s="747" t="s">
        <v>1251</v>
      </c>
    </row>
    <row r="56" customHeight="1" spans="1:64">
      <c r="A56" s="81" t="s">
        <v>1866</v>
      </c>
      <c r="D56" s="714" t="s">
        <v>1867</v>
      </c>
      <c r="E56" s="715" t="s">
        <v>109</v>
      </c>
      <c r="F56" s="81" t="s">
        <v>1868</v>
      </c>
      <c r="AX56" s="740" t="s">
        <v>1869</v>
      </c>
      <c r="AZ56" s="740" t="s">
        <v>1451</v>
      </c>
      <c r="BE56" s="740">
        <v>2052</v>
      </c>
      <c r="BH56" s="453" t="s">
        <v>22</v>
      </c>
      <c r="BJ56" s="747" t="s">
        <v>1819</v>
      </c>
      <c r="BL56" s="747" t="s">
        <v>1819</v>
      </c>
    </row>
    <row r="57" customHeight="1" spans="1:64">
      <c r="A57" s="81" t="s">
        <v>1870</v>
      </c>
      <c r="D57" s="714" t="s">
        <v>1871</v>
      </c>
      <c r="E57" s="715" t="s">
        <v>109</v>
      </c>
      <c r="F57" s="81" t="s">
        <v>1868</v>
      </c>
      <c r="AX57" s="740" t="s">
        <v>1872</v>
      </c>
      <c r="AZ57" s="740" t="s">
        <v>1486</v>
      </c>
      <c r="BE57" s="740">
        <v>2053</v>
      </c>
      <c r="BJ57" s="747" t="s">
        <v>1826</v>
      </c>
      <c r="BL57" s="747" t="s">
        <v>1826</v>
      </c>
    </row>
    <row r="58" customHeight="1" spans="1:64">
      <c r="A58" s="81" t="s">
        <v>1873</v>
      </c>
      <c r="D58" s="714" t="s">
        <v>1874</v>
      </c>
      <c r="E58" s="715" t="s">
        <v>1875</v>
      </c>
      <c r="F58" s="81" t="s">
        <v>1868</v>
      </c>
      <c r="AX58" s="740" t="s">
        <v>1876</v>
      </c>
      <c r="BE58" s="740">
        <v>2054</v>
      </c>
      <c r="BJ58" s="747" t="s">
        <v>1830</v>
      </c>
      <c r="BL58" s="747" t="s">
        <v>1830</v>
      </c>
    </row>
    <row r="59" customHeight="1" spans="1:64">
      <c r="A59" s="81" t="s">
        <v>1877</v>
      </c>
      <c r="D59" s="714" t="s">
        <v>129</v>
      </c>
      <c r="E59" s="715" t="s">
        <v>1152</v>
      </c>
      <c r="F59" s="81" t="s">
        <v>1878</v>
      </c>
      <c r="AX59" s="740" t="s">
        <v>1879</v>
      </c>
      <c r="AZ59" s="687" t="s">
        <v>1880</v>
      </c>
      <c r="BE59" s="740">
        <v>2055</v>
      </c>
      <c r="BJ59" s="747" t="s">
        <v>1834</v>
      </c>
      <c r="BL59" s="747" t="s">
        <v>1834</v>
      </c>
    </row>
    <row r="60" customHeight="1" spans="1:64">
      <c r="A60" s="81" t="s">
        <v>1881</v>
      </c>
      <c r="D60" s="714" t="s">
        <v>1882</v>
      </c>
      <c r="E60" s="715" t="s">
        <v>1152</v>
      </c>
      <c r="F60" s="81" t="s">
        <v>1878</v>
      </c>
      <c r="AX60" s="740" t="s">
        <v>1883</v>
      </c>
      <c r="AZ60" s="740" t="s">
        <v>1425</v>
      </c>
      <c r="BE60" s="740">
        <v>2056</v>
      </c>
      <c r="BJ60" s="747" t="s">
        <v>1840</v>
      </c>
      <c r="BL60" s="747" t="s">
        <v>1840</v>
      </c>
    </row>
    <row r="61" customHeight="1" spans="1:64">
      <c r="A61" s="81" t="s">
        <v>1884</v>
      </c>
      <c r="D61" s="714" t="s">
        <v>1885</v>
      </c>
      <c r="E61" s="715" t="s">
        <v>1152</v>
      </c>
      <c r="F61" s="81" t="s">
        <v>1878</v>
      </c>
      <c r="AX61" s="740" t="s">
        <v>1886</v>
      </c>
      <c r="AZ61" s="740" t="s">
        <v>1452</v>
      </c>
      <c r="BE61" s="740">
        <v>2057</v>
      </c>
      <c r="BL61" s="747" t="s">
        <v>1243</v>
      </c>
    </row>
    <row r="62" customHeight="1" spans="1:64">
      <c r="A62" s="81" t="s">
        <v>1887</v>
      </c>
      <c r="D62" s="714" t="s">
        <v>128</v>
      </c>
      <c r="E62" s="715">
        <v>30</v>
      </c>
      <c r="F62" s="81" t="s">
        <v>1878</v>
      </c>
      <c r="AZ62" s="740" t="s">
        <v>1487</v>
      </c>
      <c r="BE62" s="740">
        <v>2058</v>
      </c>
      <c r="BL62" s="747" t="s">
        <v>1245</v>
      </c>
    </row>
    <row r="63" customHeight="1" spans="1:57">
      <c r="A63" s="81" t="s">
        <v>1888</v>
      </c>
      <c r="D63" s="714" t="s">
        <v>1889</v>
      </c>
      <c r="E63" s="715">
        <v>30</v>
      </c>
      <c r="F63" s="81" t="s">
        <v>1878</v>
      </c>
      <c r="AZ63" s="740" t="s">
        <v>1520</v>
      </c>
      <c r="BE63" s="740">
        <v>2059</v>
      </c>
    </row>
    <row r="64" customHeight="1" spans="1:57">
      <c r="A64" s="81" t="s">
        <v>1890</v>
      </c>
      <c r="D64" s="714" t="s">
        <v>1891</v>
      </c>
      <c r="E64" s="715">
        <v>30</v>
      </c>
      <c r="F64" s="81" t="s">
        <v>1878</v>
      </c>
      <c r="AZ64" s="740" t="s">
        <v>1542</v>
      </c>
      <c r="BE64" s="740">
        <v>2060</v>
      </c>
    </row>
    <row r="65" customHeight="1" spans="1:57">
      <c r="A65" s="81" t="s">
        <v>1892</v>
      </c>
      <c r="D65" s="81"/>
      <c r="BE65" s="740">
        <v>2061</v>
      </c>
    </row>
    <row r="66" customHeight="1" spans="1:57">
      <c r="A66" s="81" t="s">
        <v>1893</v>
      </c>
      <c r="AZ66" s="687" t="s">
        <v>1894</v>
      </c>
      <c r="BE66" s="740">
        <v>2062</v>
      </c>
    </row>
    <row r="67" customHeight="1" spans="1:57">
      <c r="A67" s="81" t="s">
        <v>1895</v>
      </c>
      <c r="AZ67" s="740" t="s">
        <v>1426</v>
      </c>
      <c r="BE67" s="740">
        <v>2063</v>
      </c>
    </row>
    <row r="68" customHeight="1" spans="1:66">
      <c r="A68" s="81" t="s">
        <v>16</v>
      </c>
      <c r="AZ68" s="740" t="s">
        <v>1453</v>
      </c>
      <c r="BE68" s="740">
        <v>2064</v>
      </c>
      <c r="BH68" s="687" t="s">
        <v>1896</v>
      </c>
      <c r="BJ68" s="687" t="s">
        <v>1897</v>
      </c>
      <c r="BL68" s="687" t="s">
        <v>1898</v>
      </c>
      <c r="BN68" s="687" t="s">
        <v>1899</v>
      </c>
    </row>
    <row r="69" customHeight="1" spans="1:66">
      <c r="A69" s="81" t="s">
        <v>1900</v>
      </c>
      <c r="AZ69" s="740" t="s">
        <v>1488</v>
      </c>
      <c r="BE69" s="740">
        <v>2065</v>
      </c>
      <c r="BH69" s="746" t="s">
        <v>1040</v>
      </c>
      <c r="BI69" s="453" t="s">
        <v>107</v>
      </c>
      <c r="BJ69" s="746" t="s">
        <v>1901</v>
      </c>
      <c r="BK69" s="453" t="s">
        <v>107</v>
      </c>
      <c r="BL69" s="746" t="s">
        <v>1902</v>
      </c>
      <c r="BM69" s="453" t="s">
        <v>107</v>
      </c>
      <c r="BN69" s="746" t="s">
        <v>1903</v>
      </c>
    </row>
    <row r="70" customHeight="1" spans="1:66">
      <c r="A70" s="81" t="s">
        <v>1904</v>
      </c>
      <c r="AZ70" s="740" t="s">
        <v>1521</v>
      </c>
      <c r="BE70" s="740">
        <v>2066</v>
      </c>
      <c r="BH70" s="746" t="s">
        <v>1083</v>
      </c>
      <c r="BJ70" s="746" t="s">
        <v>1905</v>
      </c>
      <c r="BL70" s="746" t="s">
        <v>1906</v>
      </c>
      <c r="BN70" s="746" t="s">
        <v>1907</v>
      </c>
    </row>
    <row r="71" customHeight="1" spans="1:66">
      <c r="A71" s="81" t="s">
        <v>1908</v>
      </c>
      <c r="AZ71" s="740" t="s">
        <v>1523</v>
      </c>
      <c r="BE71" s="740">
        <v>2067</v>
      </c>
      <c r="BH71" s="746" t="s">
        <v>1106</v>
      </c>
      <c r="BI71" s="453" t="s">
        <v>91</v>
      </c>
      <c r="BJ71" s="746" t="s">
        <v>1909</v>
      </c>
      <c r="BK71" s="453" t="s">
        <v>91</v>
      </c>
      <c r="BL71" s="746" t="s">
        <v>1910</v>
      </c>
      <c r="BM71" s="453" t="s">
        <v>91</v>
      </c>
      <c r="BN71" s="746" t="s">
        <v>1911</v>
      </c>
    </row>
    <row r="72" customHeight="1" spans="1:66">
      <c r="A72" s="81" t="s">
        <v>1912</v>
      </c>
      <c r="AZ72" s="740" t="s">
        <v>19</v>
      </c>
      <c r="BE72" s="740">
        <v>2068</v>
      </c>
      <c r="BH72" s="746" t="s">
        <v>1913</v>
      </c>
      <c r="BJ72" s="746" t="s">
        <v>1913</v>
      </c>
      <c r="BL72" s="746" t="s">
        <v>1913</v>
      </c>
      <c r="BN72" s="746" t="s">
        <v>1914</v>
      </c>
    </row>
    <row r="73" customHeight="1" spans="1:66">
      <c r="A73" s="81" t="s">
        <v>1915</v>
      </c>
      <c r="BE73" s="740">
        <v>2069</v>
      </c>
      <c r="BH73" s="746" t="s">
        <v>1916</v>
      </c>
      <c r="BI73" s="453" t="s">
        <v>109</v>
      </c>
      <c r="BJ73" s="746" t="s">
        <v>1917</v>
      </c>
      <c r="BK73" s="453" t="s">
        <v>109</v>
      </c>
      <c r="BL73" s="746" t="s">
        <v>1918</v>
      </c>
      <c r="BM73" s="453" t="s">
        <v>109</v>
      </c>
      <c r="BN73" s="746" t="s">
        <v>1919</v>
      </c>
    </row>
    <row r="74" customHeight="1" spans="1:66">
      <c r="A74" s="81" t="s">
        <v>1920</v>
      </c>
      <c r="BE74" s="740">
        <v>2070</v>
      </c>
      <c r="BH74" s="746" t="s">
        <v>1921</v>
      </c>
      <c r="BJ74" s="746" t="s">
        <v>1922</v>
      </c>
      <c r="BL74" s="746" t="s">
        <v>1923</v>
      </c>
      <c r="BN74" s="746" t="s">
        <v>1924</v>
      </c>
    </row>
    <row r="75" customHeight="1" spans="1:64">
      <c r="A75" s="81" t="s">
        <v>1925</v>
      </c>
      <c r="AZ75" s="687" t="s">
        <v>1926</v>
      </c>
      <c r="BH75" s="746" t="s">
        <v>1927</v>
      </c>
      <c r="BJ75" s="746" t="s">
        <v>1927</v>
      </c>
      <c r="BL75" s="746" t="s">
        <v>1927</v>
      </c>
    </row>
    <row r="76" customHeight="1" spans="1:64">
      <c r="A76" s="81" t="s">
        <v>1928</v>
      </c>
      <c r="AZ76" s="740" t="s">
        <v>1435</v>
      </c>
      <c r="BH76" s="746" t="s">
        <v>1929</v>
      </c>
      <c r="BJ76" s="746" t="s">
        <v>1930</v>
      </c>
      <c r="BL76" s="746" t="s">
        <v>1931</v>
      </c>
    </row>
    <row r="77" customHeight="1" spans="1:52">
      <c r="A77" s="81" t="s">
        <v>1932</v>
      </c>
      <c r="AZ77" s="740" t="s">
        <v>1463</v>
      </c>
    </row>
    <row r="78" customHeight="1" spans="1:52">
      <c r="A78" s="81" t="s">
        <v>1933</v>
      </c>
      <c r="AZ78" s="740" t="s">
        <v>1495</v>
      </c>
    </row>
    <row r="79" customHeight="1" spans="1:64">
      <c r="A79" s="81" t="s">
        <v>1934</v>
      </c>
      <c r="AZ79" s="740" t="s">
        <v>1527</v>
      </c>
      <c r="BH79" s="687" t="s">
        <v>1039</v>
      </c>
      <c r="BJ79" s="687" t="s">
        <v>1935</v>
      </c>
      <c r="BL79" s="687" t="s">
        <v>1936</v>
      </c>
    </row>
    <row r="80" customHeight="1" spans="1:64">
      <c r="A80" s="81" t="s">
        <v>1937</v>
      </c>
      <c r="AZ80" s="740" t="s">
        <v>1547</v>
      </c>
      <c r="BH80" s="746" t="s">
        <v>1938</v>
      </c>
      <c r="BJ80" s="746" t="s">
        <v>1939</v>
      </c>
      <c r="BL80" s="746" t="s">
        <v>1940</v>
      </c>
    </row>
    <row r="81" customHeight="1" spans="1:64">
      <c r="A81" s="81" t="s">
        <v>1941</v>
      </c>
      <c r="AZ81" s="740" t="s">
        <v>1564</v>
      </c>
      <c r="BH81" s="746" t="s">
        <v>1041</v>
      </c>
      <c r="BJ81" s="746" t="s">
        <v>1942</v>
      </c>
      <c r="BL81" s="746" t="s">
        <v>1943</v>
      </c>
    </row>
    <row r="82" customHeight="1" spans="1:64">
      <c r="A82" s="81" t="s">
        <v>1944</v>
      </c>
      <c r="AZ82" s="740" t="s">
        <v>1578</v>
      </c>
      <c r="BH82" s="746" t="s">
        <v>1945</v>
      </c>
      <c r="BJ82" s="746" t="s">
        <v>1946</v>
      </c>
      <c r="BL82" s="746" t="s">
        <v>1947</v>
      </c>
    </row>
    <row r="83" customHeight="1" spans="1:64">
      <c r="A83" s="81" t="s">
        <v>1948</v>
      </c>
      <c r="BH83" s="746" t="s">
        <v>1077</v>
      </c>
      <c r="BJ83" s="746" t="s">
        <v>1949</v>
      </c>
      <c r="BL83" s="746" t="s">
        <v>1950</v>
      </c>
    </row>
    <row r="84" customHeight="1" spans="1:52">
      <c r="A84" s="81" t="s">
        <v>1951</v>
      </c>
      <c r="AZ84" s="687" t="s">
        <v>1952</v>
      </c>
    </row>
    <row r="85" customHeight="1" spans="1:52">
      <c r="A85" s="693" t="s">
        <v>1953</v>
      </c>
      <c r="AZ85" s="740" t="s">
        <v>1954</v>
      </c>
    </row>
    <row r="86" customHeight="1" spans="1:64">
      <c r="A86" s="81" t="s">
        <v>1955</v>
      </c>
      <c r="AZ86" s="740" t="s">
        <v>1956</v>
      </c>
      <c r="BH86" s="687" t="s">
        <v>1104</v>
      </c>
      <c r="BJ86" s="687" t="s">
        <v>1957</v>
      </c>
      <c r="BL86" s="687" t="s">
        <v>1958</v>
      </c>
    </row>
    <row r="87" customHeight="1" spans="1:64">
      <c r="A87" s="81" t="s">
        <v>1959</v>
      </c>
      <c r="AZ87" s="740" t="s">
        <v>1960</v>
      </c>
      <c r="BH87" s="746" t="s">
        <v>1107</v>
      </c>
      <c r="BJ87" s="746" t="s">
        <v>1961</v>
      </c>
      <c r="BL87" s="746" t="s">
        <v>1962</v>
      </c>
    </row>
    <row r="88" customHeight="1" spans="1:64">
      <c r="A88" s="81" t="s">
        <v>1963</v>
      </c>
      <c r="AZ88"/>
      <c r="BH88" s="746" t="s">
        <v>1164</v>
      </c>
      <c r="BJ88" s="746" t="s">
        <v>1964</v>
      </c>
      <c r="BL88" s="746" t="s">
        <v>1965</v>
      </c>
    </row>
    <row r="89" customHeight="1" spans="1:52">
      <c r="A89" s="81" t="s">
        <v>1966</v>
      </c>
      <c r="AZ89" s="687" t="s">
        <v>1967</v>
      </c>
    </row>
    <row r="90" customHeight="1" spans="1:52">
      <c r="A90" s="81" t="s">
        <v>1968</v>
      </c>
      <c r="AZ90" s="740" t="s">
        <v>1221</v>
      </c>
    </row>
    <row r="91" customHeight="1" spans="1:64">
      <c r="A91" s="81" t="s">
        <v>1969</v>
      </c>
      <c r="AZ91" s="740" t="s">
        <v>1257</v>
      </c>
      <c r="BH91" s="687" t="s">
        <v>1970</v>
      </c>
      <c r="BJ91" s="687" t="s">
        <v>1971</v>
      </c>
      <c r="BL91" s="687" t="s">
        <v>1972</v>
      </c>
    </row>
    <row r="92" customHeight="1" spans="52:64">
      <c r="AZ92" s="740" t="s">
        <v>1973</v>
      </c>
      <c r="BH92" s="746" t="s">
        <v>1974</v>
      </c>
      <c r="BJ92" s="746" t="s">
        <v>1975</v>
      </c>
      <c r="BL92" s="746" t="s">
        <v>1976</v>
      </c>
    </row>
    <row r="93" customHeight="1" spans="52:64">
      <c r="AZ93" s="740" t="s">
        <v>1977</v>
      </c>
      <c r="BH93" s="746" t="s">
        <v>1978</v>
      </c>
      <c r="BJ93" s="746" t="s">
        <v>1979</v>
      </c>
      <c r="BL93" s="746" t="s">
        <v>1980</v>
      </c>
    </row>
    <row r="94" customHeight="1" spans="52:52">
      <c r="AZ94" s="740" t="s">
        <v>1981</v>
      </c>
    </row>
    <row r="96" customHeight="1" spans="52:66">
      <c r="AZ96" s="687" t="s">
        <v>1982</v>
      </c>
      <c r="BH96" s="687" t="s">
        <v>1983</v>
      </c>
      <c r="BJ96" s="687" t="s">
        <v>1984</v>
      </c>
      <c r="BL96" s="687" t="s">
        <v>1985</v>
      </c>
      <c r="BN96" s="687" t="s">
        <v>1986</v>
      </c>
    </row>
    <row r="97" customHeight="1" spans="52:66">
      <c r="AZ97" s="753" t="s">
        <v>1987</v>
      </c>
      <c r="BA97" s="120" t="s">
        <v>1988</v>
      </c>
      <c r="BH97" s="746" t="s">
        <v>1989</v>
      </c>
      <c r="BJ97" s="746" t="s">
        <v>1990</v>
      </c>
      <c r="BL97" s="746" t="s">
        <v>1991</v>
      </c>
      <c r="BN97" s="746" t="s">
        <v>1992</v>
      </c>
    </row>
    <row r="98" customHeight="1" spans="52:66">
      <c r="AZ98" s="753" t="s">
        <v>1993</v>
      </c>
      <c r="BA98" s="120" t="s">
        <v>1994</v>
      </c>
      <c r="BH98" s="746" t="s">
        <v>1995</v>
      </c>
      <c r="BJ98" s="746" t="s">
        <v>1996</v>
      </c>
      <c r="BL98" s="746" t="s">
        <v>1997</v>
      </c>
      <c r="BN98" s="746" t="s">
        <v>1998</v>
      </c>
    </row>
    <row r="99" ht="22.5" customHeight="1" spans="52:66">
      <c r="AZ99" s="753" t="s">
        <v>1999</v>
      </c>
      <c r="BA99" s="120" t="str">
        <f>"не позднее чем за "&amp;IF(TEMPLATE_SPHERE="TKO","3","10")&amp;" дней до дня проведения заседания правления"</f>
        <v>не позднее чем за 10 дней до дня проведения заседания правления</v>
      </c>
      <c r="BH99" s="746" t="s">
        <v>2000</v>
      </c>
      <c r="BJ99" s="746" t="s">
        <v>2001</v>
      </c>
      <c r="BL99" s="746" t="s">
        <v>2002</v>
      </c>
      <c r="BN99" s="746" t="s">
        <v>2003</v>
      </c>
    </row>
    <row r="100" ht="22.5" customHeight="1" spans="52:66">
      <c r="AZ100" s="753" t="s">
        <v>2004</v>
      </c>
      <c r="BA100" s="1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746" t="s">
        <v>1626</v>
      </c>
      <c r="BL100" s="746" t="s">
        <v>1626</v>
      </c>
      <c r="BN100" s="746" t="s">
        <v>2005</v>
      </c>
    </row>
    <row r="101" ht="22.5" customHeight="1" spans="52:66">
      <c r="AZ101" s="753" t="s">
        <v>2006</v>
      </c>
      <c r="BA101" s="120" t="s">
        <v>2007</v>
      </c>
      <c r="BN101" s="746" t="s">
        <v>2008</v>
      </c>
    </row>
    <row r="102" ht="22.5" customHeight="1" spans="52:66">
      <c r="AZ102" s="753" t="s">
        <v>2009</v>
      </c>
      <c r="BA102" s="1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746" t="s">
        <v>2010</v>
      </c>
    </row>
    <row r="103" customHeight="1" spans="52:66">
      <c r="AZ103" s="753" t="s">
        <v>2011</v>
      </c>
      <c r="BA103" s="120" t="s">
        <v>2012</v>
      </c>
      <c r="BN103" s="746" t="s">
        <v>2013</v>
      </c>
    </row>
    <row r="104" customHeight="1" spans="66:66">
      <c r="BN104" s="746" t="s">
        <v>2014</v>
      </c>
    </row>
    <row r="105" customHeight="1" spans="52:52">
      <c r="AZ105" s="687" t="s">
        <v>2015</v>
      </c>
    </row>
    <row r="106" customHeight="1" spans="52:52">
      <c r="AZ106" s="740" t="s">
        <v>2016</v>
      </c>
    </row>
    <row r="107" customHeight="1" spans="52:66">
      <c r="AZ107" s="740" t="s">
        <v>2017</v>
      </c>
      <c r="BH107" s="687" t="s">
        <v>2018</v>
      </c>
      <c r="BJ107" s="687" t="s">
        <v>2019</v>
      </c>
      <c r="BL107" s="687" t="s">
        <v>2020</v>
      </c>
      <c r="BN107" s="687" t="s">
        <v>2021</v>
      </c>
    </row>
    <row r="108" customHeight="1" spans="52:66">
      <c r="AZ108" s="740" t="s">
        <v>565</v>
      </c>
      <c r="BH108" s="746" t="s">
        <v>2022</v>
      </c>
      <c r="BJ108" s="746" t="s">
        <v>2023</v>
      </c>
      <c r="BL108" s="746" t="s">
        <v>1709</v>
      </c>
      <c r="BN108" s="746" t="s">
        <v>2024</v>
      </c>
    </row>
    <row r="109" customHeight="1" spans="60:60">
      <c r="BH109" s="746" t="s">
        <v>2025</v>
      </c>
    </row>
    <row r="110" customHeight="1" spans="52:60">
      <c r="AZ110" s="687" t="s">
        <v>2026</v>
      </c>
      <c r="BH110" s="746" t="s">
        <v>2025</v>
      </c>
    </row>
    <row r="111" customHeight="1" spans="52:53">
      <c r="AZ111" s="753" t="s">
        <v>1987</v>
      </c>
      <c r="BA111" s="120" t="s">
        <v>1988</v>
      </c>
    </row>
    <row r="112" customHeight="1" spans="52:53">
      <c r="AZ112" s="753" t="s">
        <v>1993</v>
      </c>
      <c r="BA112" s="120" t="s">
        <v>1994</v>
      </c>
    </row>
    <row r="113" ht="22.5" customHeight="1" spans="52:53">
      <c r="AZ113" s="753" t="s">
        <v>1999</v>
      </c>
      <c r="BA113" s="12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ht="22.5" customHeight="1" spans="52:60">
      <c r="AZ114" s="753" t="s">
        <v>2004</v>
      </c>
      <c r="BA114" s="1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87" t="s">
        <v>2027</v>
      </c>
    </row>
    <row r="115" ht="22.5" customHeight="1" spans="52:60">
      <c r="AZ115" s="753" t="s">
        <v>2009</v>
      </c>
      <c r="BA115" s="1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746" t="s">
        <v>1422</v>
      </c>
    </row>
    <row r="116" customHeight="1" spans="52:60">
      <c r="AZ116" s="753" t="s">
        <v>2011</v>
      </c>
      <c r="BA116" s="120" t="s">
        <v>2012</v>
      </c>
      <c r="BH116" s="746" t="s">
        <v>1449</v>
      </c>
    </row>
    <row r="117" customHeight="1" spans="60:60">
      <c r="BH117" s="746" t="s">
        <v>1484</v>
      </c>
    </row>
    <row r="118" customHeight="1" spans="60:60">
      <c r="BH118" s="746" t="s">
        <v>1518</v>
      </c>
    </row>
  </sheetData>
  <sheetProtection formatColumns="0" formatRows="0" insertRows="0" deleteColumns="0" deleteRows="0" sort="0" autoFilter="0"/>
  <pageMargins left="0.75" right="0.75" top="1" bottom="1" header="0.5" footer="0.5"/>
  <pageSetup paperSize="9"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
  <sheetViews>
    <sheetView showGridLines="0" zoomScale="90" zoomScaleNormal="90" workbookViewId="0">
      <pane xSplit="5" ySplit="11" topLeftCell="F12" activePane="bottomRight" state="frozen"/>
      <selection/>
      <selection pane="topRight"/>
      <selection pane="bottomLeft"/>
      <selection pane="bottomRight" activeCell="A1" sqref="A1"/>
    </sheetView>
  </sheetViews>
  <sheetFormatPr defaultColWidth="9.14285714285714" defaultRowHeight="11.25" customHeight="1"/>
  <cols>
    <col min="1" max="2" width="15" style="651" hidden="1" customWidth="1"/>
    <col min="3" max="3" width="3" style="207" customWidth="1"/>
    <col min="4" max="4" width="6" style="652" customWidth="1"/>
    <col min="5" max="5" width="52" style="207" customWidth="1"/>
    <col min="6" max="6" width="48" style="207" customWidth="1"/>
    <col min="7" max="7" width="93" style="207" customWidth="1"/>
    <col min="8" max="8" width="8" style="207" customWidth="1"/>
    <col min="9" max="9" width="64" style="207" customWidth="1"/>
    <col min="10" max="10" width="9.14285714285714" style="207" hidden="1"/>
  </cols>
  <sheetData>
    <row r="1" hidden="1" customHeight="1" spans="1:10">
      <c r="A1" s="651" t="s">
        <v>295</v>
      </c>
      <c r="J1" s="207" t="s">
        <v>14</v>
      </c>
    </row>
    <row r="2" ht="22.5" hidden="1" customHeight="1" spans="1:10">
      <c r="A2" s="247"/>
      <c r="B2" s="247"/>
      <c r="C2" s="653" t="s">
        <v>683</v>
      </c>
      <c r="D2" s="654"/>
      <c r="E2" s="213"/>
      <c r="F2" s="655"/>
      <c r="H2" s="245"/>
      <c r="J2" s="207">
        <v>0</v>
      </c>
    </row>
    <row r="3" hidden="1" customHeight="1" spans="10:10">
      <c r="J3" s="207">
        <v>0</v>
      </c>
    </row>
    <row r="4" ht="11.55" customHeight="1" spans="1:10">
      <c r="A4" s="656"/>
      <c r="B4" s="656"/>
      <c r="J4" s="207">
        <v>11</v>
      </c>
    </row>
    <row r="5" ht="27.3" customHeight="1" spans="4:10">
      <c r="D5" s="6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658"/>
      <c r="F5" s="659"/>
      <c r="I5" s="684"/>
      <c r="J5" s="207">
        <v>26</v>
      </c>
    </row>
    <row r="6" ht="18" customHeight="1" spans="4:10">
      <c r="D6" s="660" t="str">
        <f>IF(region_name=0,"Не определено",region_name)</f>
        <v>Ростовская область</v>
      </c>
      <c r="E6" s="660"/>
      <c r="F6" s="660"/>
      <c r="I6" s="684"/>
      <c r="J6" s="207">
        <v>17</v>
      </c>
    </row>
    <row r="7" s="649" customFormat="1" ht="11.55" customHeight="1" spans="1:10">
      <c r="A7" s="651"/>
      <c r="B7" s="651"/>
      <c r="D7" s="661"/>
      <c r="E7" s="661"/>
      <c r="F7" s="577"/>
      <c r="G7" s="661"/>
      <c r="J7" s="649">
        <v>11</v>
      </c>
    </row>
    <row r="8" hidden="1" customHeight="1" spans="1:10">
      <c r="A8" s="247"/>
      <c r="B8" s="247"/>
      <c r="C8" s="53"/>
      <c r="D8" s="662"/>
      <c r="E8" s="663"/>
      <c r="F8" s="663"/>
      <c r="J8" s="207">
        <v>0</v>
      </c>
    </row>
    <row r="9" ht="11.55" customHeight="1" spans="1:10">
      <c r="A9" s="247"/>
      <c r="B9" s="247"/>
      <c r="C9" s="53"/>
      <c r="D9" s="295" t="s">
        <v>296</v>
      </c>
      <c r="E9" s="664"/>
      <c r="F9" s="664"/>
      <c r="G9" s="665" t="s">
        <v>297</v>
      </c>
      <c r="J9" s="207">
        <v>11</v>
      </c>
    </row>
    <row r="10" ht="11.55" customHeight="1" spans="1:10">
      <c r="A10" s="247"/>
      <c r="B10" s="247"/>
      <c r="C10" s="53"/>
      <c r="D10" s="664" t="s">
        <v>89</v>
      </c>
      <c r="E10" s="665" t="s">
        <v>298</v>
      </c>
      <c r="F10" s="665" t="s">
        <v>299</v>
      </c>
      <c r="G10" s="66"/>
      <c r="J10" s="207">
        <v>11</v>
      </c>
    </row>
    <row r="11" ht="1.05" customHeight="1" spans="1:10">
      <c r="A11" s="247"/>
      <c r="B11" s="247"/>
      <c r="C11" s="53"/>
      <c r="D11" s="666"/>
      <c r="E11" s="666"/>
      <c r="F11" s="666"/>
      <c r="G11" s="666"/>
      <c r="J11" s="207">
        <v>1</v>
      </c>
    </row>
    <row r="12" ht="24" customHeight="1" spans="1:10">
      <c r="A12" s="247"/>
      <c r="B12" s="247"/>
      <c r="C12" s="53"/>
      <c r="D12" s="654">
        <v>1</v>
      </c>
      <c r="E12" s="25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587" t="str">
        <f>IF(org="","",org)</f>
        <v>АО "Теплокоммунэнерго"</v>
      </c>
      <c r="G12" s="25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667"/>
      <c r="J12" s="207">
        <v>23</v>
      </c>
    </row>
    <row r="13" ht="19.95" customHeight="1" spans="1:10">
      <c r="A13" s="247"/>
      <c r="B13" s="247"/>
      <c r="C13" s="53"/>
      <c r="D13" s="654">
        <v>2</v>
      </c>
      <c r="E13" s="65" t="s">
        <v>2028</v>
      </c>
      <c r="F13" s="64" t="s">
        <v>302</v>
      </c>
      <c r="G13" s="254"/>
      <c r="H13" s="667"/>
      <c r="J13" s="207">
        <v>19</v>
      </c>
    </row>
    <row r="14" ht="19.95" customHeight="1" spans="1:10">
      <c r="A14" s="247"/>
      <c r="B14" s="247"/>
      <c r="C14" s="53"/>
      <c r="D14" s="668" t="s">
        <v>703</v>
      </c>
      <c r="E14" s="669" t="s">
        <v>2029</v>
      </c>
      <c r="F14" s="213"/>
      <c r="G14" s="83" t="s">
        <v>2030</v>
      </c>
      <c r="H14" s="667"/>
      <c r="J14" s="207">
        <v>19</v>
      </c>
    </row>
    <row r="15" ht="19.95" customHeight="1" spans="1:10">
      <c r="A15" s="247"/>
      <c r="B15" s="247"/>
      <c r="C15" s="53"/>
      <c r="D15" s="668" t="s">
        <v>303</v>
      </c>
      <c r="E15" s="669" t="s">
        <v>2031</v>
      </c>
      <c r="F15" s="213"/>
      <c r="G15" s="83" t="s">
        <v>2032</v>
      </c>
      <c r="H15" s="667"/>
      <c r="J15" s="207">
        <v>19</v>
      </c>
    </row>
    <row r="16" ht="24" customHeight="1" spans="1:10">
      <c r="A16" s="247"/>
      <c r="B16" s="247"/>
      <c r="C16" s="53"/>
      <c r="D16" s="668" t="s">
        <v>306</v>
      </c>
      <c r="E16" s="89" t="s">
        <v>2033</v>
      </c>
      <c r="F16" s="215"/>
      <c r="G16" s="254" t="s">
        <v>2034</v>
      </c>
      <c r="H16" s="667"/>
      <c r="J16" s="207">
        <v>23</v>
      </c>
    </row>
    <row r="17" ht="48.3" customHeight="1" spans="1:10">
      <c r="A17" s="247"/>
      <c r="B17" s="247"/>
      <c r="C17" s="53"/>
      <c r="D17" s="654">
        <v>3</v>
      </c>
      <c r="E17" s="65" t="s">
        <v>2035</v>
      </c>
      <c r="F17" s="213"/>
      <c r="G17" s="254" t="s">
        <v>2036</v>
      </c>
      <c r="H17" s="667"/>
      <c r="J17" s="207">
        <v>46</v>
      </c>
    </row>
    <row r="18" ht="48.3" customHeight="1" spans="1:10">
      <c r="A18" s="670">
        <v>1</v>
      </c>
      <c r="B18" s="247"/>
      <c r="C18" s="248"/>
      <c r="D18" s="654" t="s">
        <v>92</v>
      </c>
      <c r="E18" s="65" t="s">
        <v>2037</v>
      </c>
      <c r="F18" s="213"/>
      <c r="G18" s="254" t="s">
        <v>2036</v>
      </c>
      <c r="H18" s="667"/>
      <c r="I18" s="281"/>
      <c r="J18" s="207">
        <v>46</v>
      </c>
    </row>
    <row r="19" ht="23.25" customHeight="1" spans="1:10">
      <c r="A19" s="247"/>
      <c r="B19" s="247"/>
      <c r="C19" s="53"/>
      <c r="D19" s="654" t="s">
        <v>109</v>
      </c>
      <c r="E19" s="65" t="s">
        <v>2038</v>
      </c>
      <c r="F19" s="64" t="s">
        <v>302</v>
      </c>
      <c r="G19" s="671" t="s">
        <v>2039</v>
      </c>
      <c r="H19" s="245"/>
      <c r="J19" s="207">
        <v>22</v>
      </c>
    </row>
    <row r="20" s="650" customFormat="1" ht="5.25" hidden="1" customHeight="1" spans="1:10">
      <c r="A20" s="247"/>
      <c r="B20" s="247"/>
      <c r="C20" s="672"/>
      <c r="D20" s="673" t="s">
        <v>1321</v>
      </c>
      <c r="E20" s="674"/>
      <c r="F20" s="675"/>
      <c r="G20" s="676"/>
      <c r="J20" s="650">
        <v>0</v>
      </c>
    </row>
    <row r="21" ht="15.75" customHeight="1" spans="1:10">
      <c r="A21" s="247"/>
      <c r="B21" s="247"/>
      <c r="C21" s="53"/>
      <c r="D21" s="677"/>
      <c r="E21" s="227" t="s">
        <v>335</v>
      </c>
      <c r="F21" s="678"/>
      <c r="G21" s="679"/>
      <c r="H21" s="667"/>
      <c r="J21" s="207">
        <v>15</v>
      </c>
    </row>
    <row r="22" s="651" customFormat="1" ht="26.25" customHeight="1" spans="1:10">
      <c r="A22" s="247"/>
      <c r="B22" s="247"/>
      <c r="C22" s="247"/>
      <c r="D22" s="654" t="s">
        <v>93</v>
      </c>
      <c r="E22" s="254" t="s">
        <v>2040</v>
      </c>
      <c r="F22" s="213"/>
      <c r="G22" s="254" t="s">
        <v>2041</v>
      </c>
      <c r="H22" s="680"/>
      <c r="J22" s="651">
        <v>25</v>
      </c>
    </row>
    <row r="23" s="651" customFormat="1" ht="19.95" customHeight="1" spans="1:10">
      <c r="A23" s="247"/>
      <c r="B23" s="247"/>
      <c r="C23" s="247"/>
      <c r="D23" s="654" t="s">
        <v>94</v>
      </c>
      <c r="E23" s="65" t="s">
        <v>2042</v>
      </c>
      <c r="F23" s="215"/>
      <c r="G23" s="254" t="s">
        <v>2043</v>
      </c>
      <c r="H23" s="680"/>
      <c r="J23" s="651">
        <v>19</v>
      </c>
    </row>
    <row r="24" s="651" customFormat="1" ht="144" hidden="1" customHeight="1" spans="1:10">
      <c r="A24" s="247"/>
      <c r="B24" s="247"/>
      <c r="C24" s="247"/>
      <c r="D24" s="654" t="s">
        <v>110</v>
      </c>
      <c r="E24" s="68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682"/>
      <c r="G24" s="68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680"/>
      <c r="J24" s="651">
        <v>0</v>
      </c>
    </row>
    <row r="25" hidden="1" customHeight="1" spans="1:10">
      <c r="A25" s="651" t="s">
        <v>83</v>
      </c>
      <c r="B25" s="651">
        <v>0</v>
      </c>
      <c r="C25" s="207">
        <v>3</v>
      </c>
      <c r="D25" s="652">
        <v>6</v>
      </c>
      <c r="E25" s="207">
        <v>52</v>
      </c>
      <c r="F25" s="207">
        <v>48</v>
      </c>
      <c r="G25" s="207">
        <v>93</v>
      </c>
      <c r="H25" s="207">
        <v>8</v>
      </c>
      <c r="I25" s="207">
        <v>64</v>
      </c>
      <c r="J25" s="207">
        <v>11</v>
      </c>
    </row>
  </sheetData>
  <sheetProtection formatColumns="0" formatRows="0" insertRows="0" deleteColumns="0" deleteRows="0" sort="0" autoFilter="0"/>
  <mergeCells count="6">
    <mergeCell ref="D5:F5"/>
    <mergeCell ref="D6:F6"/>
    <mergeCell ref="E8:F8"/>
    <mergeCell ref="D9:F9"/>
    <mergeCell ref="G9:G10"/>
    <mergeCell ref="G19:G21"/>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paperSize="1"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24"/>
  <sheetViews>
    <sheetView showGridLines="0" zoomScale="90" zoomScaleNormal="90" workbookViewId="0">
      <pane xSplit="5" ySplit="8" topLeftCell="F9"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3" hidden="1"/>
    <col min="2" max="2" width="9.14285714285714" style="38" hidden="1"/>
    <col min="3" max="3" width="3.71428571428571" style="43" hidden="1" customWidth="1"/>
    <col min="4" max="4" width="3" style="217" customWidth="1"/>
    <col min="5" max="5" width="6" style="43" customWidth="1"/>
    <col min="6" max="6" width="46" style="43" customWidth="1"/>
    <col min="7" max="8" width="16" style="43" customWidth="1"/>
    <col min="9" max="9" width="35" style="43" customWidth="1"/>
    <col min="10" max="10" width="89" style="43" customWidth="1"/>
    <col min="11" max="11" width="3" style="151" customWidth="1"/>
    <col min="12" max="14" width="8" style="151" customWidth="1"/>
    <col min="15" max="15" width="25" style="151" customWidth="1"/>
    <col min="16" max="16" width="14" style="151" customWidth="1"/>
    <col min="17" max="20" width="8" style="267" customWidth="1"/>
    <col min="21" max="254" width="8" style="43" customWidth="1"/>
    <col min="255" max="255" width="9.14285714285714" style="43" hidden="1"/>
  </cols>
  <sheetData>
    <row r="1" ht="22.5" hidden="1" customHeight="1" spans="6:255">
      <c r="F1" s="43" t="s">
        <v>2044</v>
      </c>
      <c r="G1" s="43" t="s">
        <v>48</v>
      </c>
      <c r="H1" s="43" t="s">
        <v>50</v>
      </c>
      <c r="IU1" s="43" t="s">
        <v>14</v>
      </c>
    </row>
    <row r="2" customFormat="1" ht="22.5" hidden="1" customHeight="1" spans="1:255">
      <c r="A2" s="589"/>
      <c r="B2" s="38">
        <v>1</v>
      </c>
      <c r="C2" s="38"/>
      <c r="D2" s="586" t="s">
        <v>683</v>
      </c>
      <c r="E2" s="64"/>
      <c r="F2" s="375"/>
      <c r="G2" s="375"/>
      <c r="H2" s="375"/>
      <c r="I2" s="646"/>
      <c r="J2" s="647"/>
      <c r="K2" s="605"/>
      <c r="L2" s="44"/>
      <c r="M2" s="44"/>
      <c r="N2" s="151" t="str">
        <f t="array" ref="N2">IF(ISERROR(MATCH(MID(O2,1,250),MID(note_ter,1,250),0)),"n","y")</f>
        <v>n</v>
      </c>
      <c r="O2" s="44"/>
      <c r="P2" s="151" t="str">
        <f>G2&amp;"("&amp;J2&amp;")"</f>
        <v>()</v>
      </c>
      <c r="Q2" s="38"/>
      <c r="R2" s="38"/>
      <c r="S2" s="288"/>
      <c r="T2" s="38"/>
      <c r="U2" s="38"/>
      <c r="V2" s="38"/>
      <c r="W2" s="264"/>
      <c r="X2" s="264"/>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264"/>
      <c r="BU2" s="264"/>
      <c r="BV2" s="264"/>
      <c r="BW2" s="264"/>
      <c r="BX2" s="264"/>
      <c r="BY2" s="264"/>
      <c r="BZ2" s="264"/>
      <c r="CA2" s="264"/>
      <c r="CB2" s="264"/>
      <c r="CC2" s="264"/>
      <c r="IU2">
        <v>0</v>
      </c>
    </row>
    <row r="3" s="44" customFormat="1" ht="4.2" customHeight="1" spans="1:255">
      <c r="A3" s="37"/>
      <c r="D3" s="93"/>
      <c r="F3" s="590" t="s">
        <v>84</v>
      </c>
      <c r="G3" s="93" t="s">
        <v>85</v>
      </c>
      <c r="H3" s="93"/>
      <c r="I3" s="93"/>
      <c r="J3" s="630" t="s">
        <v>86</v>
      </c>
      <c r="K3" s="590" t="s">
        <v>84</v>
      </c>
      <c r="L3" s="590"/>
      <c r="M3" s="590"/>
      <c r="N3" s="590"/>
      <c r="O3" s="590"/>
      <c r="P3" s="590"/>
      <c r="Q3" s="590"/>
      <c r="R3" s="590"/>
      <c r="S3" s="590"/>
      <c r="T3" s="590"/>
      <c r="U3" s="630"/>
      <c r="V3" s="630"/>
      <c r="W3" s="630"/>
      <c r="X3" s="630"/>
      <c r="Y3" s="630"/>
      <c r="Z3" s="630"/>
      <c r="AA3" s="630"/>
      <c r="AB3" s="630"/>
      <c r="AC3" s="630"/>
      <c r="AD3" s="630"/>
      <c r="AE3" s="630"/>
      <c r="AF3" s="630"/>
      <c r="AG3" s="630"/>
      <c r="AH3" s="630"/>
      <c r="AI3" s="630"/>
      <c r="AJ3" s="630"/>
      <c r="AK3" s="630"/>
      <c r="AL3" s="630"/>
      <c r="AM3" s="630"/>
      <c r="AN3" s="630"/>
      <c r="AO3" s="630"/>
      <c r="AP3" s="630"/>
      <c r="AQ3" s="630"/>
      <c r="AR3" s="630"/>
      <c r="AS3" s="630"/>
      <c r="AT3" s="630"/>
      <c r="AU3" s="630"/>
      <c r="AV3" s="630"/>
      <c r="AW3" s="630"/>
      <c r="AX3" s="630"/>
      <c r="AY3" s="630"/>
      <c r="AZ3" s="630"/>
      <c r="BA3" s="630"/>
      <c r="BB3" s="630"/>
      <c r="BC3" s="630"/>
      <c r="BD3" s="630"/>
      <c r="BE3" s="630"/>
      <c r="BF3" s="630"/>
      <c r="BG3" s="630"/>
      <c r="BH3" s="630"/>
      <c r="BI3" s="630"/>
      <c r="BJ3" s="630"/>
      <c r="BK3" s="630"/>
      <c r="BL3" s="630"/>
      <c r="BM3" s="630"/>
      <c r="BN3" s="630"/>
      <c r="BO3" s="630"/>
      <c r="BP3" s="630"/>
      <c r="BQ3" s="630"/>
      <c r="BR3" s="630"/>
      <c r="BS3" s="630"/>
      <c r="BT3" s="630"/>
      <c r="BU3" s="630"/>
      <c r="BV3" s="630"/>
      <c r="BW3" s="630"/>
      <c r="BX3" s="630"/>
      <c r="BY3" s="630"/>
      <c r="BZ3" s="630"/>
      <c r="CA3" s="630"/>
      <c r="CB3" s="630"/>
      <c r="CC3" s="630"/>
      <c r="CD3" s="630"/>
      <c r="CE3" s="630"/>
      <c r="CF3" s="630"/>
      <c r="CG3" s="630"/>
      <c r="CH3" s="630"/>
      <c r="CI3" s="630"/>
      <c r="CJ3" s="630"/>
      <c r="CK3" s="630"/>
      <c r="CL3" s="630"/>
      <c r="CM3" s="630"/>
      <c r="CN3" s="630"/>
      <c r="CO3" s="630"/>
      <c r="CP3" s="630"/>
      <c r="CQ3" s="630"/>
      <c r="CR3" s="630"/>
      <c r="CS3" s="630"/>
      <c r="CT3" s="630"/>
      <c r="CU3" s="630"/>
      <c r="CV3" s="630"/>
      <c r="CW3" s="630"/>
      <c r="CX3" s="630"/>
      <c r="CY3" s="630"/>
      <c r="CZ3" s="630"/>
      <c r="DA3" s="630"/>
      <c r="DB3" s="630"/>
      <c r="DC3" s="630"/>
      <c r="DD3" s="630"/>
      <c r="DE3" s="630"/>
      <c r="DF3" s="630"/>
      <c r="DG3" s="630"/>
      <c r="DH3" s="630"/>
      <c r="DI3" s="630"/>
      <c r="DJ3" s="630"/>
      <c r="DK3" s="630"/>
      <c r="DL3" s="630"/>
      <c r="DM3" s="630"/>
      <c r="DN3" s="630"/>
      <c r="DO3" s="630"/>
      <c r="DP3" s="630"/>
      <c r="DQ3" s="630"/>
      <c r="DR3" s="630"/>
      <c r="DS3" s="630"/>
      <c r="DT3" s="630"/>
      <c r="DU3" s="630"/>
      <c r="DV3" s="630"/>
      <c r="DW3" s="630"/>
      <c r="DX3" s="630"/>
      <c r="DY3" s="630"/>
      <c r="DZ3" s="630"/>
      <c r="EA3" s="630"/>
      <c r="EB3" s="630"/>
      <c r="EC3" s="630"/>
      <c r="ED3" s="630"/>
      <c r="EE3" s="630"/>
      <c r="EF3" s="630"/>
      <c r="EG3" s="630"/>
      <c r="EH3" s="630"/>
      <c r="EI3" s="630"/>
      <c r="EJ3" s="630"/>
      <c r="EK3" s="630"/>
      <c r="EL3" s="630"/>
      <c r="EM3" s="630"/>
      <c r="EN3" s="630"/>
      <c r="EO3" s="630"/>
      <c r="EP3" s="630"/>
      <c r="EQ3" s="630"/>
      <c r="ER3" s="630"/>
      <c r="ES3" s="630"/>
      <c r="ET3" s="630"/>
      <c r="EU3" s="630"/>
      <c r="EV3" s="630"/>
      <c r="EW3" s="630"/>
      <c r="EX3" s="630"/>
      <c r="EY3" s="630"/>
      <c r="EZ3" s="630"/>
      <c r="FA3" s="630"/>
      <c r="FB3" s="630"/>
      <c r="FC3" s="630"/>
      <c r="FD3" s="630"/>
      <c r="FE3" s="630"/>
      <c r="FF3" s="630"/>
      <c r="FG3" s="630"/>
      <c r="FH3" s="630"/>
      <c r="FI3" s="630"/>
      <c r="FJ3" s="630"/>
      <c r="FK3" s="630"/>
      <c r="FL3" s="630"/>
      <c r="FM3" s="630"/>
      <c r="FN3" s="630"/>
      <c r="FO3" s="630"/>
      <c r="FP3" s="630"/>
      <c r="FQ3" s="630"/>
      <c r="FR3" s="630"/>
      <c r="FS3" s="630"/>
      <c r="FT3" s="630"/>
      <c r="FU3" s="630"/>
      <c r="FV3" s="630"/>
      <c r="FW3" s="630"/>
      <c r="FX3" s="630"/>
      <c r="FY3" s="630"/>
      <c r="FZ3" s="630"/>
      <c r="GA3" s="630"/>
      <c r="GB3" s="630"/>
      <c r="GC3" s="630"/>
      <c r="GD3" s="630"/>
      <c r="GE3" s="630"/>
      <c r="GF3" s="630"/>
      <c r="GG3" s="630"/>
      <c r="GH3" s="630"/>
      <c r="GI3" s="630"/>
      <c r="GJ3" s="630"/>
      <c r="GK3" s="630"/>
      <c r="GL3" s="630"/>
      <c r="GM3" s="630"/>
      <c r="GN3" s="630"/>
      <c r="GO3" s="630"/>
      <c r="GP3" s="630"/>
      <c r="GQ3" s="630"/>
      <c r="GR3" s="630"/>
      <c r="GS3" s="630"/>
      <c r="GT3" s="630"/>
      <c r="GU3" s="630"/>
      <c r="GV3" s="630"/>
      <c r="GW3" s="630"/>
      <c r="GX3" s="630"/>
      <c r="GY3" s="630"/>
      <c r="GZ3" s="630"/>
      <c r="HA3" s="630"/>
      <c r="HB3" s="630"/>
      <c r="HC3" s="630"/>
      <c r="HD3" s="630"/>
      <c r="HE3" s="630"/>
      <c r="HF3" s="630"/>
      <c r="HG3" s="630"/>
      <c r="HH3" s="630"/>
      <c r="HI3" s="630"/>
      <c r="HJ3" s="630"/>
      <c r="HK3" s="630"/>
      <c r="HL3" s="630"/>
      <c r="HM3" s="630"/>
      <c r="HN3" s="630"/>
      <c r="HO3" s="630"/>
      <c r="HP3" s="630"/>
      <c r="HQ3" s="630"/>
      <c r="HR3" s="630"/>
      <c r="HS3" s="630"/>
      <c r="HT3" s="630"/>
      <c r="HU3" s="630"/>
      <c r="HV3" s="630"/>
      <c r="HW3" s="630"/>
      <c r="HX3" s="630"/>
      <c r="HY3" s="630"/>
      <c r="HZ3" s="630"/>
      <c r="IA3" s="630"/>
      <c r="IB3" s="630"/>
      <c r="IC3" s="630"/>
      <c r="ID3" s="630"/>
      <c r="IE3" s="630"/>
      <c r="IF3" s="630"/>
      <c r="IG3" s="630"/>
      <c r="IH3" s="630"/>
      <c r="II3" s="630"/>
      <c r="IJ3" s="630"/>
      <c r="IK3" s="630"/>
      <c r="IL3" s="630"/>
      <c r="IM3" s="630"/>
      <c r="IN3" s="630"/>
      <c r="IO3" s="630"/>
      <c r="IP3" s="630"/>
      <c r="IQ3" s="630"/>
      <c r="IR3" s="630"/>
      <c r="IS3" s="630"/>
      <c r="IT3" s="630"/>
      <c r="IU3" s="44">
        <v>4</v>
      </c>
    </row>
    <row r="4" s="206" customFormat="1" ht="14.7" customHeight="1" spans="1:255">
      <c r="A4" s="43"/>
      <c r="B4" s="38"/>
      <c r="C4" s="43"/>
      <c r="D4" s="217"/>
      <c r="E4" s="43"/>
      <c r="F4" s="44"/>
      <c r="G4" s="43"/>
      <c r="H4" s="43"/>
      <c r="I4" s="43"/>
      <c r="J4" s="61"/>
      <c r="K4" s="590"/>
      <c r="L4" s="151"/>
      <c r="M4" s="151"/>
      <c r="N4" s="151"/>
      <c r="O4" s="151"/>
      <c r="P4" s="151"/>
      <c r="Q4" s="267"/>
      <c r="R4" s="267"/>
      <c r="S4" s="267"/>
      <c r="T4" s="267"/>
      <c r="IU4" s="206">
        <v>14</v>
      </c>
    </row>
    <row r="5" s="206" customFormat="1" ht="27.3" customHeight="1" spans="1:255">
      <c r="A5" s="43"/>
      <c r="B5" s="38"/>
      <c r="C5" s="43"/>
      <c r="D5" s="217"/>
      <c r="E5" s="56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565"/>
      <c r="G5" s="565"/>
      <c r="H5" s="565"/>
      <c r="I5" s="565"/>
      <c r="J5" s="565"/>
      <c r="K5" s="590"/>
      <c r="L5" s="151"/>
      <c r="M5" s="151"/>
      <c r="N5" s="151"/>
      <c r="O5" s="151"/>
      <c r="P5" s="151"/>
      <c r="Q5" s="267"/>
      <c r="R5" s="267"/>
      <c r="S5" s="267"/>
      <c r="T5" s="267"/>
      <c r="IU5" s="206">
        <v>26</v>
      </c>
    </row>
    <row r="6" s="206" customFormat="1" ht="14.7" customHeight="1" spans="1:255">
      <c r="A6" s="43"/>
      <c r="B6" s="38"/>
      <c r="C6" s="43"/>
      <c r="D6" s="217"/>
      <c r="E6" s="43"/>
      <c r="F6" s="594"/>
      <c r="G6" s="594"/>
      <c r="H6" s="594"/>
      <c r="I6" s="594"/>
      <c r="J6" s="589"/>
      <c r="K6" s="151"/>
      <c r="L6" s="151"/>
      <c r="M6" s="151"/>
      <c r="N6" s="151"/>
      <c r="O6" s="151"/>
      <c r="P6" s="151"/>
      <c r="Q6" s="267"/>
      <c r="R6" s="267"/>
      <c r="S6" s="267"/>
      <c r="T6" s="267"/>
      <c r="IU6" s="206">
        <v>14</v>
      </c>
    </row>
    <row r="7" s="206" customFormat="1" ht="14.7" customHeight="1" spans="1:255">
      <c r="A7" s="43"/>
      <c r="B7" s="38"/>
      <c r="C7" s="43"/>
      <c r="D7" s="217"/>
      <c r="E7" s="126" t="s">
        <v>296</v>
      </c>
      <c r="F7" s="128"/>
      <c r="G7" s="128"/>
      <c r="H7" s="128"/>
      <c r="I7" s="128"/>
      <c r="J7" s="631" t="s">
        <v>297</v>
      </c>
      <c r="K7" s="151"/>
      <c r="L7" s="151"/>
      <c r="M7" s="151"/>
      <c r="N7" s="151"/>
      <c r="O7" s="151"/>
      <c r="P7" s="151"/>
      <c r="Q7" s="267"/>
      <c r="R7" s="267"/>
      <c r="S7" s="267"/>
      <c r="T7" s="267"/>
      <c r="IU7" s="206">
        <v>14</v>
      </c>
    </row>
    <row r="8" s="206" customFormat="1" ht="21" customHeight="1" spans="1:255">
      <c r="A8" s="43"/>
      <c r="B8" s="38"/>
      <c r="C8" s="43"/>
      <c r="D8" s="217"/>
      <c r="E8" s="642" t="s">
        <v>89</v>
      </c>
      <c r="F8" s="597" t="s">
        <v>2044</v>
      </c>
      <c r="G8" s="597" t="s">
        <v>48</v>
      </c>
      <c r="H8" s="597" t="s">
        <v>50</v>
      </c>
      <c r="I8" s="597" t="s">
        <v>2045</v>
      </c>
      <c r="J8" s="634"/>
      <c r="K8" s="151"/>
      <c r="L8" s="151"/>
      <c r="M8" s="151"/>
      <c r="N8" s="151"/>
      <c r="O8" s="151"/>
      <c r="P8" s="151"/>
      <c r="Q8" s="267"/>
      <c r="R8" s="267"/>
      <c r="S8" s="267"/>
      <c r="T8" s="267"/>
      <c r="IU8" s="206">
        <v>20</v>
      </c>
    </row>
    <row r="9" customFormat="1" ht="23.25" customHeight="1" spans="1:255">
      <c r="A9" s="43"/>
      <c r="B9" s="38">
        <v>1</v>
      </c>
      <c r="C9" s="38"/>
      <c r="D9" s="216"/>
      <c r="E9" s="64">
        <v>1</v>
      </c>
      <c r="F9" s="588"/>
      <c r="G9" s="375"/>
      <c r="H9" s="375"/>
      <c r="I9" s="627"/>
      <c r="J9" s="58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605"/>
      <c r="L9" s="44"/>
      <c r="M9" s="44"/>
      <c r="N9" s="151" t="str">
        <f t="array" ref="N9">IF(ISERROR(MATCH(MID(O9,1,250),MID(note_ter,1,250),0)),"n","y")</f>
        <v>n</v>
      </c>
      <c r="O9" s="44"/>
      <c r="P9" s="151"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38"/>
      <c r="R9" s="38"/>
      <c r="S9" s="288"/>
      <c r="T9" s="38"/>
      <c r="U9" s="38"/>
      <c r="V9" s="38"/>
      <c r="W9" s="264"/>
      <c r="X9" s="264"/>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264"/>
      <c r="BU9" s="264"/>
      <c r="BV9" s="264"/>
      <c r="BW9" s="264"/>
      <c r="BX9" s="264"/>
      <c r="BY9" s="264"/>
      <c r="BZ9" s="264"/>
      <c r="CA9" s="264"/>
      <c r="CB9" s="264"/>
      <c r="CC9" s="264"/>
      <c r="IU9">
        <v>22</v>
      </c>
    </row>
    <row r="10" customFormat="1" ht="15.75" customHeight="1" spans="1:255">
      <c r="A10" s="43"/>
      <c r="B10" s="38"/>
      <c r="C10" s="224"/>
      <c r="D10" s="216"/>
      <c r="E10" s="643"/>
      <c r="F10" s="601" t="s">
        <v>2046</v>
      </c>
      <c r="G10" s="602"/>
      <c r="H10" s="602"/>
      <c r="I10" s="648"/>
      <c r="J10" s="584"/>
      <c r="K10" s="619"/>
      <c r="L10" s="44"/>
      <c r="M10" s="44"/>
      <c r="N10" s="44"/>
      <c r="O10" s="151"/>
      <c r="P10" s="44"/>
      <c r="Q10" s="38"/>
      <c r="R10" s="38"/>
      <c r="S10" s="288"/>
      <c r="T10" s="38"/>
      <c r="U10" s="38"/>
      <c r="V10" s="38"/>
      <c r="W10" s="264"/>
      <c r="X10" s="264"/>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264"/>
      <c r="BU10" s="264"/>
      <c r="BV10" s="264"/>
      <c r="BW10" s="264"/>
      <c r="BX10" s="264"/>
      <c r="BY10" s="264"/>
      <c r="BZ10" s="264"/>
      <c r="CA10" s="264"/>
      <c r="CB10" s="264"/>
      <c r="CC10" s="264"/>
      <c r="IU10">
        <v>15</v>
      </c>
    </row>
    <row r="11" s="206" customFormat="1" ht="22.05" customHeight="1" spans="1:255">
      <c r="A11" s="43"/>
      <c r="B11" s="38"/>
      <c r="C11" s="43"/>
      <c r="D11" s="217"/>
      <c r="E11" s="603"/>
      <c r="F11" s="603"/>
      <c r="G11" s="603"/>
      <c r="H11" s="603"/>
      <c r="I11" s="603"/>
      <c r="J11" s="603"/>
      <c r="K11" s="151"/>
      <c r="L11" s="151"/>
      <c r="M11" s="151"/>
      <c r="N11" s="151"/>
      <c r="O11" s="151"/>
      <c r="P11" s="151"/>
      <c r="Q11" s="267"/>
      <c r="R11" s="267"/>
      <c r="S11" s="267"/>
      <c r="T11" s="267"/>
      <c r="IU11" s="206">
        <v>21</v>
      </c>
    </row>
    <row r="12" s="206" customFormat="1" ht="14.7" customHeight="1" spans="1:255">
      <c r="A12" s="43"/>
      <c r="B12" s="38"/>
      <c r="C12" s="43"/>
      <c r="D12" s="217"/>
      <c r="E12" s="43"/>
      <c r="F12" s="43"/>
      <c r="G12" s="43"/>
      <c r="H12" s="43"/>
      <c r="I12" s="43"/>
      <c r="J12" s="43"/>
      <c r="K12" s="151"/>
      <c r="L12" s="151"/>
      <c r="M12" s="151"/>
      <c r="N12" s="151"/>
      <c r="O12" s="151"/>
      <c r="P12" s="151"/>
      <c r="Q12" s="267"/>
      <c r="R12" s="267"/>
      <c r="S12" s="267"/>
      <c r="T12" s="267"/>
      <c r="IU12" s="206">
        <v>14</v>
      </c>
    </row>
    <row r="13" s="206" customFormat="1" ht="1.05" customHeight="1" spans="1:255">
      <c r="A13" s="43"/>
      <c r="B13" s="38"/>
      <c r="C13" s="43"/>
      <c r="D13" s="217"/>
      <c r="E13" s="43"/>
      <c r="F13" s="43"/>
      <c r="G13" s="43"/>
      <c r="H13" s="43"/>
      <c r="I13" s="43"/>
      <c r="J13" s="43"/>
      <c r="K13" s="151"/>
      <c r="L13" s="151"/>
      <c r="M13" s="151"/>
      <c r="N13" s="151"/>
      <c r="O13" s="151"/>
      <c r="P13" s="151"/>
      <c r="Q13" s="267"/>
      <c r="R13" s="267"/>
      <c r="S13" s="267"/>
      <c r="T13" s="267"/>
      <c r="IU13" s="206">
        <v>1</v>
      </c>
    </row>
    <row r="14" s="641" customFormat="1" ht="10.5" customHeight="1" spans="2:255">
      <c r="B14" s="644"/>
      <c r="D14" s="645"/>
      <c r="K14" s="151"/>
      <c r="L14" s="151"/>
      <c r="M14" s="151"/>
      <c r="N14" s="151"/>
      <c r="O14" s="151"/>
      <c r="P14" s="151"/>
      <c r="Q14" s="267"/>
      <c r="R14" s="267"/>
      <c r="S14" s="267"/>
      <c r="T14" s="267"/>
      <c r="IU14" s="641">
        <v>10</v>
      </c>
    </row>
    <row r="15" s="641" customFormat="1" ht="10.5" customHeight="1" spans="2:255">
      <c r="B15" s="644"/>
      <c r="D15" s="645"/>
      <c r="K15" s="151"/>
      <c r="L15" s="151"/>
      <c r="M15" s="151"/>
      <c r="N15" s="151"/>
      <c r="O15" s="151"/>
      <c r="P15" s="151"/>
      <c r="Q15" s="267"/>
      <c r="R15" s="267"/>
      <c r="S15" s="267"/>
      <c r="T15" s="267"/>
      <c r="IU15" s="641">
        <v>10</v>
      </c>
    </row>
    <row r="16" ht="14.7" customHeight="1" spans="255:255">
      <c r="IU16" s="43">
        <v>14</v>
      </c>
    </row>
    <row r="17" ht="14.7" customHeight="1" spans="255:255">
      <c r="IU17" s="43">
        <v>14</v>
      </c>
    </row>
    <row r="18" ht="14.7" customHeight="1" spans="255:255">
      <c r="IU18" s="43">
        <v>14</v>
      </c>
    </row>
    <row r="19" ht="14.7" customHeight="1" spans="7:255">
      <c r="G19"/>
      <c r="H19"/>
      <c r="I19"/>
      <c r="IU19" s="43">
        <v>14</v>
      </c>
    </row>
    <row r="20" ht="14.7" customHeight="1" spans="255:255">
      <c r="IU20" s="43">
        <v>14</v>
      </c>
    </row>
    <row r="21" ht="14.7" customHeight="1" spans="255:255">
      <c r="IU21" s="43">
        <v>14</v>
      </c>
    </row>
    <row r="22" ht="14.7" customHeight="1" spans="255:255">
      <c r="IU22" s="43">
        <v>14</v>
      </c>
    </row>
    <row r="23" ht="14.7" customHeight="1" spans="11:255">
      <c r="K23" s="43"/>
      <c r="L23" s="43"/>
      <c r="M23" s="43"/>
      <c r="IU23" s="43">
        <v>14</v>
      </c>
    </row>
    <row r="24" ht="22.5" hidden="1" customHeight="1" spans="1:255">
      <c r="A24" s="43" t="s">
        <v>83</v>
      </c>
      <c r="B24" s="38">
        <v>0</v>
      </c>
      <c r="C24" s="43">
        <v>0</v>
      </c>
      <c r="D24" s="217">
        <v>3</v>
      </c>
      <c r="E24" s="43">
        <v>6</v>
      </c>
      <c r="F24" s="43">
        <v>46</v>
      </c>
      <c r="G24" s="43">
        <v>16</v>
      </c>
      <c r="H24" s="43">
        <v>16</v>
      </c>
      <c r="I24" s="43">
        <v>35</v>
      </c>
      <c r="J24" s="43">
        <v>89</v>
      </c>
      <c r="K24" s="151">
        <v>3</v>
      </c>
      <c r="L24" s="151">
        <v>8</v>
      </c>
      <c r="M24" s="151">
        <v>8</v>
      </c>
      <c r="N24" s="151">
        <v>8</v>
      </c>
      <c r="O24" s="151">
        <v>25</v>
      </c>
      <c r="P24" s="151">
        <v>14</v>
      </c>
      <c r="Q24" s="267">
        <v>8</v>
      </c>
      <c r="R24" s="267">
        <v>8</v>
      </c>
      <c r="S24" s="267">
        <v>8</v>
      </c>
      <c r="T24" s="267">
        <v>8</v>
      </c>
      <c r="U24" s="43">
        <v>8</v>
      </c>
      <c r="V24" s="43">
        <v>8</v>
      </c>
      <c r="W24" s="43">
        <v>8</v>
      </c>
      <c r="X24" s="43">
        <v>8</v>
      </c>
      <c r="Y24" s="43">
        <v>8</v>
      </c>
      <c r="Z24" s="43">
        <v>8</v>
      </c>
      <c r="AA24" s="43">
        <v>8</v>
      </c>
      <c r="AB24" s="43">
        <v>8</v>
      </c>
      <c r="AC24" s="43">
        <v>8</v>
      </c>
      <c r="AD24" s="43">
        <v>8</v>
      </c>
      <c r="AE24" s="43">
        <v>8</v>
      </c>
      <c r="AF24" s="43">
        <v>8</v>
      </c>
      <c r="AG24" s="43">
        <v>8</v>
      </c>
      <c r="AH24" s="43">
        <v>8</v>
      </c>
      <c r="AI24" s="43">
        <v>8</v>
      </c>
      <c r="AJ24" s="43">
        <v>8</v>
      </c>
      <c r="AK24" s="43">
        <v>8</v>
      </c>
      <c r="AL24" s="43">
        <v>8</v>
      </c>
      <c r="AM24" s="43">
        <v>8</v>
      </c>
      <c r="AN24" s="43">
        <v>8</v>
      </c>
      <c r="AO24" s="43">
        <v>8</v>
      </c>
      <c r="AP24" s="43">
        <v>8</v>
      </c>
      <c r="AQ24" s="43">
        <v>8</v>
      </c>
      <c r="AR24" s="43">
        <v>8</v>
      </c>
      <c r="AS24" s="43">
        <v>8</v>
      </c>
      <c r="AT24" s="43">
        <v>8</v>
      </c>
      <c r="AU24" s="43">
        <v>8</v>
      </c>
      <c r="AV24" s="43">
        <v>8</v>
      </c>
      <c r="AW24" s="43">
        <v>8</v>
      </c>
      <c r="AX24" s="43">
        <v>8</v>
      </c>
      <c r="AY24" s="43">
        <v>8</v>
      </c>
      <c r="AZ24" s="43">
        <v>8</v>
      </c>
      <c r="BA24" s="43">
        <v>8</v>
      </c>
      <c r="BB24" s="43">
        <v>8</v>
      </c>
      <c r="BC24" s="43">
        <v>8</v>
      </c>
      <c r="BD24" s="43">
        <v>8</v>
      </c>
      <c r="BE24" s="43">
        <v>8</v>
      </c>
      <c r="BF24" s="43">
        <v>8</v>
      </c>
      <c r="BG24" s="43">
        <v>8</v>
      </c>
      <c r="BH24" s="43">
        <v>8</v>
      </c>
      <c r="BI24" s="43">
        <v>8</v>
      </c>
      <c r="BJ24" s="43">
        <v>8</v>
      </c>
      <c r="BK24" s="43">
        <v>8</v>
      </c>
      <c r="BL24" s="43">
        <v>8</v>
      </c>
      <c r="BM24" s="43">
        <v>8</v>
      </c>
      <c r="BN24" s="43">
        <v>8</v>
      </c>
      <c r="BO24" s="43">
        <v>8</v>
      </c>
      <c r="BP24" s="43">
        <v>8</v>
      </c>
      <c r="BQ24" s="43">
        <v>8</v>
      </c>
      <c r="BR24" s="43">
        <v>8</v>
      </c>
      <c r="BS24" s="43">
        <v>8</v>
      </c>
      <c r="BT24" s="43">
        <v>8</v>
      </c>
      <c r="BU24" s="43">
        <v>8</v>
      </c>
      <c r="BV24" s="43">
        <v>8</v>
      </c>
      <c r="BW24" s="43">
        <v>8</v>
      </c>
      <c r="BX24" s="43">
        <v>8</v>
      </c>
      <c r="BY24" s="43">
        <v>8</v>
      </c>
      <c r="BZ24" s="43">
        <v>8</v>
      </c>
      <c r="CA24" s="43">
        <v>8</v>
      </c>
      <c r="CB24" s="43">
        <v>8</v>
      </c>
      <c r="CC24" s="43">
        <v>8</v>
      </c>
      <c r="CD24" s="43">
        <v>8</v>
      </c>
      <c r="CE24" s="43">
        <v>8</v>
      </c>
      <c r="CF24" s="43">
        <v>8</v>
      </c>
      <c r="CG24" s="43">
        <v>8</v>
      </c>
      <c r="CH24" s="43">
        <v>8</v>
      </c>
      <c r="CI24" s="43">
        <v>8</v>
      </c>
      <c r="CJ24" s="43">
        <v>8</v>
      </c>
      <c r="CK24" s="43">
        <v>8</v>
      </c>
      <c r="CL24" s="43">
        <v>8</v>
      </c>
      <c r="CM24" s="43">
        <v>8</v>
      </c>
      <c r="CN24" s="43">
        <v>8</v>
      </c>
      <c r="CO24" s="43">
        <v>8</v>
      </c>
      <c r="CP24" s="43">
        <v>8</v>
      </c>
      <c r="CQ24" s="43">
        <v>8</v>
      </c>
      <c r="CR24" s="43">
        <v>8</v>
      </c>
      <c r="CS24" s="43">
        <v>8</v>
      </c>
      <c r="CT24" s="43">
        <v>8</v>
      </c>
      <c r="CU24" s="43">
        <v>8</v>
      </c>
      <c r="CV24" s="43">
        <v>8</v>
      </c>
      <c r="CW24" s="43">
        <v>8</v>
      </c>
      <c r="CX24" s="43">
        <v>8</v>
      </c>
      <c r="CY24" s="43">
        <v>8</v>
      </c>
      <c r="CZ24" s="43">
        <v>8</v>
      </c>
      <c r="DA24" s="43">
        <v>8</v>
      </c>
      <c r="DB24" s="43">
        <v>8</v>
      </c>
      <c r="DC24" s="43">
        <v>8</v>
      </c>
      <c r="DD24" s="43">
        <v>8</v>
      </c>
      <c r="DE24" s="43">
        <v>8</v>
      </c>
      <c r="DF24" s="43">
        <v>8</v>
      </c>
      <c r="DG24" s="43">
        <v>8</v>
      </c>
      <c r="DH24" s="43">
        <v>8</v>
      </c>
      <c r="DI24" s="43">
        <v>8</v>
      </c>
      <c r="DJ24" s="43">
        <v>8</v>
      </c>
      <c r="DK24" s="43">
        <v>8</v>
      </c>
      <c r="DL24" s="43">
        <v>8</v>
      </c>
      <c r="DM24" s="43">
        <v>8</v>
      </c>
      <c r="DN24" s="43">
        <v>8</v>
      </c>
      <c r="DO24" s="43">
        <v>8</v>
      </c>
      <c r="DP24" s="43">
        <v>8</v>
      </c>
      <c r="DQ24" s="43">
        <v>8</v>
      </c>
      <c r="DR24" s="43">
        <v>8</v>
      </c>
      <c r="DS24" s="43">
        <v>8</v>
      </c>
      <c r="DT24" s="43">
        <v>8</v>
      </c>
      <c r="DU24" s="43">
        <v>8</v>
      </c>
      <c r="DV24" s="43">
        <v>8</v>
      </c>
      <c r="DW24" s="43">
        <v>8</v>
      </c>
      <c r="DX24" s="43">
        <v>8</v>
      </c>
      <c r="DY24" s="43">
        <v>8</v>
      </c>
      <c r="DZ24" s="43">
        <v>8</v>
      </c>
      <c r="EA24" s="43">
        <v>8</v>
      </c>
      <c r="EB24" s="43">
        <v>8</v>
      </c>
      <c r="EC24" s="43">
        <v>8</v>
      </c>
      <c r="ED24" s="43">
        <v>8</v>
      </c>
      <c r="EE24" s="43">
        <v>8</v>
      </c>
      <c r="EF24" s="43">
        <v>8</v>
      </c>
      <c r="EG24" s="43">
        <v>8</v>
      </c>
      <c r="EH24" s="43">
        <v>8</v>
      </c>
      <c r="EI24" s="43">
        <v>8</v>
      </c>
      <c r="EJ24" s="43">
        <v>8</v>
      </c>
      <c r="EK24" s="43">
        <v>8</v>
      </c>
      <c r="EL24" s="43">
        <v>8</v>
      </c>
      <c r="EM24" s="43">
        <v>8</v>
      </c>
      <c r="EN24" s="43">
        <v>8</v>
      </c>
      <c r="EO24" s="43">
        <v>8</v>
      </c>
      <c r="EP24" s="43">
        <v>8</v>
      </c>
      <c r="EQ24" s="43">
        <v>8</v>
      </c>
      <c r="ER24" s="43">
        <v>8</v>
      </c>
      <c r="ES24" s="43">
        <v>8</v>
      </c>
      <c r="ET24" s="43">
        <v>8</v>
      </c>
      <c r="EU24" s="43">
        <v>8</v>
      </c>
      <c r="EV24" s="43">
        <v>8</v>
      </c>
      <c r="EW24" s="43">
        <v>8</v>
      </c>
      <c r="EX24" s="43">
        <v>8</v>
      </c>
      <c r="EY24" s="43">
        <v>8</v>
      </c>
      <c r="EZ24" s="43">
        <v>8</v>
      </c>
      <c r="FA24" s="43">
        <v>8</v>
      </c>
      <c r="FB24" s="43">
        <v>8</v>
      </c>
      <c r="FC24" s="43">
        <v>8</v>
      </c>
      <c r="FD24" s="43">
        <v>8</v>
      </c>
      <c r="FE24" s="43">
        <v>8</v>
      </c>
      <c r="FF24" s="43">
        <v>8</v>
      </c>
      <c r="FG24" s="43">
        <v>8</v>
      </c>
      <c r="FH24" s="43">
        <v>8</v>
      </c>
      <c r="FI24" s="43">
        <v>8</v>
      </c>
      <c r="FJ24" s="43">
        <v>8</v>
      </c>
      <c r="FK24" s="43">
        <v>8</v>
      </c>
      <c r="FL24" s="43">
        <v>8</v>
      </c>
      <c r="FM24" s="43">
        <v>8</v>
      </c>
      <c r="FN24" s="43">
        <v>8</v>
      </c>
      <c r="FO24" s="43">
        <v>8</v>
      </c>
      <c r="FP24" s="43">
        <v>8</v>
      </c>
      <c r="FQ24" s="43">
        <v>8</v>
      </c>
      <c r="FR24" s="43">
        <v>8</v>
      </c>
      <c r="FS24" s="43">
        <v>8</v>
      </c>
      <c r="FT24" s="43">
        <v>8</v>
      </c>
      <c r="FU24" s="43">
        <v>8</v>
      </c>
      <c r="FV24" s="43">
        <v>8</v>
      </c>
      <c r="FW24" s="43">
        <v>8</v>
      </c>
      <c r="FX24" s="43">
        <v>8</v>
      </c>
      <c r="FY24" s="43">
        <v>8</v>
      </c>
      <c r="FZ24" s="43">
        <v>8</v>
      </c>
      <c r="GA24" s="43">
        <v>8</v>
      </c>
      <c r="GB24" s="43">
        <v>8</v>
      </c>
      <c r="GC24" s="43">
        <v>8</v>
      </c>
      <c r="GD24" s="43">
        <v>8</v>
      </c>
      <c r="GE24" s="43">
        <v>8</v>
      </c>
      <c r="GF24" s="43">
        <v>8</v>
      </c>
      <c r="GG24" s="43">
        <v>8</v>
      </c>
      <c r="GH24" s="43">
        <v>8</v>
      </c>
      <c r="GI24" s="43">
        <v>8</v>
      </c>
      <c r="GJ24" s="43">
        <v>8</v>
      </c>
      <c r="GK24" s="43">
        <v>8</v>
      </c>
      <c r="GL24" s="43">
        <v>8</v>
      </c>
      <c r="GM24" s="43">
        <v>8</v>
      </c>
      <c r="GN24" s="43">
        <v>8</v>
      </c>
      <c r="GO24" s="43">
        <v>8</v>
      </c>
      <c r="GP24" s="43">
        <v>8</v>
      </c>
      <c r="GQ24" s="43">
        <v>8</v>
      </c>
      <c r="GR24" s="43">
        <v>8</v>
      </c>
      <c r="GS24" s="43">
        <v>8</v>
      </c>
      <c r="GT24" s="43">
        <v>8</v>
      </c>
      <c r="GU24" s="43">
        <v>8</v>
      </c>
      <c r="GV24" s="43">
        <v>8</v>
      </c>
      <c r="GW24" s="43">
        <v>8</v>
      </c>
      <c r="GX24" s="43">
        <v>8</v>
      </c>
      <c r="GY24" s="43">
        <v>8</v>
      </c>
      <c r="GZ24" s="43">
        <v>8</v>
      </c>
      <c r="HA24" s="43">
        <v>8</v>
      </c>
      <c r="HB24" s="43">
        <v>8</v>
      </c>
      <c r="HC24" s="43">
        <v>8</v>
      </c>
      <c r="HD24" s="43">
        <v>8</v>
      </c>
      <c r="HE24" s="43">
        <v>8</v>
      </c>
      <c r="HF24" s="43">
        <v>8</v>
      </c>
      <c r="HG24" s="43">
        <v>8</v>
      </c>
      <c r="HH24" s="43">
        <v>8</v>
      </c>
      <c r="HI24" s="43">
        <v>8</v>
      </c>
      <c r="HJ24" s="43">
        <v>8</v>
      </c>
      <c r="HK24" s="43">
        <v>8</v>
      </c>
      <c r="HL24" s="43">
        <v>8</v>
      </c>
      <c r="HM24" s="43">
        <v>8</v>
      </c>
      <c r="HN24" s="43">
        <v>8</v>
      </c>
      <c r="HO24" s="43">
        <v>8</v>
      </c>
      <c r="HP24" s="43">
        <v>8</v>
      </c>
      <c r="HQ24" s="43">
        <v>8</v>
      </c>
      <c r="HR24" s="43">
        <v>8</v>
      </c>
      <c r="HS24" s="43">
        <v>8</v>
      </c>
      <c r="HT24" s="43">
        <v>8</v>
      </c>
      <c r="HU24" s="43">
        <v>8</v>
      </c>
      <c r="HV24" s="43">
        <v>8</v>
      </c>
      <c r="HW24" s="43">
        <v>8</v>
      </c>
      <c r="HX24" s="43">
        <v>8</v>
      </c>
      <c r="HY24" s="43">
        <v>8</v>
      </c>
      <c r="HZ24" s="43">
        <v>8</v>
      </c>
      <c r="IA24" s="43">
        <v>8</v>
      </c>
      <c r="IB24" s="43">
        <v>8</v>
      </c>
      <c r="IC24" s="43">
        <v>8</v>
      </c>
      <c r="ID24" s="43">
        <v>8</v>
      </c>
      <c r="IE24" s="43">
        <v>8</v>
      </c>
      <c r="IF24" s="43">
        <v>8</v>
      </c>
      <c r="IG24" s="43">
        <v>8</v>
      </c>
      <c r="IH24" s="43">
        <v>8</v>
      </c>
      <c r="II24" s="43">
        <v>8</v>
      </c>
      <c r="IJ24" s="43">
        <v>8</v>
      </c>
      <c r="IK24" s="43">
        <v>8</v>
      </c>
      <c r="IL24" s="43">
        <v>8</v>
      </c>
      <c r="IM24" s="43">
        <v>8</v>
      </c>
      <c r="IN24" s="43">
        <v>8</v>
      </c>
      <c r="IO24" s="43">
        <v>8</v>
      </c>
      <c r="IP24" s="43">
        <v>8</v>
      </c>
      <c r="IQ24" s="43">
        <v>8</v>
      </c>
      <c r="IR24" s="43">
        <v>8</v>
      </c>
      <c r="IS24" s="43">
        <v>8</v>
      </c>
      <c r="IT24" s="43">
        <v>8</v>
      </c>
      <c r="IU24" s="43">
        <v>23</v>
      </c>
    </row>
  </sheetData>
  <sheetProtection formatColumns="0" formatRows="0" insertRows="0" deleteColumns="0" deleteRows="0" sort="0" autoFilter="0"/>
  <mergeCells count="4">
    <mergeCell ref="E5:J5"/>
    <mergeCell ref="E7:I7"/>
    <mergeCell ref="J7:J8"/>
    <mergeCell ref="J9:J10"/>
  </mergeCells>
  <dataValidations count="2">
    <dataValidation type="textLength" operator="between" allowBlank="1" showInputMessage="1" showErrorMessage="1" prompt="ОГРН состоит из 13 цифр, ОГРНИП - из 15" sqref="I2 I9">
      <formula1>13</formula1>
      <formula2>15</formula2>
    </dataValidation>
    <dataValidation type="textLength" operator="between" allowBlank="1" showInputMessage="1" showErrorMessage="1" sqref="I3">
      <formula1>13</formula1>
      <formula2>15</formula2>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15"/>
  <sheetViews>
    <sheetView showGridLines="0" zoomScale="90" zoomScaleNormal="90" workbookViewId="0">
      <pane xSplit="6" ySplit="9" topLeftCell="G10"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3" hidden="1"/>
    <col min="2" max="2" width="9.14285714285714" style="38" hidden="1"/>
    <col min="3" max="3" width="3.71428571428571" style="43" hidden="1" customWidth="1"/>
    <col min="4" max="4" width="3" style="217" customWidth="1"/>
    <col min="5" max="5" width="6" style="43" customWidth="1"/>
    <col min="6" max="6" width="27" style="43" customWidth="1"/>
    <col min="7" max="7" width="16" style="43" customWidth="1"/>
    <col min="8" max="8" width="12" style="43" customWidth="1"/>
    <col min="9" max="9" width="32" style="43" customWidth="1"/>
    <col min="10" max="11" width="41" style="43" customWidth="1"/>
    <col min="12" max="12" width="89" style="43" customWidth="1"/>
    <col min="13" max="13" width="3" style="151" customWidth="1"/>
    <col min="14" max="16" width="8" style="151" customWidth="1"/>
    <col min="17" max="17" width="25" style="151" customWidth="1"/>
    <col min="18" max="18" width="14" style="151" customWidth="1"/>
    <col min="19" max="22" width="8" style="267" customWidth="1"/>
    <col min="23" max="256" width="8" style="43" customWidth="1"/>
    <col min="257" max="257" width="9.14285714285714" style="43" hidden="1"/>
  </cols>
  <sheetData>
    <row r="1" ht="22.5" hidden="1" customHeight="1" spans="257:257">
      <c r="IW1" s="43" t="s">
        <v>14</v>
      </c>
    </row>
    <row r="2" customFormat="1" ht="22.5" hidden="1" customHeight="1" spans="1:257">
      <c r="A2" s="589"/>
      <c r="B2" s="38">
        <v>1</v>
      </c>
      <c r="C2" s="38"/>
      <c r="D2" s="586" t="s">
        <v>683</v>
      </c>
      <c r="E2" s="126"/>
      <c r="F2" s="60" t="str">
        <f>IF(ROIV_INFO_NAME="","",ROIV_INFO_NAME)</f>
        <v>АО "Теплокоммунэнерго"</v>
      </c>
      <c r="G2" s="638" t="s">
        <v>22</v>
      </c>
      <c r="H2" s="620"/>
      <c r="I2" s="627"/>
      <c r="J2" s="628"/>
      <c r="K2" s="628"/>
      <c r="L2" s="629"/>
      <c r="M2" s="605" t="e">
        <f>MERGEVALUE(F2)</f>
        <v>#NAME?</v>
      </c>
      <c r="N2" s="44"/>
      <c r="O2" s="44"/>
      <c r="P2" s="151" t="str">
        <f t="array" ref="P2">IF(ISERROR(MATCH(MID(Q2,1,250),MID(note_ter,1,250),0)),"n","y")</f>
        <v>n</v>
      </c>
      <c r="Q2" s="44"/>
      <c r="R2" s="151" t="str">
        <f>G2&amp;"("&amp;L2&amp;")"</f>
        <v>()</v>
      </c>
      <c r="S2" s="38"/>
      <c r="T2" s="38"/>
      <c r="U2" s="288"/>
      <c r="V2" s="38"/>
      <c r="W2" s="38"/>
      <c r="X2" s="38"/>
      <c r="Y2" s="264"/>
      <c r="Z2" s="264"/>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264"/>
      <c r="BW2" s="264"/>
      <c r="BX2" s="264"/>
      <c r="BY2" s="264"/>
      <c r="BZ2" s="264"/>
      <c r="CA2" s="264"/>
      <c r="CB2" s="264"/>
      <c r="CC2" s="264"/>
      <c r="CD2" s="264"/>
      <c r="CE2" s="264"/>
      <c r="IW2">
        <v>0</v>
      </c>
    </row>
    <row r="3" s="44" customFormat="1" ht="5.25" hidden="1" customHeight="1" spans="1:257">
      <c r="A3" s="37"/>
      <c r="D3" s="93"/>
      <c r="F3" s="590" t="s">
        <v>84</v>
      </c>
      <c r="G3" s="621" t="s">
        <v>85</v>
      </c>
      <c r="H3" s="93"/>
      <c r="I3" s="93"/>
      <c r="J3" s="93"/>
      <c r="K3" s="93"/>
      <c r="L3" s="630" t="s">
        <v>86</v>
      </c>
      <c r="M3" s="590" t="s">
        <v>84</v>
      </c>
      <c r="N3" s="590"/>
      <c r="O3" s="590"/>
      <c r="P3" s="590"/>
      <c r="Q3" s="590"/>
      <c r="R3" s="590"/>
      <c r="S3" s="590"/>
      <c r="T3" s="590"/>
      <c r="U3" s="590"/>
      <c r="V3" s="590"/>
      <c r="W3" s="630"/>
      <c r="X3" s="630"/>
      <c r="Y3" s="630"/>
      <c r="Z3" s="630"/>
      <c r="AA3" s="630"/>
      <c r="AB3" s="630"/>
      <c r="AC3" s="630"/>
      <c r="AD3" s="630"/>
      <c r="AE3" s="630"/>
      <c r="AF3" s="630"/>
      <c r="AG3" s="630"/>
      <c r="AH3" s="630"/>
      <c r="AI3" s="630"/>
      <c r="AJ3" s="630"/>
      <c r="AK3" s="630"/>
      <c r="AL3" s="630"/>
      <c r="AM3" s="630"/>
      <c r="AN3" s="630"/>
      <c r="AO3" s="630"/>
      <c r="AP3" s="630"/>
      <c r="AQ3" s="630"/>
      <c r="AR3" s="630"/>
      <c r="AS3" s="630"/>
      <c r="AT3" s="630"/>
      <c r="AU3" s="630"/>
      <c r="AV3" s="630"/>
      <c r="AW3" s="630"/>
      <c r="AX3" s="630"/>
      <c r="AY3" s="630"/>
      <c r="AZ3" s="630"/>
      <c r="BA3" s="630"/>
      <c r="BB3" s="630"/>
      <c r="BC3" s="630"/>
      <c r="BD3" s="630"/>
      <c r="BE3" s="630"/>
      <c r="BF3" s="630"/>
      <c r="BG3" s="630"/>
      <c r="BH3" s="630"/>
      <c r="BI3" s="630"/>
      <c r="BJ3" s="630"/>
      <c r="BK3" s="630"/>
      <c r="BL3" s="630"/>
      <c r="BM3" s="630"/>
      <c r="BN3" s="630"/>
      <c r="BO3" s="630"/>
      <c r="BP3" s="630"/>
      <c r="BQ3" s="630"/>
      <c r="BR3" s="630"/>
      <c r="BS3" s="630"/>
      <c r="BT3" s="630"/>
      <c r="BU3" s="630"/>
      <c r="BV3" s="630"/>
      <c r="BW3" s="630"/>
      <c r="BX3" s="630"/>
      <c r="BY3" s="630"/>
      <c r="BZ3" s="630"/>
      <c r="CA3" s="630"/>
      <c r="CB3" s="630"/>
      <c r="CC3" s="630"/>
      <c r="CD3" s="630"/>
      <c r="CE3" s="630"/>
      <c r="CF3" s="630"/>
      <c r="CG3" s="630"/>
      <c r="CH3" s="630"/>
      <c r="CI3" s="630"/>
      <c r="CJ3" s="630"/>
      <c r="CK3" s="630"/>
      <c r="CL3" s="630"/>
      <c r="CM3" s="630"/>
      <c r="CN3" s="630"/>
      <c r="CO3" s="630"/>
      <c r="CP3" s="630"/>
      <c r="CQ3" s="630"/>
      <c r="CR3" s="630"/>
      <c r="CS3" s="630"/>
      <c r="CT3" s="630"/>
      <c r="CU3" s="630"/>
      <c r="CV3" s="630"/>
      <c r="CW3" s="630"/>
      <c r="CX3" s="630"/>
      <c r="CY3" s="630"/>
      <c r="CZ3" s="630"/>
      <c r="DA3" s="630"/>
      <c r="DB3" s="630"/>
      <c r="DC3" s="630"/>
      <c r="DD3" s="630"/>
      <c r="DE3" s="630"/>
      <c r="DF3" s="630"/>
      <c r="DG3" s="630"/>
      <c r="DH3" s="630"/>
      <c r="DI3" s="630"/>
      <c r="DJ3" s="630"/>
      <c r="DK3" s="630"/>
      <c r="DL3" s="630"/>
      <c r="DM3" s="630"/>
      <c r="DN3" s="630"/>
      <c r="DO3" s="630"/>
      <c r="DP3" s="630"/>
      <c r="DQ3" s="630"/>
      <c r="DR3" s="630"/>
      <c r="DS3" s="630"/>
      <c r="DT3" s="630"/>
      <c r="DU3" s="630"/>
      <c r="DV3" s="630"/>
      <c r="DW3" s="630"/>
      <c r="DX3" s="630"/>
      <c r="DY3" s="630"/>
      <c r="DZ3" s="630"/>
      <c r="EA3" s="630"/>
      <c r="EB3" s="630"/>
      <c r="EC3" s="630"/>
      <c r="ED3" s="630"/>
      <c r="EE3" s="630"/>
      <c r="EF3" s="630"/>
      <c r="EG3" s="630"/>
      <c r="EH3" s="630"/>
      <c r="EI3" s="630"/>
      <c r="EJ3" s="630"/>
      <c r="EK3" s="630"/>
      <c r="EL3" s="630"/>
      <c r="EM3" s="630"/>
      <c r="EN3" s="630"/>
      <c r="EO3" s="630"/>
      <c r="EP3" s="630"/>
      <c r="EQ3" s="630"/>
      <c r="ER3" s="630"/>
      <c r="ES3" s="630"/>
      <c r="ET3" s="630"/>
      <c r="EU3" s="630"/>
      <c r="EV3" s="630"/>
      <c r="EW3" s="630"/>
      <c r="EX3" s="630"/>
      <c r="EY3" s="630"/>
      <c r="EZ3" s="630"/>
      <c r="FA3" s="630"/>
      <c r="FB3" s="630"/>
      <c r="FC3" s="630"/>
      <c r="FD3" s="630"/>
      <c r="FE3" s="630"/>
      <c r="FF3" s="630"/>
      <c r="FG3" s="630"/>
      <c r="FH3" s="630"/>
      <c r="FI3" s="630"/>
      <c r="FJ3" s="630"/>
      <c r="FK3" s="630"/>
      <c r="FL3" s="630"/>
      <c r="FM3" s="630"/>
      <c r="FN3" s="630"/>
      <c r="FO3" s="630"/>
      <c r="FP3" s="630"/>
      <c r="FQ3" s="630"/>
      <c r="FR3" s="630"/>
      <c r="FS3" s="630"/>
      <c r="FT3" s="630"/>
      <c r="FU3" s="630"/>
      <c r="FV3" s="630"/>
      <c r="FW3" s="630"/>
      <c r="FX3" s="630"/>
      <c r="FY3" s="630"/>
      <c r="FZ3" s="630"/>
      <c r="GA3" s="630"/>
      <c r="GB3" s="630"/>
      <c r="GC3" s="630"/>
      <c r="GD3" s="630"/>
      <c r="GE3" s="630"/>
      <c r="GF3" s="630"/>
      <c r="GG3" s="630"/>
      <c r="GH3" s="630"/>
      <c r="GI3" s="630"/>
      <c r="GJ3" s="630"/>
      <c r="GK3" s="630"/>
      <c r="GL3" s="630"/>
      <c r="GM3" s="630"/>
      <c r="GN3" s="630"/>
      <c r="GO3" s="630"/>
      <c r="GP3" s="630"/>
      <c r="GQ3" s="630"/>
      <c r="GR3" s="630"/>
      <c r="GS3" s="630"/>
      <c r="GT3" s="630"/>
      <c r="GU3" s="630"/>
      <c r="GV3" s="630"/>
      <c r="GW3" s="630"/>
      <c r="GX3" s="630"/>
      <c r="GY3" s="630"/>
      <c r="GZ3" s="630"/>
      <c r="HA3" s="630"/>
      <c r="HB3" s="630"/>
      <c r="HC3" s="630"/>
      <c r="HD3" s="630"/>
      <c r="HE3" s="630"/>
      <c r="HF3" s="630"/>
      <c r="HG3" s="630"/>
      <c r="HH3" s="630"/>
      <c r="HI3" s="630"/>
      <c r="HJ3" s="630"/>
      <c r="HK3" s="630"/>
      <c r="HL3" s="630"/>
      <c r="HM3" s="630"/>
      <c r="HN3" s="630"/>
      <c r="HO3" s="630"/>
      <c r="HP3" s="630"/>
      <c r="HQ3" s="630"/>
      <c r="HR3" s="630"/>
      <c r="HS3" s="630"/>
      <c r="HT3" s="630"/>
      <c r="HU3" s="630"/>
      <c r="HV3" s="630"/>
      <c r="HW3" s="630"/>
      <c r="HX3" s="630"/>
      <c r="HY3" s="630"/>
      <c r="HZ3" s="630"/>
      <c r="IA3" s="630"/>
      <c r="IB3" s="630"/>
      <c r="IC3" s="630"/>
      <c r="ID3" s="630"/>
      <c r="IE3" s="630"/>
      <c r="IF3" s="630"/>
      <c r="IG3" s="630"/>
      <c r="IH3" s="630"/>
      <c r="II3" s="630"/>
      <c r="IJ3" s="630"/>
      <c r="IK3" s="630"/>
      <c r="IL3" s="630"/>
      <c r="IM3" s="630"/>
      <c r="IN3" s="630"/>
      <c r="IO3" s="630"/>
      <c r="IP3" s="630"/>
      <c r="IQ3" s="630"/>
      <c r="IR3" s="630"/>
      <c r="IS3" s="630"/>
      <c r="IT3" s="630"/>
      <c r="IU3" s="630"/>
      <c r="IV3" s="630"/>
      <c r="IW3" s="44">
        <v>0</v>
      </c>
    </row>
    <row r="4" s="206" customFormat="1" ht="14.7" customHeight="1" spans="1:257">
      <c r="A4" s="43"/>
      <c r="B4" s="38"/>
      <c r="C4" s="43"/>
      <c r="D4" s="217"/>
      <c r="E4" s="43"/>
      <c r="F4" s="43"/>
      <c r="G4" s="43"/>
      <c r="H4" s="43"/>
      <c r="I4" s="43"/>
      <c r="J4" s="43"/>
      <c r="K4" s="43"/>
      <c r="L4" s="61"/>
      <c r="M4" s="590"/>
      <c r="N4" s="151"/>
      <c r="O4" s="151"/>
      <c r="P4" s="151"/>
      <c r="Q4" s="151"/>
      <c r="R4" s="151"/>
      <c r="S4" s="267"/>
      <c r="T4" s="267"/>
      <c r="U4" s="267"/>
      <c r="V4" s="267"/>
      <c r="IW4" s="206">
        <v>14</v>
      </c>
    </row>
    <row r="5" s="206" customFormat="1" ht="27.3" customHeight="1" spans="1:257">
      <c r="A5" s="43"/>
      <c r="B5" s="38"/>
      <c r="C5" s="43"/>
      <c r="D5" s="217"/>
      <c r="E5" s="56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565"/>
      <c r="G5" s="565"/>
      <c r="H5" s="565"/>
      <c r="I5" s="565"/>
      <c r="J5" s="565"/>
      <c r="K5" s="565"/>
      <c r="L5" s="43"/>
      <c r="M5" s="590"/>
      <c r="N5" s="151"/>
      <c r="O5" s="151"/>
      <c r="P5" s="151"/>
      <c r="Q5" s="151"/>
      <c r="R5" s="151"/>
      <c r="S5" s="267"/>
      <c r="T5" s="267"/>
      <c r="U5" s="267"/>
      <c r="V5" s="267"/>
      <c r="IW5" s="206">
        <v>26</v>
      </c>
    </row>
    <row r="6" s="206" customFormat="1" ht="14.7" customHeight="1" spans="1:257">
      <c r="A6" s="43"/>
      <c r="B6" s="38"/>
      <c r="C6" s="43"/>
      <c r="D6" s="217"/>
      <c r="E6" s="43"/>
      <c r="F6" s="594"/>
      <c r="G6" s="594"/>
      <c r="H6" s="594"/>
      <c r="I6" s="594"/>
      <c r="J6" s="594"/>
      <c r="K6" s="594"/>
      <c r="L6" s="589"/>
      <c r="M6" s="151"/>
      <c r="N6" s="151"/>
      <c r="O6" s="151"/>
      <c r="P6" s="151"/>
      <c r="Q6" s="151"/>
      <c r="R6" s="151"/>
      <c r="S6" s="267"/>
      <c r="T6" s="267"/>
      <c r="U6" s="267"/>
      <c r="V6" s="267"/>
      <c r="IW6" s="206">
        <v>14</v>
      </c>
    </row>
    <row r="7" s="206" customFormat="1" ht="14.7" customHeight="1" spans="1:257">
      <c r="A7" s="43"/>
      <c r="B7" s="38"/>
      <c r="C7" s="43"/>
      <c r="D7" s="217"/>
      <c r="E7" s="126" t="s">
        <v>296</v>
      </c>
      <c r="F7" s="128"/>
      <c r="G7" s="128"/>
      <c r="H7" s="128"/>
      <c r="I7" s="128"/>
      <c r="J7" s="128"/>
      <c r="K7" s="128"/>
      <c r="L7" s="631" t="s">
        <v>297</v>
      </c>
      <c r="M7" s="151"/>
      <c r="N7" s="151"/>
      <c r="O7" s="151"/>
      <c r="P7" s="151"/>
      <c r="Q7" s="151"/>
      <c r="R7" s="151"/>
      <c r="S7" s="267"/>
      <c r="T7" s="267"/>
      <c r="U7" s="267"/>
      <c r="V7" s="267"/>
      <c r="IW7" s="206">
        <v>14</v>
      </c>
    </row>
    <row r="8" s="206" customFormat="1" ht="67.2" customHeight="1" spans="1:257">
      <c r="A8" s="43"/>
      <c r="B8" s="38"/>
      <c r="C8" s="43"/>
      <c r="D8" s="217"/>
      <c r="E8" s="597" t="s">
        <v>89</v>
      </c>
      <c r="F8" s="59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61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622"/>
      <c r="I8" s="632"/>
      <c r="J8" s="59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5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633"/>
      <c r="M8" s="151"/>
      <c r="N8" s="151"/>
      <c r="O8" s="151"/>
      <c r="P8" s="151"/>
      <c r="Q8" s="151"/>
      <c r="R8" s="151"/>
      <c r="S8" s="267"/>
      <c r="T8" s="267"/>
      <c r="U8" s="267"/>
      <c r="V8" s="267"/>
      <c r="IW8" s="206">
        <v>64</v>
      </c>
    </row>
    <row r="9" s="206" customFormat="1" ht="29.25" customHeight="1" spans="1:257">
      <c r="A9" s="43"/>
      <c r="B9" s="38"/>
      <c r="C9" s="43"/>
      <c r="D9" s="217"/>
      <c r="E9" s="614"/>
      <c r="F9" s="614"/>
      <c r="G9" s="614" t="s">
        <v>2047</v>
      </c>
      <c r="H9" s="614" t="s">
        <v>2048</v>
      </c>
      <c r="I9" s="614" t="s">
        <v>2049</v>
      </c>
      <c r="J9" s="614"/>
      <c r="K9" s="614"/>
      <c r="L9" s="634"/>
      <c r="M9" s="151"/>
      <c r="N9" s="151"/>
      <c r="O9" s="151"/>
      <c r="P9" s="151"/>
      <c r="Q9" s="151"/>
      <c r="R9" s="151"/>
      <c r="S9" s="267"/>
      <c r="T9" s="267"/>
      <c r="U9" s="267"/>
      <c r="V9" s="267"/>
      <c r="IW9" s="206">
        <v>28</v>
      </c>
    </row>
    <row r="10" customFormat="1" ht="23.25" customHeight="1" spans="1:257">
      <c r="A10" s="86"/>
      <c r="B10" s="38">
        <v>1</v>
      </c>
      <c r="C10" s="38"/>
      <c r="D10" s="221"/>
      <c r="E10" s="73">
        <v>1</v>
      </c>
      <c r="F10" s="639" t="str">
        <f>IF(ROIV_INFO_NAME="","",ROIV_INFO_NAME)</f>
        <v>АО "Теплокоммунэнерго"</v>
      </c>
      <c r="G10" s="255" t="s">
        <v>22</v>
      </c>
      <c r="H10" s="620"/>
      <c r="I10" s="640"/>
      <c r="J10" s="628"/>
      <c r="K10" s="628"/>
      <c r="L10" s="6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605" t="e">
        <f>MERGEVALUE(F10)</f>
        <v>#NAME?</v>
      </c>
      <c r="N10" s="44"/>
      <c r="O10" s="44"/>
      <c r="P10" s="151" t="str">
        <f t="array" ref="P10">IF(ISERROR(MATCH(MID(Q10,1,250),MID(note_ter,1,250),0)),"n","y")</f>
        <v>n</v>
      </c>
      <c r="Q10" s="44"/>
      <c r="R10" s="1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38"/>
      <c r="T10" s="38"/>
      <c r="U10" s="288"/>
      <c r="V10" s="38"/>
      <c r="W10" s="38"/>
      <c r="X10" s="38"/>
      <c r="Y10" s="264"/>
      <c r="Z10" s="264"/>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264"/>
      <c r="BW10" s="264"/>
      <c r="BX10" s="264"/>
      <c r="BY10" s="264"/>
      <c r="BZ10" s="264"/>
      <c r="CA10" s="264"/>
      <c r="CB10" s="264"/>
      <c r="CC10" s="264"/>
      <c r="CD10" s="264"/>
      <c r="CE10" s="264"/>
      <c r="IW10">
        <v>22</v>
      </c>
    </row>
    <row r="11" customFormat="1" ht="15.75" customHeight="1" spans="1:257">
      <c r="A11" s="86"/>
      <c r="B11" s="38"/>
      <c r="C11" s="224"/>
      <c r="D11" s="216"/>
      <c r="E11" s="225"/>
      <c r="F11" s="332" t="s">
        <v>2050</v>
      </c>
      <c r="G11" s="228"/>
      <c r="H11" s="228"/>
      <c r="I11" s="228"/>
      <c r="J11" s="228"/>
      <c r="K11" s="269"/>
      <c r="L11" s="637"/>
      <c r="M11" s="619"/>
      <c r="N11" s="44"/>
      <c r="O11" s="44"/>
      <c r="P11" s="44"/>
      <c r="Q11" s="151"/>
      <c r="R11" s="44"/>
      <c r="S11" s="38"/>
      <c r="T11" s="38"/>
      <c r="U11" s="288"/>
      <c r="V11" s="38"/>
      <c r="W11" s="38"/>
      <c r="X11" s="38"/>
      <c r="Y11" s="264"/>
      <c r="Z11" s="264"/>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264"/>
      <c r="BW11" s="264"/>
      <c r="BX11" s="264"/>
      <c r="BY11" s="264"/>
      <c r="BZ11" s="264"/>
      <c r="CA11" s="264"/>
      <c r="CB11" s="264"/>
      <c r="CC11" s="264"/>
      <c r="CD11" s="264"/>
      <c r="CE11" s="264"/>
      <c r="IW11">
        <v>15</v>
      </c>
    </row>
    <row r="12" s="206" customFormat="1" ht="22.05" customHeight="1" spans="1:257">
      <c r="A12" s="43"/>
      <c r="B12" s="38"/>
      <c r="C12" s="43"/>
      <c r="D12" s="217"/>
      <c r="E12" s="603"/>
      <c r="F12" s="603"/>
      <c r="G12" s="603"/>
      <c r="H12" s="603"/>
      <c r="I12" s="603"/>
      <c r="J12" s="603"/>
      <c r="K12" s="603"/>
      <c r="L12" s="603"/>
      <c r="M12" s="151"/>
      <c r="N12" s="151"/>
      <c r="O12" s="151"/>
      <c r="P12" s="151"/>
      <c r="Q12" s="151"/>
      <c r="R12" s="151"/>
      <c r="S12" s="267"/>
      <c r="T12" s="267"/>
      <c r="U12" s="267"/>
      <c r="V12" s="267"/>
      <c r="IW12" s="206">
        <v>21</v>
      </c>
    </row>
    <row r="13" s="206" customFormat="1" ht="14.7" customHeight="1" spans="1:257">
      <c r="A13" s="43"/>
      <c r="B13" s="38"/>
      <c r="C13" s="43"/>
      <c r="D13" s="217"/>
      <c r="E13" s="43"/>
      <c r="F13" s="43"/>
      <c r="G13" s="43"/>
      <c r="H13" s="43"/>
      <c r="I13" s="43"/>
      <c r="J13" s="43"/>
      <c r="K13" s="43"/>
      <c r="L13" s="43"/>
      <c r="M13" s="151"/>
      <c r="N13" s="151"/>
      <c r="O13" s="151"/>
      <c r="P13" s="151"/>
      <c r="Q13" s="151"/>
      <c r="R13" s="151"/>
      <c r="S13" s="267"/>
      <c r="T13" s="267"/>
      <c r="U13" s="267"/>
      <c r="V13" s="267"/>
      <c r="IW13" s="206">
        <v>14</v>
      </c>
    </row>
    <row r="14" s="206" customFormat="1" ht="1.05" customHeight="1" spans="1:257">
      <c r="A14" s="43"/>
      <c r="B14" s="38"/>
      <c r="C14" s="43"/>
      <c r="D14" s="217"/>
      <c r="E14" s="43"/>
      <c r="F14" s="43"/>
      <c r="G14" s="43"/>
      <c r="H14" s="43"/>
      <c r="I14" s="43"/>
      <c r="J14" s="43"/>
      <c r="K14" s="43"/>
      <c r="L14" s="43"/>
      <c r="M14" s="151"/>
      <c r="N14" s="151"/>
      <c r="O14" s="151"/>
      <c r="P14" s="151"/>
      <c r="Q14" s="151"/>
      <c r="R14" s="151"/>
      <c r="S14" s="267"/>
      <c r="T14" s="267"/>
      <c r="U14" s="267"/>
      <c r="V14" s="267"/>
      <c r="IW14" s="206">
        <v>1</v>
      </c>
    </row>
    <row r="15" ht="22.5" hidden="1" customHeight="1" spans="1:257">
      <c r="A15" s="43" t="s">
        <v>83</v>
      </c>
      <c r="B15" s="38">
        <v>0</v>
      </c>
      <c r="C15" s="43">
        <v>0</v>
      </c>
      <c r="D15" s="217">
        <v>3</v>
      </c>
      <c r="E15" s="43">
        <v>6</v>
      </c>
      <c r="F15" s="43">
        <v>27</v>
      </c>
      <c r="G15" s="43">
        <v>16</v>
      </c>
      <c r="H15" s="43">
        <v>12</v>
      </c>
      <c r="I15" s="43">
        <v>32</v>
      </c>
      <c r="J15" s="43">
        <v>41</v>
      </c>
      <c r="K15" s="43">
        <v>41</v>
      </c>
      <c r="L15" s="43">
        <v>89</v>
      </c>
      <c r="M15" s="151">
        <v>3</v>
      </c>
      <c r="N15" s="151">
        <v>8</v>
      </c>
      <c r="O15" s="151">
        <v>8</v>
      </c>
      <c r="P15" s="151">
        <v>8</v>
      </c>
      <c r="Q15" s="151">
        <v>25</v>
      </c>
      <c r="R15" s="151">
        <v>14</v>
      </c>
      <c r="S15" s="267">
        <v>8</v>
      </c>
      <c r="T15" s="267">
        <v>8</v>
      </c>
      <c r="U15" s="267">
        <v>8</v>
      </c>
      <c r="V15" s="267">
        <v>8</v>
      </c>
      <c r="W15" s="43">
        <v>8</v>
      </c>
      <c r="X15" s="43">
        <v>8</v>
      </c>
      <c r="Y15" s="43">
        <v>8</v>
      </c>
      <c r="Z15" s="43">
        <v>8</v>
      </c>
      <c r="AA15" s="43">
        <v>8</v>
      </c>
      <c r="AB15" s="43">
        <v>8</v>
      </c>
      <c r="AC15" s="43">
        <v>8</v>
      </c>
      <c r="AD15" s="43">
        <v>8</v>
      </c>
      <c r="AE15" s="43">
        <v>8</v>
      </c>
      <c r="AF15" s="43">
        <v>8</v>
      </c>
      <c r="AG15" s="43">
        <v>8</v>
      </c>
      <c r="AH15" s="43">
        <v>8</v>
      </c>
      <c r="AI15" s="43">
        <v>8</v>
      </c>
      <c r="AJ15" s="43">
        <v>8</v>
      </c>
      <c r="AK15" s="43">
        <v>8</v>
      </c>
      <c r="AL15" s="43">
        <v>8</v>
      </c>
      <c r="AM15" s="43">
        <v>8</v>
      </c>
      <c r="AN15" s="43">
        <v>8</v>
      </c>
      <c r="AO15" s="43">
        <v>8</v>
      </c>
      <c r="AP15" s="43">
        <v>8</v>
      </c>
      <c r="AQ15" s="43">
        <v>8</v>
      </c>
      <c r="AR15" s="43">
        <v>8</v>
      </c>
      <c r="AS15" s="43">
        <v>8</v>
      </c>
      <c r="AT15" s="43">
        <v>8</v>
      </c>
      <c r="AU15" s="43">
        <v>8</v>
      </c>
      <c r="AV15" s="43">
        <v>8</v>
      </c>
      <c r="AW15" s="43">
        <v>8</v>
      </c>
      <c r="AX15" s="43">
        <v>8</v>
      </c>
      <c r="AY15" s="43">
        <v>8</v>
      </c>
      <c r="AZ15" s="43">
        <v>8</v>
      </c>
      <c r="BA15" s="43">
        <v>8</v>
      </c>
      <c r="BB15" s="43">
        <v>8</v>
      </c>
      <c r="BC15" s="43">
        <v>8</v>
      </c>
      <c r="BD15" s="43">
        <v>8</v>
      </c>
      <c r="BE15" s="43">
        <v>8</v>
      </c>
      <c r="BF15" s="43">
        <v>8</v>
      </c>
      <c r="BG15" s="43">
        <v>8</v>
      </c>
      <c r="BH15" s="43">
        <v>8</v>
      </c>
      <c r="BI15" s="43">
        <v>8</v>
      </c>
      <c r="BJ15" s="43">
        <v>8</v>
      </c>
      <c r="BK15" s="43">
        <v>8</v>
      </c>
      <c r="BL15" s="43">
        <v>8</v>
      </c>
      <c r="BM15" s="43">
        <v>8</v>
      </c>
      <c r="BN15" s="43">
        <v>8</v>
      </c>
      <c r="BO15" s="43">
        <v>8</v>
      </c>
      <c r="BP15" s="43">
        <v>8</v>
      </c>
      <c r="BQ15" s="43">
        <v>8</v>
      </c>
      <c r="BR15" s="43">
        <v>8</v>
      </c>
      <c r="BS15" s="43">
        <v>8</v>
      </c>
      <c r="BT15" s="43">
        <v>8</v>
      </c>
      <c r="BU15" s="43">
        <v>8</v>
      </c>
      <c r="BV15" s="43">
        <v>8</v>
      </c>
      <c r="BW15" s="43">
        <v>8</v>
      </c>
      <c r="BX15" s="43">
        <v>8</v>
      </c>
      <c r="BY15" s="43">
        <v>8</v>
      </c>
      <c r="BZ15" s="43">
        <v>8</v>
      </c>
      <c r="CA15" s="43">
        <v>8</v>
      </c>
      <c r="CB15" s="43">
        <v>8</v>
      </c>
      <c r="CC15" s="43">
        <v>8</v>
      </c>
      <c r="CD15" s="43">
        <v>8</v>
      </c>
      <c r="CE15" s="43">
        <v>8</v>
      </c>
      <c r="CF15" s="43">
        <v>8</v>
      </c>
      <c r="CG15" s="43">
        <v>8</v>
      </c>
      <c r="CH15" s="43">
        <v>8</v>
      </c>
      <c r="CI15" s="43">
        <v>8</v>
      </c>
      <c r="CJ15" s="43">
        <v>8</v>
      </c>
      <c r="CK15" s="43">
        <v>8</v>
      </c>
      <c r="CL15" s="43">
        <v>8</v>
      </c>
      <c r="CM15" s="43">
        <v>8</v>
      </c>
      <c r="CN15" s="43">
        <v>8</v>
      </c>
      <c r="CO15" s="43">
        <v>8</v>
      </c>
      <c r="CP15" s="43">
        <v>8</v>
      </c>
      <c r="CQ15" s="43">
        <v>8</v>
      </c>
      <c r="CR15" s="43">
        <v>8</v>
      </c>
      <c r="CS15" s="43">
        <v>8</v>
      </c>
      <c r="CT15" s="43">
        <v>8</v>
      </c>
      <c r="CU15" s="43">
        <v>8</v>
      </c>
      <c r="CV15" s="43">
        <v>8</v>
      </c>
      <c r="CW15" s="43">
        <v>8</v>
      </c>
      <c r="CX15" s="43">
        <v>8</v>
      </c>
      <c r="CY15" s="43">
        <v>8</v>
      </c>
      <c r="CZ15" s="43">
        <v>8</v>
      </c>
      <c r="DA15" s="43">
        <v>8</v>
      </c>
      <c r="DB15" s="43">
        <v>8</v>
      </c>
      <c r="DC15" s="43">
        <v>8</v>
      </c>
      <c r="DD15" s="43">
        <v>8</v>
      </c>
      <c r="DE15" s="43">
        <v>8</v>
      </c>
      <c r="DF15" s="43">
        <v>8</v>
      </c>
      <c r="DG15" s="43">
        <v>8</v>
      </c>
      <c r="DH15" s="43">
        <v>8</v>
      </c>
      <c r="DI15" s="43">
        <v>8</v>
      </c>
      <c r="DJ15" s="43">
        <v>8</v>
      </c>
      <c r="DK15" s="43">
        <v>8</v>
      </c>
      <c r="DL15" s="43">
        <v>8</v>
      </c>
      <c r="DM15" s="43">
        <v>8</v>
      </c>
      <c r="DN15" s="43">
        <v>8</v>
      </c>
      <c r="DO15" s="43">
        <v>8</v>
      </c>
      <c r="DP15" s="43">
        <v>8</v>
      </c>
      <c r="DQ15" s="43">
        <v>8</v>
      </c>
      <c r="DR15" s="43">
        <v>8</v>
      </c>
      <c r="DS15" s="43">
        <v>8</v>
      </c>
      <c r="DT15" s="43">
        <v>8</v>
      </c>
      <c r="DU15" s="43">
        <v>8</v>
      </c>
      <c r="DV15" s="43">
        <v>8</v>
      </c>
      <c r="DW15" s="43">
        <v>8</v>
      </c>
      <c r="DX15" s="43">
        <v>8</v>
      </c>
      <c r="DY15" s="43">
        <v>8</v>
      </c>
      <c r="DZ15" s="43">
        <v>8</v>
      </c>
      <c r="EA15" s="43">
        <v>8</v>
      </c>
      <c r="EB15" s="43">
        <v>8</v>
      </c>
      <c r="EC15" s="43">
        <v>8</v>
      </c>
      <c r="ED15" s="43">
        <v>8</v>
      </c>
      <c r="EE15" s="43">
        <v>8</v>
      </c>
      <c r="EF15" s="43">
        <v>8</v>
      </c>
      <c r="EG15" s="43">
        <v>8</v>
      </c>
      <c r="EH15" s="43">
        <v>8</v>
      </c>
      <c r="EI15" s="43">
        <v>8</v>
      </c>
      <c r="EJ15" s="43">
        <v>8</v>
      </c>
      <c r="EK15" s="43">
        <v>8</v>
      </c>
      <c r="EL15" s="43">
        <v>8</v>
      </c>
      <c r="EM15" s="43">
        <v>8</v>
      </c>
      <c r="EN15" s="43">
        <v>8</v>
      </c>
      <c r="EO15" s="43">
        <v>8</v>
      </c>
      <c r="EP15" s="43">
        <v>8</v>
      </c>
      <c r="EQ15" s="43">
        <v>8</v>
      </c>
      <c r="ER15" s="43">
        <v>8</v>
      </c>
      <c r="ES15" s="43">
        <v>8</v>
      </c>
      <c r="ET15" s="43">
        <v>8</v>
      </c>
      <c r="EU15" s="43">
        <v>8</v>
      </c>
      <c r="EV15" s="43">
        <v>8</v>
      </c>
      <c r="EW15" s="43">
        <v>8</v>
      </c>
      <c r="EX15" s="43">
        <v>8</v>
      </c>
      <c r="EY15" s="43">
        <v>8</v>
      </c>
      <c r="EZ15" s="43">
        <v>8</v>
      </c>
      <c r="FA15" s="43">
        <v>8</v>
      </c>
      <c r="FB15" s="43">
        <v>8</v>
      </c>
      <c r="FC15" s="43">
        <v>8</v>
      </c>
      <c r="FD15" s="43">
        <v>8</v>
      </c>
      <c r="FE15" s="43">
        <v>8</v>
      </c>
      <c r="FF15" s="43">
        <v>8</v>
      </c>
      <c r="FG15" s="43">
        <v>8</v>
      </c>
      <c r="FH15" s="43">
        <v>8</v>
      </c>
      <c r="FI15" s="43">
        <v>8</v>
      </c>
      <c r="FJ15" s="43">
        <v>8</v>
      </c>
      <c r="FK15" s="43">
        <v>8</v>
      </c>
      <c r="FL15" s="43">
        <v>8</v>
      </c>
      <c r="FM15" s="43">
        <v>8</v>
      </c>
      <c r="FN15" s="43">
        <v>8</v>
      </c>
      <c r="FO15" s="43">
        <v>8</v>
      </c>
      <c r="FP15" s="43">
        <v>8</v>
      </c>
      <c r="FQ15" s="43">
        <v>8</v>
      </c>
      <c r="FR15" s="43">
        <v>8</v>
      </c>
      <c r="FS15" s="43">
        <v>8</v>
      </c>
      <c r="FT15" s="43">
        <v>8</v>
      </c>
      <c r="FU15" s="43">
        <v>8</v>
      </c>
      <c r="FV15" s="43">
        <v>8</v>
      </c>
      <c r="FW15" s="43">
        <v>8</v>
      </c>
      <c r="FX15" s="43">
        <v>8</v>
      </c>
      <c r="FY15" s="43">
        <v>8</v>
      </c>
      <c r="FZ15" s="43">
        <v>8</v>
      </c>
      <c r="GA15" s="43">
        <v>8</v>
      </c>
      <c r="GB15" s="43">
        <v>8</v>
      </c>
      <c r="GC15" s="43">
        <v>8</v>
      </c>
      <c r="GD15" s="43">
        <v>8</v>
      </c>
      <c r="GE15" s="43">
        <v>8</v>
      </c>
      <c r="GF15" s="43">
        <v>8</v>
      </c>
      <c r="GG15" s="43">
        <v>8</v>
      </c>
      <c r="GH15" s="43">
        <v>8</v>
      </c>
      <c r="GI15" s="43">
        <v>8</v>
      </c>
      <c r="GJ15" s="43">
        <v>8</v>
      </c>
      <c r="GK15" s="43">
        <v>8</v>
      </c>
      <c r="GL15" s="43">
        <v>8</v>
      </c>
      <c r="GM15" s="43">
        <v>8</v>
      </c>
      <c r="GN15" s="43">
        <v>8</v>
      </c>
      <c r="GO15" s="43">
        <v>8</v>
      </c>
      <c r="GP15" s="43">
        <v>8</v>
      </c>
      <c r="GQ15" s="43">
        <v>8</v>
      </c>
      <c r="GR15" s="43">
        <v>8</v>
      </c>
      <c r="GS15" s="43">
        <v>8</v>
      </c>
      <c r="GT15" s="43">
        <v>8</v>
      </c>
      <c r="GU15" s="43">
        <v>8</v>
      </c>
      <c r="GV15" s="43">
        <v>8</v>
      </c>
      <c r="GW15" s="43">
        <v>8</v>
      </c>
      <c r="GX15" s="43">
        <v>8</v>
      </c>
      <c r="GY15" s="43">
        <v>8</v>
      </c>
      <c r="GZ15" s="43">
        <v>8</v>
      </c>
      <c r="HA15" s="43">
        <v>8</v>
      </c>
      <c r="HB15" s="43">
        <v>8</v>
      </c>
      <c r="HC15" s="43">
        <v>8</v>
      </c>
      <c r="HD15" s="43">
        <v>8</v>
      </c>
      <c r="HE15" s="43">
        <v>8</v>
      </c>
      <c r="HF15" s="43">
        <v>8</v>
      </c>
      <c r="HG15" s="43">
        <v>8</v>
      </c>
      <c r="HH15" s="43">
        <v>8</v>
      </c>
      <c r="HI15" s="43">
        <v>8</v>
      </c>
      <c r="HJ15" s="43">
        <v>8</v>
      </c>
      <c r="HK15" s="43">
        <v>8</v>
      </c>
      <c r="HL15" s="43">
        <v>8</v>
      </c>
      <c r="HM15" s="43">
        <v>8</v>
      </c>
      <c r="HN15" s="43">
        <v>8</v>
      </c>
      <c r="HO15" s="43">
        <v>8</v>
      </c>
      <c r="HP15" s="43">
        <v>8</v>
      </c>
      <c r="HQ15" s="43">
        <v>8</v>
      </c>
      <c r="HR15" s="43">
        <v>8</v>
      </c>
      <c r="HS15" s="43">
        <v>8</v>
      </c>
      <c r="HT15" s="43">
        <v>8</v>
      </c>
      <c r="HU15" s="43">
        <v>8</v>
      </c>
      <c r="HV15" s="43">
        <v>8</v>
      </c>
      <c r="HW15" s="43">
        <v>8</v>
      </c>
      <c r="HX15" s="43">
        <v>8</v>
      </c>
      <c r="HY15" s="43">
        <v>8</v>
      </c>
      <c r="HZ15" s="43">
        <v>8</v>
      </c>
      <c r="IA15" s="43">
        <v>8</v>
      </c>
      <c r="IB15" s="43">
        <v>8</v>
      </c>
      <c r="IC15" s="43">
        <v>8</v>
      </c>
      <c r="ID15" s="43">
        <v>8</v>
      </c>
      <c r="IE15" s="43">
        <v>8</v>
      </c>
      <c r="IF15" s="43">
        <v>8</v>
      </c>
      <c r="IG15" s="43">
        <v>8</v>
      </c>
      <c r="IH15" s="43">
        <v>8</v>
      </c>
      <c r="II15" s="43">
        <v>8</v>
      </c>
      <c r="IJ15" s="43">
        <v>8</v>
      </c>
      <c r="IK15" s="43">
        <v>8</v>
      </c>
      <c r="IL15" s="43">
        <v>8</v>
      </c>
      <c r="IM15" s="43">
        <v>8</v>
      </c>
      <c r="IN15" s="43">
        <v>8</v>
      </c>
      <c r="IO15" s="43">
        <v>8</v>
      </c>
      <c r="IP15" s="43">
        <v>8</v>
      </c>
      <c r="IQ15" s="43">
        <v>8</v>
      </c>
      <c r="IR15" s="43">
        <v>8</v>
      </c>
      <c r="IS15" s="43">
        <v>8</v>
      </c>
      <c r="IT15" s="43">
        <v>8</v>
      </c>
      <c r="IU15" s="43">
        <v>8</v>
      </c>
      <c r="IV15" s="43">
        <v>8</v>
      </c>
      <c r="IW15" s="43">
        <v>23</v>
      </c>
    </row>
  </sheetData>
  <sheetProtection formatColumns="0" formatRows="0" insertRows="0" deleteColumns="0" deleteRows="0" sort="0" autoFilter="0"/>
  <mergeCells count="10">
    <mergeCell ref="E5:K5"/>
    <mergeCell ref="E7:K7"/>
    <mergeCell ref="G8:I8"/>
    <mergeCell ref="A10:A11"/>
    <mergeCell ref="E8:E9"/>
    <mergeCell ref="F8:F9"/>
    <mergeCell ref="J8:J9"/>
    <mergeCell ref="K8:K9"/>
    <mergeCell ref="L7:L9"/>
    <mergeCell ref="L10:L11"/>
  </mergeCells>
  <dataValidations count="5">
    <dataValidation type="time" operator="between" allowBlank="1" showInputMessage="1" showErrorMessage="1" prompt="Укажите время в формате ЧЧ:ММ" sqref="H2 H10">
      <formula1>0</formula1>
      <formula2>0.999305555555555</formula2>
    </dataValidation>
    <dataValidation type="textLength" operator="lessThanOrEqual" allowBlank="1" showInputMessage="1" showErrorMessage="1" sqref="I2 I10">
      <formula1>990</formula1>
    </dataValidation>
    <dataValidation type="textLength" operator="between"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0 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s>
  <pageMargins left="0.7" right="0.7" top="0.75" bottom="0.75" header="0.3" footer="0.3"/>
  <pageSetup paperSize="1"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15"/>
  <sheetViews>
    <sheetView showGridLines="0" zoomScale="90" zoomScaleNormal="90" workbookViewId="0">
      <pane xSplit="6" ySplit="9" topLeftCell="G10"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3" hidden="1"/>
    <col min="2" max="2" width="9.14285714285714" style="38" hidden="1"/>
    <col min="3" max="3" width="3.71428571428571" style="43" hidden="1" customWidth="1"/>
    <col min="4" max="4" width="3" style="217" customWidth="1"/>
    <col min="5" max="5" width="6" style="43" customWidth="1"/>
    <col min="6" max="6" width="27" style="43" customWidth="1"/>
    <col min="7" max="7" width="16" style="43" customWidth="1"/>
    <col min="8" max="8" width="12" style="43" customWidth="1"/>
    <col min="9" max="9" width="32" style="43" customWidth="1"/>
    <col min="10" max="11" width="41" style="43" customWidth="1"/>
    <col min="12" max="12" width="89" style="43" customWidth="1"/>
    <col min="13" max="13" width="3" style="151" customWidth="1"/>
    <col min="14" max="16" width="8" style="151" customWidth="1"/>
    <col min="17" max="17" width="25" style="151" customWidth="1"/>
    <col min="18" max="18" width="14" style="151" customWidth="1"/>
    <col min="19" max="22" width="8" style="267" customWidth="1"/>
    <col min="23" max="256" width="8" style="43" customWidth="1"/>
    <col min="257" max="257" width="9.14285714285714" style="43" hidden="1"/>
  </cols>
  <sheetData>
    <row r="1" ht="22.5" hidden="1" customHeight="1" spans="257:257">
      <c r="IW1" s="43" t="s">
        <v>14</v>
      </c>
    </row>
    <row r="2" customFormat="1" ht="22.5" hidden="1" customHeight="1" spans="1:257">
      <c r="A2" s="589"/>
      <c r="B2" s="38">
        <v>1</v>
      </c>
      <c r="C2" s="38"/>
      <c r="D2" s="586" t="s">
        <v>683</v>
      </c>
      <c r="E2" s="64"/>
      <c r="F2" s="60" t="str">
        <f>IF(ROIV_INFO_NAME="","",ROIV_INFO_NAME)</f>
        <v>АО "Теплокоммунэнерго"</v>
      </c>
      <c r="G2" s="255" t="s">
        <v>22</v>
      </c>
      <c r="H2" s="620"/>
      <c r="I2" s="627"/>
      <c r="J2" s="628"/>
      <c r="K2" s="628"/>
      <c r="L2" s="629"/>
      <c r="M2" s="605" t="e">
        <f>MERGEVALUE(F2)</f>
        <v>#NAME?</v>
      </c>
      <c r="N2" s="44"/>
      <c r="O2" s="44"/>
      <c r="P2" s="151" t="str">
        <f t="array" ref="P2">IF(ISERROR(MATCH(MID(Q2,1,250),MID(note_ter,1,250),0)),"n","y")</f>
        <v>n</v>
      </c>
      <c r="Q2" s="44"/>
      <c r="R2" s="151" t="str">
        <f>G2&amp;"("&amp;L2&amp;")"</f>
        <v>()</v>
      </c>
      <c r="S2" s="38"/>
      <c r="T2" s="38"/>
      <c r="U2" s="288"/>
      <c r="V2" s="38"/>
      <c r="W2" s="38"/>
      <c r="X2" s="38"/>
      <c r="Y2" s="264"/>
      <c r="Z2" s="264"/>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264"/>
      <c r="BW2" s="264"/>
      <c r="BX2" s="264"/>
      <c r="BY2" s="264"/>
      <c r="BZ2" s="264"/>
      <c r="CA2" s="264"/>
      <c r="CB2" s="264"/>
      <c r="CC2" s="264"/>
      <c r="CD2" s="264"/>
      <c r="CE2" s="264"/>
      <c r="IW2">
        <v>0</v>
      </c>
    </row>
    <row r="3" s="44" customFormat="1" ht="5.25" hidden="1" customHeight="1" spans="1:257">
      <c r="A3" s="37"/>
      <c r="D3" s="93"/>
      <c r="F3" s="590" t="s">
        <v>84</v>
      </c>
      <c r="G3" s="621" t="s">
        <v>85</v>
      </c>
      <c r="H3" s="93"/>
      <c r="I3" s="93"/>
      <c r="J3" s="93"/>
      <c r="K3" s="93"/>
      <c r="L3" s="630" t="s">
        <v>86</v>
      </c>
      <c r="M3" s="590" t="s">
        <v>84</v>
      </c>
      <c r="N3" s="590"/>
      <c r="O3" s="590"/>
      <c r="P3" s="590"/>
      <c r="Q3" s="590"/>
      <c r="R3" s="590"/>
      <c r="S3" s="590"/>
      <c r="T3" s="590"/>
      <c r="U3" s="590"/>
      <c r="V3" s="590"/>
      <c r="W3" s="630"/>
      <c r="X3" s="630"/>
      <c r="Y3" s="630"/>
      <c r="Z3" s="630"/>
      <c r="AA3" s="630"/>
      <c r="AB3" s="630"/>
      <c r="AC3" s="630"/>
      <c r="AD3" s="630"/>
      <c r="AE3" s="630"/>
      <c r="AF3" s="630"/>
      <c r="AG3" s="630"/>
      <c r="AH3" s="630"/>
      <c r="AI3" s="630"/>
      <c r="AJ3" s="630"/>
      <c r="AK3" s="630"/>
      <c r="AL3" s="630"/>
      <c r="AM3" s="630"/>
      <c r="AN3" s="630"/>
      <c r="AO3" s="630"/>
      <c r="AP3" s="630"/>
      <c r="AQ3" s="630"/>
      <c r="AR3" s="630"/>
      <c r="AS3" s="630"/>
      <c r="AT3" s="630"/>
      <c r="AU3" s="630"/>
      <c r="AV3" s="630"/>
      <c r="AW3" s="630"/>
      <c r="AX3" s="630"/>
      <c r="AY3" s="630"/>
      <c r="AZ3" s="630"/>
      <c r="BA3" s="630"/>
      <c r="BB3" s="630"/>
      <c r="BC3" s="630"/>
      <c r="BD3" s="630"/>
      <c r="BE3" s="630"/>
      <c r="BF3" s="630"/>
      <c r="BG3" s="630"/>
      <c r="BH3" s="630"/>
      <c r="BI3" s="630"/>
      <c r="BJ3" s="630"/>
      <c r="BK3" s="630"/>
      <c r="BL3" s="630"/>
      <c r="BM3" s="630"/>
      <c r="BN3" s="630"/>
      <c r="BO3" s="630"/>
      <c r="BP3" s="630"/>
      <c r="BQ3" s="630"/>
      <c r="BR3" s="630"/>
      <c r="BS3" s="630"/>
      <c r="BT3" s="630"/>
      <c r="BU3" s="630"/>
      <c r="BV3" s="630"/>
      <c r="BW3" s="630"/>
      <c r="BX3" s="630"/>
      <c r="BY3" s="630"/>
      <c r="BZ3" s="630"/>
      <c r="CA3" s="630"/>
      <c r="CB3" s="630"/>
      <c r="CC3" s="630"/>
      <c r="CD3" s="630"/>
      <c r="CE3" s="630"/>
      <c r="CF3" s="630"/>
      <c r="CG3" s="630"/>
      <c r="CH3" s="630"/>
      <c r="CI3" s="630"/>
      <c r="CJ3" s="630"/>
      <c r="CK3" s="630"/>
      <c r="CL3" s="630"/>
      <c r="CM3" s="630"/>
      <c r="CN3" s="630"/>
      <c r="CO3" s="630"/>
      <c r="CP3" s="630"/>
      <c r="CQ3" s="630"/>
      <c r="CR3" s="630"/>
      <c r="CS3" s="630"/>
      <c r="CT3" s="630"/>
      <c r="CU3" s="630"/>
      <c r="CV3" s="630"/>
      <c r="CW3" s="630"/>
      <c r="CX3" s="630"/>
      <c r="CY3" s="630"/>
      <c r="CZ3" s="630"/>
      <c r="DA3" s="630"/>
      <c r="DB3" s="630"/>
      <c r="DC3" s="630"/>
      <c r="DD3" s="630"/>
      <c r="DE3" s="630"/>
      <c r="DF3" s="630"/>
      <c r="DG3" s="630"/>
      <c r="DH3" s="630"/>
      <c r="DI3" s="630"/>
      <c r="DJ3" s="630"/>
      <c r="DK3" s="630"/>
      <c r="DL3" s="630"/>
      <c r="DM3" s="630"/>
      <c r="DN3" s="630"/>
      <c r="DO3" s="630"/>
      <c r="DP3" s="630"/>
      <c r="DQ3" s="630"/>
      <c r="DR3" s="630"/>
      <c r="DS3" s="630"/>
      <c r="DT3" s="630"/>
      <c r="DU3" s="630"/>
      <c r="DV3" s="630"/>
      <c r="DW3" s="630"/>
      <c r="DX3" s="630"/>
      <c r="DY3" s="630"/>
      <c r="DZ3" s="630"/>
      <c r="EA3" s="630"/>
      <c r="EB3" s="630"/>
      <c r="EC3" s="630"/>
      <c r="ED3" s="630"/>
      <c r="EE3" s="630"/>
      <c r="EF3" s="630"/>
      <c r="EG3" s="630"/>
      <c r="EH3" s="630"/>
      <c r="EI3" s="630"/>
      <c r="EJ3" s="630"/>
      <c r="EK3" s="630"/>
      <c r="EL3" s="630"/>
      <c r="EM3" s="630"/>
      <c r="EN3" s="630"/>
      <c r="EO3" s="630"/>
      <c r="EP3" s="630"/>
      <c r="EQ3" s="630"/>
      <c r="ER3" s="630"/>
      <c r="ES3" s="630"/>
      <c r="ET3" s="630"/>
      <c r="EU3" s="630"/>
      <c r="EV3" s="630"/>
      <c r="EW3" s="630"/>
      <c r="EX3" s="630"/>
      <c r="EY3" s="630"/>
      <c r="EZ3" s="630"/>
      <c r="FA3" s="630"/>
      <c r="FB3" s="630"/>
      <c r="FC3" s="630"/>
      <c r="FD3" s="630"/>
      <c r="FE3" s="630"/>
      <c r="FF3" s="630"/>
      <c r="FG3" s="630"/>
      <c r="FH3" s="630"/>
      <c r="FI3" s="630"/>
      <c r="FJ3" s="630"/>
      <c r="FK3" s="630"/>
      <c r="FL3" s="630"/>
      <c r="FM3" s="630"/>
      <c r="FN3" s="630"/>
      <c r="FO3" s="630"/>
      <c r="FP3" s="630"/>
      <c r="FQ3" s="630"/>
      <c r="FR3" s="630"/>
      <c r="FS3" s="630"/>
      <c r="FT3" s="630"/>
      <c r="FU3" s="630"/>
      <c r="FV3" s="630"/>
      <c r="FW3" s="630"/>
      <c r="FX3" s="630"/>
      <c r="FY3" s="630"/>
      <c r="FZ3" s="630"/>
      <c r="GA3" s="630"/>
      <c r="GB3" s="630"/>
      <c r="GC3" s="630"/>
      <c r="GD3" s="630"/>
      <c r="GE3" s="630"/>
      <c r="GF3" s="630"/>
      <c r="GG3" s="630"/>
      <c r="GH3" s="630"/>
      <c r="GI3" s="630"/>
      <c r="GJ3" s="630"/>
      <c r="GK3" s="630"/>
      <c r="GL3" s="630"/>
      <c r="GM3" s="630"/>
      <c r="GN3" s="630"/>
      <c r="GO3" s="630"/>
      <c r="GP3" s="630"/>
      <c r="GQ3" s="630"/>
      <c r="GR3" s="630"/>
      <c r="GS3" s="630"/>
      <c r="GT3" s="630"/>
      <c r="GU3" s="630"/>
      <c r="GV3" s="630"/>
      <c r="GW3" s="630"/>
      <c r="GX3" s="630"/>
      <c r="GY3" s="630"/>
      <c r="GZ3" s="630"/>
      <c r="HA3" s="630"/>
      <c r="HB3" s="630"/>
      <c r="HC3" s="630"/>
      <c r="HD3" s="630"/>
      <c r="HE3" s="630"/>
      <c r="HF3" s="630"/>
      <c r="HG3" s="630"/>
      <c r="HH3" s="630"/>
      <c r="HI3" s="630"/>
      <c r="HJ3" s="630"/>
      <c r="HK3" s="630"/>
      <c r="HL3" s="630"/>
      <c r="HM3" s="630"/>
      <c r="HN3" s="630"/>
      <c r="HO3" s="630"/>
      <c r="HP3" s="630"/>
      <c r="HQ3" s="630"/>
      <c r="HR3" s="630"/>
      <c r="HS3" s="630"/>
      <c r="HT3" s="630"/>
      <c r="HU3" s="630"/>
      <c r="HV3" s="630"/>
      <c r="HW3" s="630"/>
      <c r="HX3" s="630"/>
      <c r="HY3" s="630"/>
      <c r="HZ3" s="630"/>
      <c r="IA3" s="630"/>
      <c r="IB3" s="630"/>
      <c r="IC3" s="630"/>
      <c r="ID3" s="630"/>
      <c r="IE3" s="630"/>
      <c r="IF3" s="630"/>
      <c r="IG3" s="630"/>
      <c r="IH3" s="630"/>
      <c r="II3" s="630"/>
      <c r="IJ3" s="630"/>
      <c r="IK3" s="630"/>
      <c r="IL3" s="630"/>
      <c r="IM3" s="630"/>
      <c r="IN3" s="630"/>
      <c r="IO3" s="630"/>
      <c r="IP3" s="630"/>
      <c r="IQ3" s="630"/>
      <c r="IR3" s="630"/>
      <c r="IS3" s="630"/>
      <c r="IT3" s="630"/>
      <c r="IU3" s="630"/>
      <c r="IV3" s="630"/>
      <c r="IW3" s="44">
        <v>0</v>
      </c>
    </row>
    <row r="4" s="206" customFormat="1" ht="14.7" customHeight="1" spans="1:257">
      <c r="A4" s="43"/>
      <c r="B4" s="38"/>
      <c r="C4" s="43"/>
      <c r="D4" s="217"/>
      <c r="E4" s="43"/>
      <c r="F4" s="43"/>
      <c r="G4" s="43"/>
      <c r="H4" s="43"/>
      <c r="I4" s="43"/>
      <c r="J4" s="43"/>
      <c r="K4" s="43"/>
      <c r="L4" s="61"/>
      <c r="M4" s="590"/>
      <c r="N4" s="151"/>
      <c r="O4" s="151"/>
      <c r="P4" s="151"/>
      <c r="Q4" s="151"/>
      <c r="R4" s="151"/>
      <c r="S4" s="267"/>
      <c r="T4" s="267"/>
      <c r="U4" s="267"/>
      <c r="V4" s="267"/>
      <c r="IW4" s="206">
        <v>14</v>
      </c>
    </row>
    <row r="5" s="206" customFormat="1" ht="27.3" customHeight="1" spans="1:257">
      <c r="A5" s="43"/>
      <c r="B5" s="38"/>
      <c r="C5" s="43"/>
      <c r="D5" s="217"/>
      <c r="E5" s="56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565"/>
      <c r="G5" s="565"/>
      <c r="H5" s="565"/>
      <c r="I5" s="565"/>
      <c r="J5" s="565"/>
      <c r="K5" s="565"/>
      <c r="L5" s="43"/>
      <c r="M5" s="590"/>
      <c r="N5" s="151"/>
      <c r="O5" s="151"/>
      <c r="P5" s="151"/>
      <c r="Q5" s="151"/>
      <c r="R5" s="151"/>
      <c r="S5" s="267"/>
      <c r="T5" s="267"/>
      <c r="U5" s="267"/>
      <c r="V5" s="267"/>
      <c r="IW5" s="206">
        <v>26</v>
      </c>
    </row>
    <row r="6" s="206" customFormat="1" ht="14.7" customHeight="1" spans="1:257">
      <c r="A6" s="43"/>
      <c r="B6" s="38"/>
      <c r="C6" s="43"/>
      <c r="D6" s="217"/>
      <c r="E6" s="43"/>
      <c r="F6" s="594"/>
      <c r="G6" s="594"/>
      <c r="H6" s="594"/>
      <c r="I6" s="594"/>
      <c r="J6" s="594"/>
      <c r="K6" s="594"/>
      <c r="L6" s="589"/>
      <c r="M6" s="151"/>
      <c r="N6" s="151"/>
      <c r="O6" s="151"/>
      <c r="P6" s="151"/>
      <c r="Q6" s="151"/>
      <c r="R6" s="151"/>
      <c r="S6" s="267"/>
      <c r="T6" s="267"/>
      <c r="U6" s="267"/>
      <c r="V6" s="267"/>
      <c r="IW6" s="206">
        <v>14</v>
      </c>
    </row>
    <row r="7" s="206" customFormat="1" ht="14.7" customHeight="1" spans="1:257">
      <c r="A7" s="43"/>
      <c r="B7" s="38"/>
      <c r="C7" s="43"/>
      <c r="D7" s="217"/>
      <c r="E7" s="126" t="s">
        <v>296</v>
      </c>
      <c r="F7" s="128"/>
      <c r="G7" s="128"/>
      <c r="H7" s="128"/>
      <c r="I7" s="128"/>
      <c r="J7" s="128"/>
      <c r="K7" s="128"/>
      <c r="L7" s="631" t="s">
        <v>297</v>
      </c>
      <c r="M7" s="151"/>
      <c r="N7" s="151"/>
      <c r="O7" s="151"/>
      <c r="P7" s="151"/>
      <c r="Q7" s="151"/>
      <c r="R7" s="151"/>
      <c r="S7" s="267"/>
      <c r="T7" s="267"/>
      <c r="U7" s="267"/>
      <c r="V7" s="267"/>
      <c r="IW7" s="206">
        <v>14</v>
      </c>
    </row>
    <row r="8" s="206" customFormat="1" ht="67.2" customHeight="1" spans="1:257">
      <c r="A8" s="43"/>
      <c r="B8" s="38"/>
      <c r="C8" s="43"/>
      <c r="D8" s="217"/>
      <c r="E8" s="597" t="s">
        <v>89</v>
      </c>
      <c r="F8" s="597" t="s">
        <v>2051</v>
      </c>
      <c r="G8" s="612" t="s">
        <v>2052</v>
      </c>
      <c r="H8" s="622"/>
      <c r="I8" s="632"/>
      <c r="J8" s="597" t="s">
        <v>2053</v>
      </c>
      <c r="K8" s="5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633"/>
      <c r="M8" s="151"/>
      <c r="N8" s="151"/>
      <c r="O8" s="151"/>
      <c r="P8" s="151"/>
      <c r="Q8" s="151"/>
      <c r="R8" s="151"/>
      <c r="S8" s="267"/>
      <c r="T8" s="267"/>
      <c r="U8" s="267"/>
      <c r="V8" s="267"/>
      <c r="IW8" s="206">
        <v>64</v>
      </c>
    </row>
    <row r="9" s="206" customFormat="1" ht="29.25" customHeight="1" spans="1:257">
      <c r="A9" s="43"/>
      <c r="B9" s="38"/>
      <c r="C9" s="43"/>
      <c r="D9" s="217"/>
      <c r="E9" s="614"/>
      <c r="F9" s="614"/>
      <c r="G9" s="614" t="s">
        <v>2047</v>
      </c>
      <c r="H9" s="614" t="s">
        <v>2048</v>
      </c>
      <c r="I9" s="614" t="s">
        <v>2049</v>
      </c>
      <c r="J9" s="614"/>
      <c r="K9" s="614"/>
      <c r="L9" s="634"/>
      <c r="M9" s="151"/>
      <c r="N9" s="151"/>
      <c r="O9" s="151"/>
      <c r="P9" s="151"/>
      <c r="Q9" s="151"/>
      <c r="R9" s="151"/>
      <c r="S9" s="267"/>
      <c r="T9" s="267"/>
      <c r="U9" s="267"/>
      <c r="V9" s="267"/>
      <c r="IW9" s="206">
        <v>28</v>
      </c>
    </row>
    <row r="10" customFormat="1" ht="1.05" customHeight="1" spans="1:257">
      <c r="A10" s="86"/>
      <c r="B10" s="38">
        <v>1</v>
      </c>
      <c r="C10" s="38"/>
      <c r="D10" s="221"/>
      <c r="E10" s="623">
        <v>0</v>
      </c>
      <c r="F10" s="624" t="str">
        <f>IF(ROIV_INFO_NAME="","",ROIV_INFO_NAME)</f>
        <v>АО "Теплокоммунэнерго"</v>
      </c>
      <c r="G10" s="625" t="s">
        <v>22</v>
      </c>
      <c r="H10" s="626"/>
      <c r="I10" s="626"/>
      <c r="J10" s="635"/>
      <c r="K10" s="635"/>
      <c r="L10" s="6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605" t="e">
        <f>MERGEVALUE(F10)</f>
        <v>#NAME?</v>
      </c>
      <c r="N10" s="44"/>
      <c r="O10" s="44"/>
      <c r="P10" s="151" t="str">
        <f t="array" ref="P10">IF(ISERROR(MATCH(MID(Q10,1,250),MID(note_ter,1,250),0)),"n","y")</f>
        <v>n</v>
      </c>
      <c r="Q10" s="44"/>
      <c r="R10" s="1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38"/>
      <c r="T10" s="38"/>
      <c r="U10" s="288"/>
      <c r="V10" s="38"/>
      <c r="W10" s="38"/>
      <c r="X10" s="38"/>
      <c r="Y10" s="264"/>
      <c r="Z10" s="264"/>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264"/>
      <c r="BW10" s="264"/>
      <c r="BX10" s="264"/>
      <c r="BY10" s="264"/>
      <c r="BZ10" s="264"/>
      <c r="CA10" s="264"/>
      <c r="CB10" s="264"/>
      <c r="CC10" s="264"/>
      <c r="CD10" s="264"/>
      <c r="CE10" s="264"/>
      <c r="IW10">
        <v>1</v>
      </c>
    </row>
    <row r="11" customFormat="1" ht="15.75" customHeight="1" spans="1:257">
      <c r="A11" s="86"/>
      <c r="B11" s="38"/>
      <c r="C11" s="224"/>
      <c r="D11" s="216"/>
      <c r="E11" s="225"/>
      <c r="F11" s="332" t="s">
        <v>2050</v>
      </c>
      <c r="G11" s="228"/>
      <c r="H11" s="228"/>
      <c r="I11" s="228"/>
      <c r="J11" s="228"/>
      <c r="K11" s="269"/>
      <c r="L11" s="637"/>
      <c r="M11" s="619"/>
      <c r="N11" s="44"/>
      <c r="O11" s="44"/>
      <c r="P11" s="44"/>
      <c r="Q11" s="151"/>
      <c r="R11" s="44"/>
      <c r="S11" s="38"/>
      <c r="T11" s="38"/>
      <c r="U11" s="288"/>
      <c r="V11" s="38"/>
      <c r="W11" s="38"/>
      <c r="X11" s="38"/>
      <c r="Y11" s="264"/>
      <c r="Z11" s="264"/>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264"/>
      <c r="BW11" s="264"/>
      <c r="BX11" s="264"/>
      <c r="BY11" s="264"/>
      <c r="BZ11" s="264"/>
      <c r="CA11" s="264"/>
      <c r="CB11" s="264"/>
      <c r="CC11" s="264"/>
      <c r="CD11" s="264"/>
      <c r="CE11" s="264"/>
      <c r="IW11">
        <v>15</v>
      </c>
    </row>
    <row r="12" s="206" customFormat="1" ht="22.05" customHeight="1" spans="1:257">
      <c r="A12" s="43"/>
      <c r="B12" s="38"/>
      <c r="C12" s="43"/>
      <c r="D12" s="217"/>
      <c r="E12" s="603"/>
      <c r="F12" s="603"/>
      <c r="G12" s="603"/>
      <c r="H12" s="603"/>
      <c r="I12" s="603"/>
      <c r="J12" s="603"/>
      <c r="K12" s="603"/>
      <c r="L12" s="603"/>
      <c r="M12" s="151"/>
      <c r="N12" s="151"/>
      <c r="O12" s="151"/>
      <c r="P12" s="151"/>
      <c r="Q12" s="151"/>
      <c r="R12" s="151"/>
      <c r="S12" s="267"/>
      <c r="T12" s="267"/>
      <c r="U12" s="267"/>
      <c r="V12" s="267"/>
      <c r="IW12" s="206">
        <v>21</v>
      </c>
    </row>
    <row r="13" s="206" customFormat="1" ht="14.7" customHeight="1" spans="1:257">
      <c r="A13" s="43"/>
      <c r="B13" s="38"/>
      <c r="C13" s="43"/>
      <c r="D13" s="217"/>
      <c r="E13" s="43"/>
      <c r="F13" s="43"/>
      <c r="G13" s="43"/>
      <c r="H13" s="43"/>
      <c r="I13" s="43"/>
      <c r="J13" s="43"/>
      <c r="K13" s="43"/>
      <c r="L13" s="43"/>
      <c r="M13" s="151"/>
      <c r="N13" s="151"/>
      <c r="O13" s="151"/>
      <c r="P13" s="151"/>
      <c r="Q13" s="151"/>
      <c r="R13" s="151"/>
      <c r="S13" s="267"/>
      <c r="T13" s="267"/>
      <c r="U13" s="267"/>
      <c r="V13" s="267"/>
      <c r="IW13" s="206">
        <v>14</v>
      </c>
    </row>
    <row r="14" s="206" customFormat="1" ht="1.05" customHeight="1" spans="1:257">
      <c r="A14" s="43"/>
      <c r="B14" s="38"/>
      <c r="C14" s="43"/>
      <c r="D14" s="217"/>
      <c r="E14" s="43"/>
      <c r="F14" s="43"/>
      <c r="G14" s="43"/>
      <c r="H14" s="43"/>
      <c r="I14" s="43"/>
      <c r="J14" s="43"/>
      <c r="K14" s="43"/>
      <c r="L14" s="43"/>
      <c r="M14" s="151"/>
      <c r="N14" s="151"/>
      <c r="O14" s="151"/>
      <c r="P14" s="151"/>
      <c r="Q14" s="151"/>
      <c r="R14" s="151"/>
      <c r="S14" s="267"/>
      <c r="T14" s="267"/>
      <c r="U14" s="267"/>
      <c r="V14" s="267"/>
      <c r="IW14" s="206">
        <v>1</v>
      </c>
    </row>
    <row r="15" ht="22.5" hidden="1" customHeight="1" spans="1:257">
      <c r="A15" s="43" t="s">
        <v>83</v>
      </c>
      <c r="B15" s="38">
        <v>0</v>
      </c>
      <c r="C15" s="43">
        <v>0</v>
      </c>
      <c r="D15" s="217">
        <v>3</v>
      </c>
      <c r="E15" s="43">
        <v>6</v>
      </c>
      <c r="F15" s="43">
        <v>27</v>
      </c>
      <c r="G15" s="43">
        <v>16</v>
      </c>
      <c r="H15" s="43">
        <v>12</v>
      </c>
      <c r="I15" s="43">
        <v>32</v>
      </c>
      <c r="J15" s="43">
        <v>41</v>
      </c>
      <c r="K15" s="43">
        <v>41</v>
      </c>
      <c r="L15" s="43">
        <v>89</v>
      </c>
      <c r="M15" s="151">
        <v>3</v>
      </c>
      <c r="N15" s="151">
        <v>8</v>
      </c>
      <c r="O15" s="151">
        <v>8</v>
      </c>
      <c r="P15" s="151">
        <v>8</v>
      </c>
      <c r="Q15" s="151">
        <v>25</v>
      </c>
      <c r="R15" s="151">
        <v>14</v>
      </c>
      <c r="S15" s="267">
        <v>8</v>
      </c>
      <c r="T15" s="267">
        <v>8</v>
      </c>
      <c r="U15" s="267">
        <v>8</v>
      </c>
      <c r="V15" s="267">
        <v>8</v>
      </c>
      <c r="W15" s="43">
        <v>8</v>
      </c>
      <c r="X15" s="43">
        <v>8</v>
      </c>
      <c r="Y15" s="43">
        <v>8</v>
      </c>
      <c r="Z15" s="43">
        <v>8</v>
      </c>
      <c r="AA15" s="43">
        <v>8</v>
      </c>
      <c r="AB15" s="43">
        <v>8</v>
      </c>
      <c r="AC15" s="43">
        <v>8</v>
      </c>
      <c r="AD15" s="43">
        <v>8</v>
      </c>
      <c r="AE15" s="43">
        <v>8</v>
      </c>
      <c r="AF15" s="43">
        <v>8</v>
      </c>
      <c r="AG15" s="43">
        <v>8</v>
      </c>
      <c r="AH15" s="43">
        <v>8</v>
      </c>
      <c r="AI15" s="43">
        <v>8</v>
      </c>
      <c r="AJ15" s="43">
        <v>8</v>
      </c>
      <c r="AK15" s="43">
        <v>8</v>
      </c>
      <c r="AL15" s="43">
        <v>8</v>
      </c>
      <c r="AM15" s="43">
        <v>8</v>
      </c>
      <c r="AN15" s="43">
        <v>8</v>
      </c>
      <c r="AO15" s="43">
        <v>8</v>
      </c>
      <c r="AP15" s="43">
        <v>8</v>
      </c>
      <c r="AQ15" s="43">
        <v>8</v>
      </c>
      <c r="AR15" s="43">
        <v>8</v>
      </c>
      <c r="AS15" s="43">
        <v>8</v>
      </c>
      <c r="AT15" s="43">
        <v>8</v>
      </c>
      <c r="AU15" s="43">
        <v>8</v>
      </c>
      <c r="AV15" s="43">
        <v>8</v>
      </c>
      <c r="AW15" s="43">
        <v>8</v>
      </c>
      <c r="AX15" s="43">
        <v>8</v>
      </c>
      <c r="AY15" s="43">
        <v>8</v>
      </c>
      <c r="AZ15" s="43">
        <v>8</v>
      </c>
      <c r="BA15" s="43">
        <v>8</v>
      </c>
      <c r="BB15" s="43">
        <v>8</v>
      </c>
      <c r="BC15" s="43">
        <v>8</v>
      </c>
      <c r="BD15" s="43">
        <v>8</v>
      </c>
      <c r="BE15" s="43">
        <v>8</v>
      </c>
      <c r="BF15" s="43">
        <v>8</v>
      </c>
      <c r="BG15" s="43">
        <v>8</v>
      </c>
      <c r="BH15" s="43">
        <v>8</v>
      </c>
      <c r="BI15" s="43">
        <v>8</v>
      </c>
      <c r="BJ15" s="43">
        <v>8</v>
      </c>
      <c r="BK15" s="43">
        <v>8</v>
      </c>
      <c r="BL15" s="43">
        <v>8</v>
      </c>
      <c r="BM15" s="43">
        <v>8</v>
      </c>
      <c r="BN15" s="43">
        <v>8</v>
      </c>
      <c r="BO15" s="43">
        <v>8</v>
      </c>
      <c r="BP15" s="43">
        <v>8</v>
      </c>
      <c r="BQ15" s="43">
        <v>8</v>
      </c>
      <c r="BR15" s="43">
        <v>8</v>
      </c>
      <c r="BS15" s="43">
        <v>8</v>
      </c>
      <c r="BT15" s="43">
        <v>8</v>
      </c>
      <c r="BU15" s="43">
        <v>8</v>
      </c>
      <c r="BV15" s="43">
        <v>8</v>
      </c>
      <c r="BW15" s="43">
        <v>8</v>
      </c>
      <c r="BX15" s="43">
        <v>8</v>
      </c>
      <c r="BY15" s="43">
        <v>8</v>
      </c>
      <c r="BZ15" s="43">
        <v>8</v>
      </c>
      <c r="CA15" s="43">
        <v>8</v>
      </c>
      <c r="CB15" s="43">
        <v>8</v>
      </c>
      <c r="CC15" s="43">
        <v>8</v>
      </c>
      <c r="CD15" s="43">
        <v>8</v>
      </c>
      <c r="CE15" s="43">
        <v>8</v>
      </c>
      <c r="CF15" s="43">
        <v>8</v>
      </c>
      <c r="CG15" s="43">
        <v>8</v>
      </c>
      <c r="CH15" s="43">
        <v>8</v>
      </c>
      <c r="CI15" s="43">
        <v>8</v>
      </c>
      <c r="CJ15" s="43">
        <v>8</v>
      </c>
      <c r="CK15" s="43">
        <v>8</v>
      </c>
      <c r="CL15" s="43">
        <v>8</v>
      </c>
      <c r="CM15" s="43">
        <v>8</v>
      </c>
      <c r="CN15" s="43">
        <v>8</v>
      </c>
      <c r="CO15" s="43">
        <v>8</v>
      </c>
      <c r="CP15" s="43">
        <v>8</v>
      </c>
      <c r="CQ15" s="43">
        <v>8</v>
      </c>
      <c r="CR15" s="43">
        <v>8</v>
      </c>
      <c r="CS15" s="43">
        <v>8</v>
      </c>
      <c r="CT15" s="43">
        <v>8</v>
      </c>
      <c r="CU15" s="43">
        <v>8</v>
      </c>
      <c r="CV15" s="43">
        <v>8</v>
      </c>
      <c r="CW15" s="43">
        <v>8</v>
      </c>
      <c r="CX15" s="43">
        <v>8</v>
      </c>
      <c r="CY15" s="43">
        <v>8</v>
      </c>
      <c r="CZ15" s="43">
        <v>8</v>
      </c>
      <c r="DA15" s="43">
        <v>8</v>
      </c>
      <c r="DB15" s="43">
        <v>8</v>
      </c>
      <c r="DC15" s="43">
        <v>8</v>
      </c>
      <c r="DD15" s="43">
        <v>8</v>
      </c>
      <c r="DE15" s="43">
        <v>8</v>
      </c>
      <c r="DF15" s="43">
        <v>8</v>
      </c>
      <c r="DG15" s="43">
        <v>8</v>
      </c>
      <c r="DH15" s="43">
        <v>8</v>
      </c>
      <c r="DI15" s="43">
        <v>8</v>
      </c>
      <c r="DJ15" s="43">
        <v>8</v>
      </c>
      <c r="DK15" s="43">
        <v>8</v>
      </c>
      <c r="DL15" s="43">
        <v>8</v>
      </c>
      <c r="DM15" s="43">
        <v>8</v>
      </c>
      <c r="DN15" s="43">
        <v>8</v>
      </c>
      <c r="DO15" s="43">
        <v>8</v>
      </c>
      <c r="DP15" s="43">
        <v>8</v>
      </c>
      <c r="DQ15" s="43">
        <v>8</v>
      </c>
      <c r="DR15" s="43">
        <v>8</v>
      </c>
      <c r="DS15" s="43">
        <v>8</v>
      </c>
      <c r="DT15" s="43">
        <v>8</v>
      </c>
      <c r="DU15" s="43">
        <v>8</v>
      </c>
      <c r="DV15" s="43">
        <v>8</v>
      </c>
      <c r="DW15" s="43">
        <v>8</v>
      </c>
      <c r="DX15" s="43">
        <v>8</v>
      </c>
      <c r="DY15" s="43">
        <v>8</v>
      </c>
      <c r="DZ15" s="43">
        <v>8</v>
      </c>
      <c r="EA15" s="43">
        <v>8</v>
      </c>
      <c r="EB15" s="43">
        <v>8</v>
      </c>
      <c r="EC15" s="43">
        <v>8</v>
      </c>
      <c r="ED15" s="43">
        <v>8</v>
      </c>
      <c r="EE15" s="43">
        <v>8</v>
      </c>
      <c r="EF15" s="43">
        <v>8</v>
      </c>
      <c r="EG15" s="43">
        <v>8</v>
      </c>
      <c r="EH15" s="43">
        <v>8</v>
      </c>
      <c r="EI15" s="43">
        <v>8</v>
      </c>
      <c r="EJ15" s="43">
        <v>8</v>
      </c>
      <c r="EK15" s="43">
        <v>8</v>
      </c>
      <c r="EL15" s="43">
        <v>8</v>
      </c>
      <c r="EM15" s="43">
        <v>8</v>
      </c>
      <c r="EN15" s="43">
        <v>8</v>
      </c>
      <c r="EO15" s="43">
        <v>8</v>
      </c>
      <c r="EP15" s="43">
        <v>8</v>
      </c>
      <c r="EQ15" s="43">
        <v>8</v>
      </c>
      <c r="ER15" s="43">
        <v>8</v>
      </c>
      <c r="ES15" s="43">
        <v>8</v>
      </c>
      <c r="ET15" s="43">
        <v>8</v>
      </c>
      <c r="EU15" s="43">
        <v>8</v>
      </c>
      <c r="EV15" s="43">
        <v>8</v>
      </c>
      <c r="EW15" s="43">
        <v>8</v>
      </c>
      <c r="EX15" s="43">
        <v>8</v>
      </c>
      <c r="EY15" s="43">
        <v>8</v>
      </c>
      <c r="EZ15" s="43">
        <v>8</v>
      </c>
      <c r="FA15" s="43">
        <v>8</v>
      </c>
      <c r="FB15" s="43">
        <v>8</v>
      </c>
      <c r="FC15" s="43">
        <v>8</v>
      </c>
      <c r="FD15" s="43">
        <v>8</v>
      </c>
      <c r="FE15" s="43">
        <v>8</v>
      </c>
      <c r="FF15" s="43">
        <v>8</v>
      </c>
      <c r="FG15" s="43">
        <v>8</v>
      </c>
      <c r="FH15" s="43">
        <v>8</v>
      </c>
      <c r="FI15" s="43">
        <v>8</v>
      </c>
      <c r="FJ15" s="43">
        <v>8</v>
      </c>
      <c r="FK15" s="43">
        <v>8</v>
      </c>
      <c r="FL15" s="43">
        <v>8</v>
      </c>
      <c r="FM15" s="43">
        <v>8</v>
      </c>
      <c r="FN15" s="43">
        <v>8</v>
      </c>
      <c r="FO15" s="43">
        <v>8</v>
      </c>
      <c r="FP15" s="43">
        <v>8</v>
      </c>
      <c r="FQ15" s="43">
        <v>8</v>
      </c>
      <c r="FR15" s="43">
        <v>8</v>
      </c>
      <c r="FS15" s="43">
        <v>8</v>
      </c>
      <c r="FT15" s="43">
        <v>8</v>
      </c>
      <c r="FU15" s="43">
        <v>8</v>
      </c>
      <c r="FV15" s="43">
        <v>8</v>
      </c>
      <c r="FW15" s="43">
        <v>8</v>
      </c>
      <c r="FX15" s="43">
        <v>8</v>
      </c>
      <c r="FY15" s="43">
        <v>8</v>
      </c>
      <c r="FZ15" s="43">
        <v>8</v>
      </c>
      <c r="GA15" s="43">
        <v>8</v>
      </c>
      <c r="GB15" s="43">
        <v>8</v>
      </c>
      <c r="GC15" s="43">
        <v>8</v>
      </c>
      <c r="GD15" s="43">
        <v>8</v>
      </c>
      <c r="GE15" s="43">
        <v>8</v>
      </c>
      <c r="GF15" s="43">
        <v>8</v>
      </c>
      <c r="GG15" s="43">
        <v>8</v>
      </c>
      <c r="GH15" s="43">
        <v>8</v>
      </c>
      <c r="GI15" s="43">
        <v>8</v>
      </c>
      <c r="GJ15" s="43">
        <v>8</v>
      </c>
      <c r="GK15" s="43">
        <v>8</v>
      </c>
      <c r="GL15" s="43">
        <v>8</v>
      </c>
      <c r="GM15" s="43">
        <v>8</v>
      </c>
      <c r="GN15" s="43">
        <v>8</v>
      </c>
      <c r="GO15" s="43">
        <v>8</v>
      </c>
      <c r="GP15" s="43">
        <v>8</v>
      </c>
      <c r="GQ15" s="43">
        <v>8</v>
      </c>
      <c r="GR15" s="43">
        <v>8</v>
      </c>
      <c r="GS15" s="43">
        <v>8</v>
      </c>
      <c r="GT15" s="43">
        <v>8</v>
      </c>
      <c r="GU15" s="43">
        <v>8</v>
      </c>
      <c r="GV15" s="43">
        <v>8</v>
      </c>
      <c r="GW15" s="43">
        <v>8</v>
      </c>
      <c r="GX15" s="43">
        <v>8</v>
      </c>
      <c r="GY15" s="43">
        <v>8</v>
      </c>
      <c r="GZ15" s="43">
        <v>8</v>
      </c>
      <c r="HA15" s="43">
        <v>8</v>
      </c>
      <c r="HB15" s="43">
        <v>8</v>
      </c>
      <c r="HC15" s="43">
        <v>8</v>
      </c>
      <c r="HD15" s="43">
        <v>8</v>
      </c>
      <c r="HE15" s="43">
        <v>8</v>
      </c>
      <c r="HF15" s="43">
        <v>8</v>
      </c>
      <c r="HG15" s="43">
        <v>8</v>
      </c>
      <c r="HH15" s="43">
        <v>8</v>
      </c>
      <c r="HI15" s="43">
        <v>8</v>
      </c>
      <c r="HJ15" s="43">
        <v>8</v>
      </c>
      <c r="HK15" s="43">
        <v>8</v>
      </c>
      <c r="HL15" s="43">
        <v>8</v>
      </c>
      <c r="HM15" s="43">
        <v>8</v>
      </c>
      <c r="HN15" s="43">
        <v>8</v>
      </c>
      <c r="HO15" s="43">
        <v>8</v>
      </c>
      <c r="HP15" s="43">
        <v>8</v>
      </c>
      <c r="HQ15" s="43">
        <v>8</v>
      </c>
      <c r="HR15" s="43">
        <v>8</v>
      </c>
      <c r="HS15" s="43">
        <v>8</v>
      </c>
      <c r="HT15" s="43">
        <v>8</v>
      </c>
      <c r="HU15" s="43">
        <v>8</v>
      </c>
      <c r="HV15" s="43">
        <v>8</v>
      </c>
      <c r="HW15" s="43">
        <v>8</v>
      </c>
      <c r="HX15" s="43">
        <v>8</v>
      </c>
      <c r="HY15" s="43">
        <v>8</v>
      </c>
      <c r="HZ15" s="43">
        <v>8</v>
      </c>
      <c r="IA15" s="43">
        <v>8</v>
      </c>
      <c r="IB15" s="43">
        <v>8</v>
      </c>
      <c r="IC15" s="43">
        <v>8</v>
      </c>
      <c r="ID15" s="43">
        <v>8</v>
      </c>
      <c r="IE15" s="43">
        <v>8</v>
      </c>
      <c r="IF15" s="43">
        <v>8</v>
      </c>
      <c r="IG15" s="43">
        <v>8</v>
      </c>
      <c r="IH15" s="43">
        <v>8</v>
      </c>
      <c r="II15" s="43">
        <v>8</v>
      </c>
      <c r="IJ15" s="43">
        <v>8</v>
      </c>
      <c r="IK15" s="43">
        <v>8</v>
      </c>
      <c r="IL15" s="43">
        <v>8</v>
      </c>
      <c r="IM15" s="43">
        <v>8</v>
      </c>
      <c r="IN15" s="43">
        <v>8</v>
      </c>
      <c r="IO15" s="43">
        <v>8</v>
      </c>
      <c r="IP15" s="43">
        <v>8</v>
      </c>
      <c r="IQ15" s="43">
        <v>8</v>
      </c>
      <c r="IR15" s="43">
        <v>8</v>
      </c>
      <c r="IS15" s="43">
        <v>8</v>
      </c>
      <c r="IT15" s="43">
        <v>8</v>
      </c>
      <c r="IU15" s="43">
        <v>8</v>
      </c>
      <c r="IV15" s="43">
        <v>8</v>
      </c>
      <c r="IW15" s="43">
        <v>23</v>
      </c>
    </row>
  </sheetData>
  <sheetProtection insertRows="0" deleteColumns="0" deleteRows="0" sort="0" autoFilter="0"/>
  <mergeCells count="10">
    <mergeCell ref="E5:K5"/>
    <mergeCell ref="E7:K7"/>
    <mergeCell ref="G8:I8"/>
    <mergeCell ref="A10:A11"/>
    <mergeCell ref="E8:E9"/>
    <mergeCell ref="F8:F9"/>
    <mergeCell ref="J8:J9"/>
    <mergeCell ref="K8:K9"/>
    <mergeCell ref="L7:L9"/>
    <mergeCell ref="L10:L11"/>
  </mergeCells>
  <dataValidations count="5">
    <dataValidation type="time" operator="between"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operator="between"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paperSize="1"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9"/>
  <sheetViews>
    <sheetView showGridLines="0" zoomScale="90" zoomScaleNormal="90" workbookViewId="0">
      <pane xSplit="10" ySplit="12" topLeftCell="K13"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3" hidden="1"/>
    <col min="2" max="2" width="9.14285714285714" style="38" hidden="1"/>
    <col min="3" max="3" width="3.71428571428571" style="43" hidden="1" customWidth="1"/>
    <col min="4" max="4" width="3" style="217" customWidth="1"/>
    <col min="5" max="5" width="6" style="43" customWidth="1"/>
    <col min="6" max="6" width="27" style="43" customWidth="1"/>
    <col min="7" max="7" width="29" style="43" customWidth="1"/>
    <col min="8" max="8" width="25" style="43" customWidth="1"/>
    <col min="9" max="9" width="5" style="43" customWidth="1"/>
    <col min="10" max="10" width="6" style="43" customWidth="1"/>
    <col min="11" max="11" width="41" style="43" customWidth="1"/>
    <col min="12" max="12" width="42" style="43" customWidth="1"/>
    <col min="13" max="13" width="41" style="43" customWidth="1"/>
    <col min="14" max="14" width="89" style="43" customWidth="1"/>
    <col min="15" max="15" width="3" style="151" customWidth="1"/>
    <col min="16" max="16" width="8" style="151" customWidth="1"/>
    <col min="17" max="17" width="9.14285714285714" style="43" hidden="1"/>
  </cols>
  <sheetData>
    <row r="1" ht="22.5" hidden="1" customHeight="1" spans="17:17">
      <c r="Q1" s="43" t="s">
        <v>14</v>
      </c>
    </row>
    <row r="2" customFormat="1" ht="22.5" hidden="1" customHeight="1" spans="1:17">
      <c r="A2" s="37"/>
      <c r="B2" s="38">
        <v>1</v>
      </c>
      <c r="C2" s="38"/>
      <c r="D2" s="586" t="s">
        <v>683</v>
      </c>
      <c r="E2" s="64">
        <v>1</v>
      </c>
      <c r="F2" s="587" t="str">
        <f>IF(region_name="","",region_name)</f>
        <v>Ростовская область</v>
      </c>
      <c r="G2" s="588"/>
      <c r="H2" s="244"/>
      <c r="I2" s="254"/>
      <c r="J2" s="126">
        <v>1</v>
      </c>
      <c r="K2" s="213"/>
      <c r="L2" s="213"/>
      <c r="M2" s="213"/>
      <c r="N2" s="604"/>
      <c r="O2" s="605"/>
      <c r="P2" s="44"/>
      <c r="Q2">
        <v>0</v>
      </c>
    </row>
    <row r="3" customFormat="1" ht="22.5" hidden="1" customHeight="1" spans="1:17">
      <c r="A3" s="589"/>
      <c r="B3" s="38"/>
      <c r="C3" s="38"/>
      <c r="D3" s="216"/>
      <c r="E3" s="64"/>
      <c r="F3" s="587"/>
      <c r="G3" s="588"/>
      <c r="H3" s="375"/>
      <c r="I3" s="225"/>
      <c r="J3" s="601"/>
      <c r="K3" s="601" t="s">
        <v>2054</v>
      </c>
      <c r="L3" s="606"/>
      <c r="M3" s="607"/>
      <c r="N3" s="591"/>
      <c r="O3" s="605"/>
      <c r="P3" s="44"/>
      <c r="Q3">
        <v>0</v>
      </c>
    </row>
    <row r="4" s="44" customFormat="1" ht="5.25" hidden="1" customHeight="1" spans="1:17">
      <c r="A4" s="37"/>
      <c r="D4" s="93"/>
      <c r="F4" s="590" t="s">
        <v>84</v>
      </c>
      <c r="G4" s="93" t="s">
        <v>85</v>
      </c>
      <c r="H4" s="93"/>
      <c r="I4" s="93"/>
      <c r="J4" s="608"/>
      <c r="K4" s="93"/>
      <c r="L4" s="93"/>
      <c r="M4" s="93"/>
      <c r="N4" s="93"/>
      <c r="O4" s="590" t="s">
        <v>84</v>
      </c>
      <c r="P4" s="590"/>
      <c r="Q4" s="44">
        <v>0</v>
      </c>
    </row>
    <row r="5" customFormat="1" ht="22.5" hidden="1" customHeight="1" spans="1:17">
      <c r="A5" s="37"/>
      <c r="B5" s="38">
        <v>1</v>
      </c>
      <c r="C5" s="38"/>
      <c r="D5" s="216"/>
      <c r="E5" s="591"/>
      <c r="F5" s="591"/>
      <c r="G5" s="591"/>
      <c r="H5" s="592"/>
      <c r="I5" s="609" t="s">
        <v>683</v>
      </c>
      <c r="J5" s="128">
        <v>1</v>
      </c>
      <c r="K5" s="213"/>
      <c r="L5" s="213"/>
      <c r="M5" s="213"/>
      <c r="N5" s="604"/>
      <c r="O5" s="605"/>
      <c r="P5" s="44"/>
      <c r="Q5">
        <v>0</v>
      </c>
    </row>
    <row r="6" s="206" customFormat="1" ht="14.7" customHeight="1" spans="1:17">
      <c r="A6" s="43"/>
      <c r="B6" s="38"/>
      <c r="C6" s="43"/>
      <c r="D6" s="217"/>
      <c r="E6" s="43"/>
      <c r="F6" s="43"/>
      <c r="G6" s="43"/>
      <c r="H6" s="43"/>
      <c r="I6" s="43"/>
      <c r="J6" s="43"/>
      <c r="K6" s="43"/>
      <c r="L6" s="43"/>
      <c r="M6" s="43"/>
      <c r="N6" s="43"/>
      <c r="O6" s="590"/>
      <c r="P6" s="151"/>
      <c r="Q6" s="206">
        <v>14</v>
      </c>
    </row>
    <row r="7" s="206" customFormat="1" ht="27.3" customHeight="1" spans="1:17">
      <c r="A7" s="43"/>
      <c r="B7" s="38"/>
      <c r="C7" s="43"/>
      <c r="D7" s="217"/>
      <c r="E7" s="5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593"/>
      <c r="G7" s="593"/>
      <c r="H7" s="593"/>
      <c r="I7" s="593"/>
      <c r="J7" s="593"/>
      <c r="K7" s="593"/>
      <c r="L7" s="593"/>
      <c r="M7" s="593"/>
      <c r="N7" s="589"/>
      <c r="O7" s="590"/>
      <c r="P7" s="151"/>
      <c r="Q7" s="206">
        <v>26</v>
      </c>
    </row>
    <row r="8" s="206" customFormat="1" ht="14.7" customHeight="1" spans="1:17">
      <c r="A8" s="43"/>
      <c r="B8" s="38"/>
      <c r="C8" s="43"/>
      <c r="D8" s="217"/>
      <c r="E8" s="43"/>
      <c r="F8" s="594"/>
      <c r="G8" s="594"/>
      <c r="H8" s="594"/>
      <c r="I8" s="594"/>
      <c r="J8" s="594"/>
      <c r="K8" s="594"/>
      <c r="L8" s="594"/>
      <c r="M8" s="594"/>
      <c r="N8" s="594"/>
      <c r="O8" s="151"/>
      <c r="P8" s="151"/>
      <c r="Q8" s="206">
        <v>14</v>
      </c>
    </row>
    <row r="9" s="585" customFormat="1" hidden="1" customHeight="1" spans="1:17">
      <c r="A9" s="86"/>
      <c r="B9" s="48"/>
      <c r="C9" s="86"/>
      <c r="D9" s="217"/>
      <c r="E9" s="595"/>
      <c r="F9" s="595"/>
      <c r="G9" s="595"/>
      <c r="H9" s="595"/>
      <c r="I9" s="595"/>
      <c r="J9" s="595"/>
      <c r="K9" s="595"/>
      <c r="L9" s="595"/>
      <c r="M9" s="610"/>
      <c r="O9" s="611"/>
      <c r="P9" s="611"/>
      <c r="Q9" s="585">
        <v>0</v>
      </c>
    </row>
    <row r="10" s="206" customFormat="1" ht="14.7" customHeight="1" spans="1:17">
      <c r="A10" s="43"/>
      <c r="B10" s="38"/>
      <c r="C10" s="43"/>
      <c r="D10" s="217"/>
      <c r="E10" s="64" t="s">
        <v>296</v>
      </c>
      <c r="F10" s="64"/>
      <c r="G10" s="64"/>
      <c r="H10" s="64"/>
      <c r="I10" s="64"/>
      <c r="J10" s="64"/>
      <c r="K10" s="64"/>
      <c r="L10" s="64"/>
      <c r="M10" s="126"/>
      <c r="N10" s="597" t="s">
        <v>297</v>
      </c>
      <c r="O10" s="151"/>
      <c r="P10" s="151"/>
      <c r="Q10" s="206">
        <v>14</v>
      </c>
    </row>
    <row r="11" s="206" customFormat="1" ht="44.25" customHeight="1" spans="1:17">
      <c r="A11" s="43"/>
      <c r="B11" s="38"/>
      <c r="C11" s="43"/>
      <c r="D11" s="217"/>
      <c r="E11" s="596" t="s">
        <v>89</v>
      </c>
      <c r="F11" s="596" t="s">
        <v>300</v>
      </c>
      <c r="G11" s="596" t="s">
        <v>2055</v>
      </c>
      <c r="H11" s="596"/>
      <c r="I11" s="596" t="s">
        <v>2056</v>
      </c>
      <c r="J11" s="596"/>
      <c r="K11" s="596"/>
      <c r="L11" s="596" t="s">
        <v>2057</v>
      </c>
      <c r="M11" s="612" t="s">
        <v>2058</v>
      </c>
      <c r="N11" s="613"/>
      <c r="O11" s="151"/>
      <c r="P11" s="151"/>
      <c r="Q11" s="206">
        <v>42</v>
      </c>
    </row>
    <row r="12" s="206" customFormat="1" ht="29.25" customHeight="1" spans="1:17">
      <c r="A12" s="43"/>
      <c r="B12" s="38"/>
      <c r="C12" s="43"/>
      <c r="D12" s="217"/>
      <c r="E12" s="597"/>
      <c r="F12" s="596"/>
      <c r="G12" s="596" t="s">
        <v>2059</v>
      </c>
      <c r="H12" s="596" t="s">
        <v>304</v>
      </c>
      <c r="I12" s="596"/>
      <c r="J12" s="596"/>
      <c r="K12" s="596"/>
      <c r="L12" s="596"/>
      <c r="M12" s="612"/>
      <c r="N12" s="614"/>
      <c r="O12" s="151"/>
      <c r="P12" s="151"/>
      <c r="Q12" s="206">
        <v>28</v>
      </c>
    </row>
    <row r="13" customFormat="1" ht="23.25" customHeight="1" spans="1:17">
      <c r="A13" s="86">
        <v>26379339</v>
      </c>
      <c r="B13" s="38">
        <v>1</v>
      </c>
      <c r="C13" s="38"/>
      <c r="D13" s="216"/>
      <c r="E13" s="64">
        <v>1</v>
      </c>
      <c r="F13" s="598" t="str">
        <f>IF(region_name="","",region_name)</f>
        <v>Ростовская область</v>
      </c>
      <c r="G13" s="599"/>
      <c r="H13" s="600"/>
      <c r="I13" s="254"/>
      <c r="J13" s="73">
        <v>1</v>
      </c>
      <c r="K13" s="615"/>
      <c r="L13" s="616"/>
      <c r="M13" s="616"/>
      <c r="N13" s="617" t="s">
        <v>2060</v>
      </c>
      <c r="O13" s="605"/>
      <c r="P13" s="44"/>
      <c r="Q13">
        <v>22</v>
      </c>
    </row>
    <row r="14" customFormat="1" ht="23.25" customHeight="1" spans="1:17">
      <c r="A14" s="86"/>
      <c r="B14" s="38"/>
      <c r="C14" s="38"/>
      <c r="D14" s="216"/>
      <c r="E14" s="64"/>
      <c r="F14" s="598"/>
      <c r="G14" s="599"/>
      <c r="H14" s="554"/>
      <c r="I14" s="225"/>
      <c r="J14" s="601"/>
      <c r="K14" s="601" t="s">
        <v>2054</v>
      </c>
      <c r="L14" s="606"/>
      <c r="M14" s="606"/>
      <c r="N14" s="618"/>
      <c r="O14" s="605"/>
      <c r="P14" s="44"/>
      <c r="Q14">
        <v>22</v>
      </c>
    </row>
    <row r="15" customFormat="1" ht="23.25" customHeight="1" spans="1:17">
      <c r="A15" s="86"/>
      <c r="B15" s="38"/>
      <c r="C15" s="224"/>
      <c r="D15" s="216"/>
      <c r="E15" s="225"/>
      <c r="F15" s="601" t="s">
        <v>2046</v>
      </c>
      <c r="G15" s="602"/>
      <c r="H15" s="602"/>
      <c r="I15" s="228"/>
      <c r="J15" s="228"/>
      <c r="K15" s="228"/>
      <c r="L15" s="228"/>
      <c r="M15" s="228"/>
      <c r="N15" s="618"/>
      <c r="O15" s="619"/>
      <c r="P15" s="44"/>
      <c r="Q15">
        <v>22</v>
      </c>
    </row>
    <row r="16" s="206" customFormat="1" ht="22.05" customHeight="1" spans="1:17">
      <c r="A16" s="43"/>
      <c r="B16" s="38"/>
      <c r="C16" s="43"/>
      <c r="D16" s="217"/>
      <c r="E16" s="603"/>
      <c r="F16" s="603"/>
      <c r="G16" s="603"/>
      <c r="H16" s="603"/>
      <c r="I16" s="603"/>
      <c r="J16" s="603"/>
      <c r="K16" s="603"/>
      <c r="L16" s="603"/>
      <c r="M16" s="43"/>
      <c r="N16" s="43"/>
      <c r="O16" s="151"/>
      <c r="P16" s="151"/>
      <c r="Q16" s="206">
        <v>21</v>
      </c>
    </row>
    <row r="17" s="206" customFormat="1" ht="14.7" customHeight="1" spans="1:17">
      <c r="A17" s="43"/>
      <c r="B17" s="38"/>
      <c r="C17" s="43"/>
      <c r="D17" s="217"/>
      <c r="E17" s="43"/>
      <c r="F17" s="43"/>
      <c r="G17" s="43"/>
      <c r="H17" s="43"/>
      <c r="I17" s="43"/>
      <c r="J17" s="43"/>
      <c r="K17" s="43"/>
      <c r="L17" s="43"/>
      <c r="M17" s="43"/>
      <c r="N17" s="43"/>
      <c r="O17" s="151"/>
      <c r="P17" s="151"/>
      <c r="Q17" s="206">
        <v>14</v>
      </c>
    </row>
    <row r="18" s="206" customFormat="1" ht="1.05" customHeight="1" spans="1:17">
      <c r="A18" s="43"/>
      <c r="B18" s="38"/>
      <c r="C18" s="43"/>
      <c r="D18" s="217"/>
      <c r="E18" s="43"/>
      <c r="F18" s="43"/>
      <c r="G18" s="43"/>
      <c r="H18" s="43"/>
      <c r="I18" s="43"/>
      <c r="J18" s="43"/>
      <c r="K18" s="43"/>
      <c r="L18" s="43"/>
      <c r="M18" s="43"/>
      <c r="N18" s="43"/>
      <c r="O18" s="151"/>
      <c r="P18" s="151"/>
      <c r="Q18" s="206">
        <v>1</v>
      </c>
    </row>
    <row r="19" ht="22.5" hidden="1" customHeight="1" spans="1:17">
      <c r="A19" s="43" t="s">
        <v>83</v>
      </c>
      <c r="B19" s="38">
        <v>0</v>
      </c>
      <c r="C19" s="43">
        <v>0</v>
      </c>
      <c r="D19" s="217">
        <v>3</v>
      </c>
      <c r="E19" s="43">
        <v>6</v>
      </c>
      <c r="F19" s="43">
        <v>27</v>
      </c>
      <c r="G19" s="43">
        <v>29</v>
      </c>
      <c r="H19" s="43">
        <v>25</v>
      </c>
      <c r="I19" s="43">
        <v>5</v>
      </c>
      <c r="J19" s="43">
        <v>6</v>
      </c>
      <c r="K19" s="43">
        <v>41</v>
      </c>
      <c r="L19" s="43">
        <v>42</v>
      </c>
      <c r="M19" s="43">
        <v>41</v>
      </c>
      <c r="N19" s="43">
        <v>89</v>
      </c>
      <c r="O19" s="151">
        <v>3</v>
      </c>
      <c r="P19" s="151">
        <v>8</v>
      </c>
      <c r="Q19" s="43">
        <v>23</v>
      </c>
    </row>
  </sheetData>
  <sheetProtection formatColumns="0" formatRows="0" insertRows="0" deleteColumns="0" deleteRows="0" sort="0" autoFilter="0"/>
  <mergeCells count="20">
    <mergeCell ref="E7:M7"/>
    <mergeCell ref="I9:K9"/>
    <mergeCell ref="E10:M10"/>
    <mergeCell ref="G11:H11"/>
    <mergeCell ref="A13:A15"/>
    <mergeCell ref="E2:E3"/>
    <mergeCell ref="E11:E12"/>
    <mergeCell ref="E13:E14"/>
    <mergeCell ref="F2:F3"/>
    <mergeCell ref="F11:F12"/>
    <mergeCell ref="F13:F14"/>
    <mergeCell ref="G2:G3"/>
    <mergeCell ref="G13:G14"/>
    <mergeCell ref="H2:H3"/>
    <mergeCell ref="H13:H14"/>
    <mergeCell ref="L11:L12"/>
    <mergeCell ref="M11:M12"/>
    <mergeCell ref="N10:N12"/>
    <mergeCell ref="N13:N15"/>
    <mergeCell ref="I11:K12"/>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paperSize="1"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EAEBEE"/>
    <pageSetUpPr fitToPage="1"/>
  </sheetPr>
  <dimension ref="A1:M16"/>
  <sheetViews>
    <sheetView showGridLines="0" zoomScale="90" zoomScaleNormal="90" workbookViewId="0">
      <pane xSplit="4" ySplit="11" topLeftCell="E12"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114" hidden="1"/>
    <col min="2" max="2" width="9.14285714285714" style="81" hidden="1"/>
    <col min="3" max="3" width="3" style="574" customWidth="1"/>
    <col min="4" max="4" width="6" style="81" customWidth="1"/>
    <col min="5" max="5" width="22" style="81" customWidth="1"/>
    <col min="6" max="6" width="15" style="81" customWidth="1"/>
    <col min="7" max="7" width="14" style="81" customWidth="1"/>
    <col min="8" max="8" width="47" style="81" customWidth="1"/>
    <col min="9" max="9" width="115" style="81" customWidth="1"/>
    <col min="10" max="10" width="3" style="81" customWidth="1"/>
    <col min="11" max="12" width="8" style="81" customWidth="1"/>
    <col min="13" max="13" width="9.14285714285714" style="81" hidden="1"/>
  </cols>
  <sheetData>
    <row r="1" hidden="1" customHeight="1" spans="13:13">
      <c r="M1" s="81" t="s">
        <v>14</v>
      </c>
    </row>
    <row r="2" hidden="1" customHeight="1" spans="13:13">
      <c r="M2" s="81">
        <v>0</v>
      </c>
    </row>
    <row r="3" hidden="1" customHeight="1" spans="13:13">
      <c r="M3" s="81">
        <v>0</v>
      </c>
    </row>
    <row r="4" ht="3" customHeight="1" spans="13:13">
      <c r="M4" s="81">
        <v>3</v>
      </c>
    </row>
    <row r="5" s="43" customFormat="1" ht="31.5" customHeight="1" spans="1:13">
      <c r="A5" s="575"/>
      <c r="C5" s="211"/>
      <c r="D5" s="565" t="s">
        <v>2061</v>
      </c>
      <c r="E5" s="565"/>
      <c r="F5" s="565"/>
      <c r="G5" s="565"/>
      <c r="H5" s="565"/>
      <c r="I5" s="581"/>
      <c r="M5" s="43">
        <v>30</v>
      </c>
    </row>
    <row r="6" ht="3" hidden="1" customHeight="1" spans="4:13">
      <c r="D6" s="564"/>
      <c r="E6" s="564"/>
      <c r="F6" s="564"/>
      <c r="G6" s="564"/>
      <c r="H6" s="564"/>
      <c r="I6" s="564"/>
      <c r="M6" s="81">
        <v>0</v>
      </c>
    </row>
    <row r="7" s="114" customFormat="1" ht="14.7" customHeight="1" spans="2:13">
      <c r="B7" s="81"/>
      <c r="C7" s="574"/>
      <c r="D7" s="576"/>
      <c r="E7" s="576"/>
      <c r="F7" s="576"/>
      <c r="G7" s="576"/>
      <c r="H7" s="577"/>
      <c r="I7" s="576"/>
      <c r="J7" s="582"/>
      <c r="M7" s="114">
        <v>14</v>
      </c>
    </row>
    <row r="8" ht="14.7" customHeight="1" spans="4:13">
      <c r="D8" s="66" t="s">
        <v>296</v>
      </c>
      <c r="E8" s="66"/>
      <c r="F8" s="66"/>
      <c r="G8" s="66"/>
      <c r="H8" s="66"/>
      <c r="I8" s="66" t="s">
        <v>297</v>
      </c>
      <c r="M8" s="81">
        <v>14</v>
      </c>
    </row>
    <row r="9" ht="29.25" customHeight="1" spans="4:13">
      <c r="D9" s="66" t="s">
        <v>89</v>
      </c>
      <c r="E9" s="66" t="s">
        <v>2062</v>
      </c>
      <c r="F9" s="66"/>
      <c r="G9" s="66"/>
      <c r="H9" s="66"/>
      <c r="I9" s="66"/>
      <c r="M9" s="81">
        <v>28</v>
      </c>
    </row>
    <row r="10" ht="24" customHeight="1" spans="4:13">
      <c r="D10" s="66"/>
      <c r="E10" s="66" t="s">
        <v>2063</v>
      </c>
      <c r="F10" s="66" t="s">
        <v>2064</v>
      </c>
      <c r="G10" s="66" t="s">
        <v>2065</v>
      </c>
      <c r="H10" s="66" t="s">
        <v>386</v>
      </c>
      <c r="I10" s="66"/>
      <c r="M10" s="81">
        <v>23</v>
      </c>
    </row>
    <row r="11" ht="12" hidden="1" customHeight="1" spans="4:13">
      <c r="D11" s="567" t="s">
        <v>107</v>
      </c>
      <c r="E11" s="567" t="s">
        <v>92</v>
      </c>
      <c r="F11" s="567" t="s">
        <v>109</v>
      </c>
      <c r="G11" s="567" t="s">
        <v>93</v>
      </c>
      <c r="H11" s="567" t="s">
        <v>94</v>
      </c>
      <c r="I11" s="567" t="s">
        <v>110</v>
      </c>
      <c r="M11" s="81">
        <v>0</v>
      </c>
    </row>
    <row r="12" s="81" customFormat="1" ht="26.25" customHeight="1" spans="1:13">
      <c r="A12" s="264" t="s">
        <v>91</v>
      </c>
      <c r="B12" s="81" t="s">
        <v>22</v>
      </c>
      <c r="C12" s="265"/>
      <c r="D12" s="232" t="s">
        <v>107</v>
      </c>
      <c r="E12" s="213"/>
      <c r="F12" s="213"/>
      <c r="G12" s="139" t="s">
        <v>22</v>
      </c>
      <c r="H12" s="578"/>
      <c r="I12" s="583" t="s">
        <v>2066</v>
      </c>
      <c r="K12" s="287"/>
      <c r="L12" s="152"/>
      <c r="M12" s="81">
        <v>25</v>
      </c>
    </row>
    <row r="13" ht="15.75" customHeight="1" spans="1:13">
      <c r="A13" s="81"/>
      <c r="C13" s="81"/>
      <c r="D13" s="401"/>
      <c r="E13" s="332" t="s">
        <v>460</v>
      </c>
      <c r="F13" s="579"/>
      <c r="G13" s="579"/>
      <c r="H13" s="580"/>
      <c r="I13" s="584"/>
      <c r="M13" s="81">
        <v>15</v>
      </c>
    </row>
    <row r="14" ht="3" customHeight="1" spans="1:13">
      <c r="A14" s="81"/>
      <c r="C14" s="81"/>
      <c r="M14" s="81">
        <v>3</v>
      </c>
    </row>
    <row r="15" ht="29.25" customHeight="1" spans="5:13">
      <c r="E15" s="573" t="s">
        <v>2067</v>
      </c>
      <c r="F15" s="573"/>
      <c r="G15" s="573"/>
      <c r="H15" s="573"/>
      <c r="M15" s="81">
        <v>28</v>
      </c>
    </row>
    <row r="16" hidden="1" customHeight="1" spans="1:13">
      <c r="A16" s="114" t="s">
        <v>83</v>
      </c>
      <c r="B16" s="81">
        <v>0</v>
      </c>
      <c r="C16" s="574">
        <v>3</v>
      </c>
      <c r="D16" s="81">
        <v>6</v>
      </c>
      <c r="E16" s="81">
        <v>22</v>
      </c>
      <c r="F16" s="81">
        <v>15</v>
      </c>
      <c r="G16" s="81">
        <v>14</v>
      </c>
      <c r="H16" s="81">
        <v>47</v>
      </c>
      <c r="I16" s="81">
        <v>115</v>
      </c>
      <c r="J16" s="81">
        <v>3</v>
      </c>
      <c r="K16" s="81">
        <v>8</v>
      </c>
      <c r="L16" s="81">
        <v>8</v>
      </c>
      <c r="M16" s="81">
        <v>14</v>
      </c>
    </row>
  </sheetData>
  <sheetProtection formatColumns="0" formatRows="0" insertRows="0" deleteColumns="0" deleteRows="0" sort="0" autoFilter="0"/>
  <mergeCells count="7">
    <mergeCell ref="D5:H5"/>
    <mergeCell ref="D8:H8"/>
    <mergeCell ref="E9:H9"/>
    <mergeCell ref="E15:H15"/>
    <mergeCell ref="D9:D10"/>
    <mergeCell ref="I8:I10"/>
    <mergeCell ref="I12:I13"/>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s>
  <printOptions horizontalCentered="1"/>
  <pageMargins left="0.24" right="0.24" top="0.24" bottom="0.24" header="0.24" footer="0.24"/>
  <pageSetup paperSize="9" scale="70" fitToHeight="0" orientation="landscape"/>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pageSetUpPr fitToPage="1"/>
  </sheetPr>
  <dimension ref="A1:J16"/>
  <sheetViews>
    <sheetView showGridLines="0" zoomScale="90" zoomScaleNormal="90" workbookViewId="0">
      <pane xSplit="4" ySplit="11" topLeftCell="E12" activePane="bottomRight" state="frozen"/>
      <selection/>
      <selection pane="topRight"/>
      <selection pane="bottomLeft"/>
      <selection pane="bottomRight" activeCell="A1" sqref="A1"/>
    </sheetView>
  </sheetViews>
  <sheetFormatPr defaultColWidth="9.14285714285714" defaultRowHeight="14.25" customHeight="1"/>
  <cols>
    <col min="1" max="2" width="9.14285714285714" style="205" hidden="1"/>
    <col min="3" max="3" width="3" style="562" customWidth="1"/>
    <col min="4" max="4" width="6" style="205" customWidth="1"/>
    <col min="5" max="5" width="94" style="205" customWidth="1"/>
    <col min="6" max="9" width="8" style="205" customWidth="1"/>
    <col min="10" max="10" width="9.14285714285714" style="205" hidden="1"/>
  </cols>
  <sheetData>
    <row r="1" hidden="1" customHeight="1" spans="10:10">
      <c r="J1" s="205" t="s">
        <v>14</v>
      </c>
    </row>
    <row r="2" hidden="1" customHeight="1" spans="10:10">
      <c r="J2" s="205">
        <v>0</v>
      </c>
    </row>
    <row r="3" hidden="1" customHeight="1" spans="10:10">
      <c r="J3" s="205">
        <v>0</v>
      </c>
    </row>
    <row r="4" hidden="1" customHeight="1" spans="10:10">
      <c r="J4" s="205">
        <v>0</v>
      </c>
    </row>
    <row r="5" hidden="1" customHeight="1" spans="10:10">
      <c r="J5" s="205">
        <v>0</v>
      </c>
    </row>
    <row r="6" ht="3" customHeight="1" spans="3:10">
      <c r="C6" s="563"/>
      <c r="D6" s="564"/>
      <c r="E6" s="564"/>
      <c r="J6" s="205">
        <v>3</v>
      </c>
    </row>
    <row r="7" ht="23.25" customHeight="1" spans="3:10">
      <c r="C7" s="563"/>
      <c r="D7" s="389" t="s">
        <v>2068</v>
      </c>
      <c r="E7" s="569"/>
      <c r="F7" s="566"/>
      <c r="J7" s="205">
        <v>22</v>
      </c>
    </row>
    <row r="8" ht="3" customHeight="1" spans="3:10">
      <c r="C8" s="563"/>
      <c r="D8" s="564"/>
      <c r="E8" s="564"/>
      <c r="J8" s="205">
        <v>3</v>
      </c>
    </row>
    <row r="9" ht="16.8" customHeight="1" spans="3:10">
      <c r="C9" s="563"/>
      <c r="D9" s="66" t="s">
        <v>89</v>
      </c>
      <c r="E9" s="64" t="s">
        <v>2069</v>
      </c>
      <c r="J9" s="205">
        <v>16</v>
      </c>
    </row>
    <row r="10" ht="1.05" customHeight="1" spans="3:10">
      <c r="C10" s="563"/>
      <c r="D10" s="567"/>
      <c r="E10" s="567"/>
      <c r="J10" s="205">
        <v>1</v>
      </c>
    </row>
    <row r="11" ht="11.25" hidden="1" customHeight="1" spans="3:10">
      <c r="C11" s="563"/>
      <c r="D11" s="570">
        <v>0</v>
      </c>
      <c r="E11" s="528"/>
      <c r="J11" s="205">
        <v>0</v>
      </c>
    </row>
    <row r="12" ht="15.75" customHeight="1" spans="3:10">
      <c r="C12" s="211"/>
      <c r="D12" s="212">
        <v>1</v>
      </c>
      <c r="E12" s="213"/>
      <c r="J12" s="205">
        <v>15</v>
      </c>
    </row>
    <row r="13" ht="12.75" customHeight="1" spans="3:10">
      <c r="C13" s="563"/>
      <c r="D13" s="571"/>
      <c r="E13" s="568" t="s">
        <v>2070</v>
      </c>
      <c r="J13" s="205">
        <v>12</v>
      </c>
    </row>
    <row r="14" ht="3" customHeight="1" spans="10:10">
      <c r="J14" s="205">
        <v>3</v>
      </c>
    </row>
    <row r="15" ht="23.25" customHeight="1" spans="3:10">
      <c r="C15" s="572"/>
      <c r="D15" s="573" t="s">
        <v>2071</v>
      </c>
      <c r="E15" s="573"/>
      <c r="F15" s="440"/>
      <c r="G15" s="440"/>
      <c r="H15" s="440"/>
      <c r="I15" s="440"/>
      <c r="J15" s="205">
        <v>22</v>
      </c>
    </row>
    <row r="16" hidden="1" customHeight="1" spans="1:10">
      <c r="A16" s="205" t="s">
        <v>83</v>
      </c>
      <c r="B16" s="205">
        <v>0</v>
      </c>
      <c r="C16" s="562">
        <v>3</v>
      </c>
      <c r="D16" s="205">
        <v>6</v>
      </c>
      <c r="E16" s="205">
        <v>94</v>
      </c>
      <c r="F16" s="205">
        <v>8</v>
      </c>
      <c r="G16" s="205">
        <v>8</v>
      </c>
      <c r="H16" s="205">
        <v>8</v>
      </c>
      <c r="I16" s="205">
        <v>8</v>
      </c>
      <c r="J16" s="20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pageSetUpPr fitToPage="1"/>
  </sheetPr>
  <dimension ref="A1:M13"/>
  <sheetViews>
    <sheetView showGridLines="0" zoomScale="90" zoomScaleNormal="90" topLeftCell="C6" workbookViewId="0">
      <selection activeCell="A1" sqref="A1"/>
    </sheetView>
  </sheetViews>
  <sheetFormatPr defaultColWidth="9.14285714285714" defaultRowHeight="14.25" customHeight="1"/>
  <cols>
    <col min="1" max="2" width="9.14285714285714" style="205" hidden="1"/>
    <col min="3" max="3" width="3" style="562" customWidth="1"/>
    <col min="4" max="4" width="6" style="205" customWidth="1"/>
    <col min="5" max="5" width="94" style="205" customWidth="1"/>
    <col min="6" max="12" width="8" style="205" customWidth="1"/>
    <col min="13" max="13" width="9.14285714285714" style="205" hidden="1"/>
  </cols>
  <sheetData>
    <row r="1" hidden="1" customHeight="1" spans="13:13">
      <c r="M1" s="205" t="s">
        <v>14</v>
      </c>
    </row>
    <row r="2" hidden="1" customHeight="1" spans="13:13">
      <c r="M2" s="205">
        <v>0</v>
      </c>
    </row>
    <row r="3" hidden="1" customHeight="1" spans="13:13">
      <c r="M3" s="205">
        <v>0</v>
      </c>
    </row>
    <row r="4" hidden="1" customHeight="1" spans="13:13">
      <c r="M4" s="205">
        <v>0</v>
      </c>
    </row>
    <row r="5" hidden="1" customHeight="1" spans="13:13">
      <c r="M5" s="205">
        <v>0</v>
      </c>
    </row>
    <row r="6" ht="3" customHeight="1" spans="3:13">
      <c r="C6" s="563"/>
      <c r="D6" s="564"/>
      <c r="E6" s="564"/>
      <c r="M6" s="205">
        <v>3</v>
      </c>
    </row>
    <row r="7" ht="23.25" customHeight="1" spans="3:13">
      <c r="C7" s="563"/>
      <c r="D7" s="565" t="s">
        <v>2072</v>
      </c>
      <c r="E7" s="565"/>
      <c r="F7" s="566"/>
      <c r="M7" s="205">
        <v>22</v>
      </c>
    </row>
    <row r="8" ht="3" customHeight="1" spans="3:13">
      <c r="C8" s="563"/>
      <c r="D8" s="564"/>
      <c r="E8" s="564"/>
      <c r="M8" s="205">
        <v>3</v>
      </c>
    </row>
    <row r="9" ht="16.8" customHeight="1" spans="3:13">
      <c r="C9" s="563"/>
      <c r="D9" s="66" t="s">
        <v>89</v>
      </c>
      <c r="E9" s="131" t="s">
        <v>283</v>
      </c>
      <c r="M9" s="205">
        <v>16</v>
      </c>
    </row>
    <row r="10" ht="12.75" customHeight="1" spans="3:13">
      <c r="C10" s="563"/>
      <c r="D10" s="567" t="s">
        <v>107</v>
      </c>
      <c r="E10" s="567" t="s">
        <v>108</v>
      </c>
      <c r="M10" s="205">
        <v>12</v>
      </c>
    </row>
    <row r="11" ht="15" hidden="1" customHeight="1" spans="3:13">
      <c r="C11" s="563"/>
      <c r="D11" s="212">
        <v>0</v>
      </c>
      <c r="E11" s="104"/>
      <c r="M11" s="205">
        <v>0</v>
      </c>
    </row>
    <row r="12" ht="14.7" customHeight="1" spans="3:13">
      <c r="C12" s="563"/>
      <c r="D12" s="401"/>
      <c r="E12" s="568" t="s">
        <v>2070</v>
      </c>
      <c r="M12" s="205">
        <v>14</v>
      </c>
    </row>
    <row r="13" hidden="1" customHeight="1" spans="1:13">
      <c r="A13" s="205" t="s">
        <v>83</v>
      </c>
      <c r="B13" s="205">
        <v>0</v>
      </c>
      <c r="C13" s="562">
        <v>3</v>
      </c>
      <c r="D13" s="205">
        <v>6</v>
      </c>
      <c r="E13" s="205">
        <v>94</v>
      </c>
      <c r="F13" s="205">
        <v>8</v>
      </c>
      <c r="G13" s="205">
        <v>8</v>
      </c>
      <c r="H13" s="205">
        <v>8</v>
      </c>
      <c r="I13" s="205">
        <v>8</v>
      </c>
      <c r="J13" s="205">
        <v>8</v>
      </c>
      <c r="K13" s="205">
        <v>8</v>
      </c>
      <c r="L13" s="205">
        <v>8</v>
      </c>
      <c r="M13" s="20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BM50"/>
  <sheetViews>
    <sheetView showGridLines="0" zoomScale="90" zoomScaleNormal="90" workbookViewId="0">
      <pane xSplit="10" ySplit="10" topLeftCell="K11" activePane="bottomRight" state="frozen"/>
      <selection/>
      <selection pane="topRight"/>
      <selection pane="bottomLeft"/>
      <selection pane="bottomRight" activeCell="A1" sqref="A1"/>
    </sheetView>
  </sheetViews>
  <sheetFormatPr defaultColWidth="9.14285714285714" defaultRowHeight="11.25" customHeight="1"/>
  <cols>
    <col min="1" max="2" width="9.14285714285714" hidden="1"/>
    <col min="3" max="4" width="3" customWidth="1"/>
    <col min="5" max="6" width="15" customWidth="1"/>
    <col min="7" max="7" width="11.5714285714286" customWidth="1"/>
    <col min="8" max="9" width="3" customWidth="1"/>
    <col min="10" max="10" width="12" customWidth="1"/>
    <col min="11" max="11" width="0.285714285714286" customWidth="1"/>
    <col min="12" max="13" width="10" customWidth="1"/>
    <col min="14" max="15" width="3" customWidth="1"/>
    <col min="16" max="16" width="19" customWidth="1"/>
    <col min="17" max="17" width="0.285714285714286" customWidth="1"/>
    <col min="18" max="19" width="10" customWidth="1"/>
    <col min="20" max="21" width="3" customWidth="1"/>
    <col min="22" max="22" width="25" customWidth="1"/>
    <col min="23" max="23" width="0.285714285714286" customWidth="1"/>
    <col min="24" max="25" width="10" customWidth="1"/>
    <col min="26" max="27" width="3" customWidth="1"/>
    <col min="28" max="28" width="16" customWidth="1"/>
    <col min="29" max="29" width="0.285714285714286" customWidth="1"/>
    <col min="30" max="31" width="10" customWidth="1"/>
    <col min="32" max="33" width="3" customWidth="1"/>
    <col min="34" max="34" width="8" customWidth="1"/>
    <col min="35" max="35" width="21" customWidth="1"/>
    <col min="36" max="36" width="8" customWidth="1"/>
    <col min="37" max="37" width="8" style="114" customWidth="1"/>
    <col min="38" max="64" width="8" customWidth="1"/>
    <col min="65" max="65" width="9.14285714285714" hidden="1"/>
  </cols>
  <sheetData>
    <row r="1" s="152" customFormat="1" hidden="1" customHeight="1" spans="36:65">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152" t="s">
        <v>14</v>
      </c>
    </row>
    <row r="2" s="1261" customFormat="1" hidden="1" customHeight="1" spans="12:65">
      <c r="L2" s="1261" t="s">
        <v>275</v>
      </c>
      <c r="M2" s="1261" t="s">
        <v>276</v>
      </c>
      <c r="R2" s="1261" t="s">
        <v>277</v>
      </c>
      <c r="S2" s="1261" t="s">
        <v>276</v>
      </c>
      <c r="X2" s="1261" t="s">
        <v>275</v>
      </c>
      <c r="Y2" s="1261" t="s">
        <v>276</v>
      </c>
      <c r="AD2" s="1261" t="s">
        <v>275</v>
      </c>
      <c r="AE2" s="1261" t="s">
        <v>276</v>
      </c>
      <c r="AJ2" s="1264"/>
      <c r="AK2" s="1264"/>
      <c r="AL2" s="1264"/>
      <c r="AM2" s="1264"/>
      <c r="AN2" s="1264"/>
      <c r="AO2" s="1264"/>
      <c r="AP2" s="1264"/>
      <c r="AQ2" s="1264"/>
      <c r="AR2" s="1264"/>
      <c r="AS2" s="1264"/>
      <c r="AT2" s="1264"/>
      <c r="AU2" s="1264"/>
      <c r="AV2" s="1264"/>
      <c r="AW2" s="1264"/>
      <c r="AX2" s="1264"/>
      <c r="AY2" s="1264"/>
      <c r="AZ2" s="1264"/>
      <c r="BA2" s="1264"/>
      <c r="BB2" s="1264"/>
      <c r="BC2" s="1264"/>
      <c r="BD2" s="1264"/>
      <c r="BE2" s="1264"/>
      <c r="BF2" s="1264"/>
      <c r="BG2" s="1264"/>
      <c r="BH2" s="1264"/>
      <c r="BI2" s="1264"/>
      <c r="BJ2" s="1264"/>
      <c r="BK2" s="1264"/>
      <c r="BL2" s="1264"/>
      <c r="BM2" s="1261">
        <v>0</v>
      </c>
    </row>
    <row r="3" s="210" customFormat="1" ht="11.55" customHeight="1" spans="36:65">
      <c r="AJ3"/>
      <c r="AK3" s="114"/>
      <c r="AL3"/>
      <c r="AM3"/>
      <c r="AN3"/>
      <c r="AO3"/>
      <c r="AP3"/>
      <c r="AQ3"/>
      <c r="AR3"/>
      <c r="AS3"/>
      <c r="AT3"/>
      <c r="AU3"/>
      <c r="AV3"/>
      <c r="AW3"/>
      <c r="AX3"/>
      <c r="AY3"/>
      <c r="AZ3"/>
      <c r="BA3"/>
      <c r="BB3"/>
      <c r="BC3"/>
      <c r="BD3"/>
      <c r="BE3"/>
      <c r="BF3"/>
      <c r="BG3"/>
      <c r="BH3"/>
      <c r="BI3"/>
      <c r="BJ3"/>
      <c r="BK3"/>
      <c r="BL3"/>
      <c r="BM3" s="210">
        <v>11</v>
      </c>
    </row>
    <row r="4" s="206" customFormat="1" ht="34.5" customHeight="1" spans="1:65">
      <c r="A4" s="575"/>
      <c r="B4" s="43"/>
      <c r="C4" s="217"/>
      <c r="D4" s="981" t="s">
        <v>278</v>
      </c>
      <c r="E4" s="981"/>
      <c r="F4" s="981"/>
      <c r="G4" s="981"/>
      <c r="H4" s="981"/>
      <c r="I4" s="981"/>
      <c r="J4" s="981"/>
      <c r="K4" s="1231"/>
      <c r="T4" s="1263"/>
      <c r="AJ4" s="1265"/>
      <c r="AK4" s="1266"/>
      <c r="AL4" s="1265"/>
      <c r="AM4" s="1265"/>
      <c r="AN4" s="1265"/>
      <c r="AO4" s="1265"/>
      <c r="AP4" s="1265"/>
      <c r="AQ4" s="1265"/>
      <c r="AR4" s="1265"/>
      <c r="AS4" s="1265"/>
      <c r="AT4" s="1265"/>
      <c r="AU4" s="1265"/>
      <c r="AV4" s="1265"/>
      <c r="AW4" s="1265"/>
      <c r="AX4" s="1265"/>
      <c r="AY4" s="1265"/>
      <c r="AZ4" s="1265"/>
      <c r="BA4" s="1265"/>
      <c r="BB4" s="1265"/>
      <c r="BC4" s="1265"/>
      <c r="BD4" s="1265"/>
      <c r="BE4" s="1265"/>
      <c r="BF4" s="1265"/>
      <c r="BG4" s="1265"/>
      <c r="BH4" s="1265"/>
      <c r="BI4" s="1265"/>
      <c r="BJ4" s="1265"/>
      <c r="BK4" s="1265"/>
      <c r="BL4" s="1265"/>
      <c r="BM4" s="206">
        <v>33</v>
      </c>
    </row>
    <row r="5" s="206" customFormat="1" ht="14.7" customHeight="1" spans="1:65">
      <c r="A5" s="575"/>
      <c r="B5" s="43"/>
      <c r="C5" s="217"/>
      <c r="D5" s="660" t="str">
        <f>IF(org=0,"Не определено",org)</f>
        <v>АО "Теплокоммунэнерго"</v>
      </c>
      <c r="E5" s="660"/>
      <c r="F5" s="660"/>
      <c r="G5" s="660"/>
      <c r="H5" s="660"/>
      <c r="I5" s="660"/>
      <c r="J5" s="660"/>
      <c r="K5" s="1231"/>
      <c r="T5" s="1263"/>
      <c r="AJ5" s="1265"/>
      <c r="AK5" s="1266"/>
      <c r="AL5" s="1265"/>
      <c r="AM5" s="1265"/>
      <c r="AN5" s="1265"/>
      <c r="AO5" s="1265"/>
      <c r="AP5" s="1265"/>
      <c r="AQ5" s="1265"/>
      <c r="AR5" s="1265"/>
      <c r="AS5" s="1265"/>
      <c r="AT5" s="1265"/>
      <c r="AU5" s="1265"/>
      <c r="AV5" s="1265"/>
      <c r="AW5" s="1265"/>
      <c r="AX5" s="1265"/>
      <c r="AY5" s="1265"/>
      <c r="AZ5" s="1265"/>
      <c r="BA5" s="1265"/>
      <c r="BB5" s="1265"/>
      <c r="BC5" s="1265"/>
      <c r="BD5" s="1265"/>
      <c r="BE5" s="1265"/>
      <c r="BF5" s="1265"/>
      <c r="BG5" s="1265"/>
      <c r="BH5" s="1265"/>
      <c r="BI5" s="1265"/>
      <c r="BJ5" s="1265"/>
      <c r="BK5" s="1265"/>
      <c r="BL5" s="1265"/>
      <c r="BM5" s="206">
        <v>14</v>
      </c>
    </row>
    <row r="6" s="206" customFormat="1" ht="14.7" customHeight="1" spans="1:65">
      <c r="A6" s="575"/>
      <c r="B6" s="43"/>
      <c r="C6" s="217"/>
      <c r="D6" s="1231"/>
      <c r="E6" s="1231"/>
      <c r="F6" s="1231"/>
      <c r="G6" s="1231"/>
      <c r="H6" s="1231"/>
      <c r="I6" s="1231"/>
      <c r="J6" s="1231"/>
      <c r="K6" s="1231"/>
      <c r="T6" s="1263"/>
      <c r="AJ6" s="1265"/>
      <c r="AK6" s="1266"/>
      <c r="AL6" s="1265"/>
      <c r="AM6" s="1265"/>
      <c r="AN6" s="1265"/>
      <c r="AO6" s="1265"/>
      <c r="AP6" s="1265"/>
      <c r="AQ6" s="1265"/>
      <c r="AR6" s="1265"/>
      <c r="AS6" s="1265"/>
      <c r="AT6" s="1265"/>
      <c r="AU6" s="1265"/>
      <c r="AV6" s="1265"/>
      <c r="AW6" s="1265"/>
      <c r="AX6" s="1265"/>
      <c r="AY6" s="1265"/>
      <c r="AZ6" s="1265"/>
      <c r="BA6" s="1265"/>
      <c r="BB6" s="1265"/>
      <c r="BC6" s="1265"/>
      <c r="BD6" s="1265"/>
      <c r="BE6" s="1265"/>
      <c r="BF6" s="1265"/>
      <c r="BG6" s="1265"/>
      <c r="BH6" s="1265"/>
      <c r="BI6" s="1265"/>
      <c r="BJ6" s="1265"/>
      <c r="BK6" s="1265"/>
      <c r="BL6" s="1265"/>
      <c r="BM6" s="206">
        <v>14</v>
      </c>
    </row>
    <row r="7" s="152" customFormat="1" ht="1.05" customHeight="1" spans="36:65">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152">
        <v>1</v>
      </c>
    </row>
    <row r="8" ht="33.75" customHeight="1" spans="4:65">
      <c r="D8" s="64" t="s">
        <v>89</v>
      </c>
      <c r="E8" s="64" t="s">
        <v>103</v>
      </c>
      <c r="F8" s="903" t="s">
        <v>120</v>
      </c>
      <c r="G8" s="904"/>
      <c r="H8" s="903" t="s">
        <v>89</v>
      </c>
      <c r="I8" s="904"/>
      <c r="J8" s="64" t="s">
        <v>121</v>
      </c>
      <c r="K8" s="398"/>
      <c r="L8" s="71" t="s">
        <v>279</v>
      </c>
      <c r="M8" s="71"/>
      <c r="N8" s="71"/>
      <c r="O8" s="71"/>
      <c r="P8" s="71"/>
      <c r="Q8" s="903"/>
      <c r="R8" s="126" t="s">
        <v>280</v>
      </c>
      <c r="S8" s="128"/>
      <c r="T8" s="128"/>
      <c r="U8" s="128"/>
      <c r="V8" s="128"/>
      <c r="W8" s="903"/>
      <c r="X8" s="64" t="s">
        <v>281</v>
      </c>
      <c r="Y8" s="64"/>
      <c r="Z8" s="64"/>
      <c r="AA8" s="64"/>
      <c r="AB8" s="64"/>
      <c r="AC8" s="71"/>
      <c r="AD8" s="64" t="s">
        <v>282</v>
      </c>
      <c r="AE8" s="64"/>
      <c r="AF8" s="64"/>
      <c r="AG8" s="64"/>
      <c r="AH8" s="126"/>
      <c r="AI8" s="64" t="s">
        <v>283</v>
      </c>
      <c r="BM8">
        <v>32</v>
      </c>
    </row>
    <row r="9" ht="23.25" customHeight="1" spans="4:65">
      <c r="D9" s="64"/>
      <c r="E9" s="64"/>
      <c r="F9" s="71" t="s">
        <v>90</v>
      </c>
      <c r="G9" s="71" t="s">
        <v>126</v>
      </c>
      <c r="H9" s="905"/>
      <c r="I9" s="906"/>
      <c r="J9" s="126"/>
      <c r="K9" s="905"/>
      <c r="L9" s="64" t="s">
        <v>284</v>
      </c>
      <c r="M9" s="126"/>
      <c r="N9" s="903" t="s">
        <v>89</v>
      </c>
      <c r="O9" s="904"/>
      <c r="P9" s="64" t="s">
        <v>127</v>
      </c>
      <c r="Q9" s="398"/>
      <c r="R9" s="64" t="s">
        <v>284</v>
      </c>
      <c r="S9" s="126"/>
      <c r="T9" s="903" t="s">
        <v>89</v>
      </c>
      <c r="U9" s="904"/>
      <c r="V9" s="64" t="s">
        <v>127</v>
      </c>
      <c r="W9" s="398"/>
      <c r="X9" s="64" t="s">
        <v>284</v>
      </c>
      <c r="Y9" s="126"/>
      <c r="Z9" s="903" t="s">
        <v>89</v>
      </c>
      <c r="AA9" s="904"/>
      <c r="AB9" s="64" t="s">
        <v>285</v>
      </c>
      <c r="AC9" s="398"/>
      <c r="AD9" s="64" t="s">
        <v>284</v>
      </c>
      <c r="AE9" s="126"/>
      <c r="AF9" s="903" t="s">
        <v>89</v>
      </c>
      <c r="AG9" s="904"/>
      <c r="AH9" s="126" t="s">
        <v>285</v>
      </c>
      <c r="AI9" s="64"/>
      <c r="BM9">
        <v>22</v>
      </c>
    </row>
    <row r="10" ht="24" customHeight="1" spans="4:65">
      <c r="D10" s="71"/>
      <c r="E10" s="71"/>
      <c r="F10" s="398"/>
      <c r="G10" s="398"/>
      <c r="H10" s="907"/>
      <c r="I10" s="908"/>
      <c r="J10" s="903"/>
      <c r="K10" s="905"/>
      <c r="L10" s="71" t="s">
        <v>286</v>
      </c>
      <c r="M10" s="903" t="s">
        <v>287</v>
      </c>
      <c r="N10" s="905"/>
      <c r="O10" s="906"/>
      <c r="P10" s="71"/>
      <c r="Q10" s="398"/>
      <c r="R10" s="71" t="s">
        <v>286</v>
      </c>
      <c r="S10" s="903" t="s">
        <v>287</v>
      </c>
      <c r="T10" s="905"/>
      <c r="U10" s="906"/>
      <c r="V10" s="71"/>
      <c r="W10" s="398"/>
      <c r="X10" s="71" t="s">
        <v>286</v>
      </c>
      <c r="Y10" s="903" t="s">
        <v>287</v>
      </c>
      <c r="Z10" s="905"/>
      <c r="AA10" s="906"/>
      <c r="AB10" s="71"/>
      <c r="AC10" s="398"/>
      <c r="AD10" s="71" t="s">
        <v>286</v>
      </c>
      <c r="AE10" s="903" t="s">
        <v>287</v>
      </c>
      <c r="AF10" s="905"/>
      <c r="AG10" s="906"/>
      <c r="AH10" s="903"/>
      <c r="AI10" s="71"/>
      <c r="AK10" s="81" t="s">
        <v>288</v>
      </c>
      <c r="AL10" s="81" t="s">
        <v>128</v>
      </c>
      <c r="BM10">
        <v>23</v>
      </c>
    </row>
    <row r="11" ht="15" customHeight="1" spans="4:65">
      <c r="D11" s="668" t="s">
        <v>107</v>
      </c>
      <c r="E11" s="393" t="s">
        <v>289</v>
      </c>
      <c r="F11" s="393" t="s">
        <v>290</v>
      </c>
      <c r="G11" s="475" t="s">
        <v>19</v>
      </c>
      <c r="H11" s="511"/>
      <c r="I11" s="534"/>
      <c r="J11" s="517"/>
      <c r="K11" s="517"/>
      <c r="L11" s="518"/>
      <c r="M11" s="518"/>
      <c r="N11" s="535"/>
      <c r="O11" s="518"/>
      <c r="P11" s="517"/>
      <c r="Q11" s="517"/>
      <c r="R11" s="518"/>
      <c r="S11" s="518"/>
      <c r="T11" s="549"/>
      <c r="U11" s="518"/>
      <c r="V11" s="517"/>
      <c r="W11" s="518"/>
      <c r="X11" s="518"/>
      <c r="Y11" s="518"/>
      <c r="Z11" s="535"/>
      <c r="AA11" s="518"/>
      <c r="AB11" s="517"/>
      <c r="AC11" s="557"/>
      <c r="AD11" s="518"/>
      <c r="AE11" s="518"/>
      <c r="AF11" s="518"/>
      <c r="AG11" s="518"/>
      <c r="AH11" s="535"/>
      <c r="AI11" s="539"/>
      <c r="BM11">
        <v>14</v>
      </c>
    </row>
    <row r="12" ht="14.7" customHeight="1" spans="4:65">
      <c r="D12" s="668"/>
      <c r="E12" s="393"/>
      <c r="F12" s="393"/>
      <c r="G12" s="477"/>
      <c r="H12" s="512"/>
      <c r="I12" s="536"/>
      <c r="J12" s="521"/>
      <c r="K12" s="42"/>
      <c r="L12" s="522"/>
      <c r="M12" s="522"/>
      <c r="N12" s="40"/>
      <c r="O12" s="522"/>
      <c r="P12" s="521"/>
      <c r="Q12" s="521"/>
      <c r="R12" s="522"/>
      <c r="S12" s="522"/>
      <c r="T12" s="550"/>
      <c r="U12" s="522"/>
      <c r="V12" s="521"/>
      <c r="W12" s="522"/>
      <c r="X12" s="522"/>
      <c r="Y12" s="522"/>
      <c r="Z12" s="40"/>
      <c r="AA12" s="522"/>
      <c r="AB12" s="521"/>
      <c r="AC12" s="42"/>
      <c r="AD12" s="522"/>
      <c r="AE12" s="522"/>
      <c r="AF12" s="525"/>
      <c r="AG12" s="525"/>
      <c r="AH12" s="525"/>
      <c r="AI12" s="540"/>
      <c r="BM12">
        <v>14</v>
      </c>
    </row>
    <row r="13" ht="14.7" customHeight="1" spans="4:65">
      <c r="D13" s="668"/>
      <c r="E13" s="393"/>
      <c r="F13" s="393"/>
      <c r="G13" s="477"/>
      <c r="H13" s="512"/>
      <c r="I13" s="536"/>
      <c r="J13" s="521"/>
      <c r="K13" s="42"/>
      <c r="L13" s="522"/>
      <c r="M13" s="522"/>
      <c r="N13" s="40"/>
      <c r="O13" s="522"/>
      <c r="P13" s="521"/>
      <c r="Q13" s="521"/>
      <c r="R13" s="522"/>
      <c r="S13" s="522"/>
      <c r="T13" s="550"/>
      <c r="U13" s="522"/>
      <c r="V13" s="521"/>
      <c r="W13" s="522"/>
      <c r="X13" s="522"/>
      <c r="Y13" s="522"/>
      <c r="Z13" s="522"/>
      <c r="AA13" s="525"/>
      <c r="AB13" s="525"/>
      <c r="AC13" s="525"/>
      <c r="AD13" s="525"/>
      <c r="AE13" s="525"/>
      <c r="AF13" s="525"/>
      <c r="AG13" s="525"/>
      <c r="AH13" s="525"/>
      <c r="AI13" s="540"/>
      <c r="BM13">
        <v>14</v>
      </c>
    </row>
    <row r="14" ht="14.7" customHeight="1" spans="4:65">
      <c r="D14" s="668"/>
      <c r="E14" s="393"/>
      <c r="F14" s="393"/>
      <c r="G14" s="477"/>
      <c r="H14" s="512"/>
      <c r="I14" s="536"/>
      <c r="J14" s="521"/>
      <c r="K14" s="42"/>
      <c r="L14" s="522"/>
      <c r="M14" s="522"/>
      <c r="N14" s="40"/>
      <c r="O14" s="522"/>
      <c r="P14" s="521"/>
      <c r="Q14" s="521"/>
      <c r="R14" s="522"/>
      <c r="S14" s="522"/>
      <c r="T14" s="265"/>
      <c r="U14" s="551"/>
      <c r="V14" s="525"/>
      <c r="W14" s="525"/>
      <c r="X14" s="525"/>
      <c r="Y14" s="525"/>
      <c r="Z14" s="525"/>
      <c r="AA14" s="525"/>
      <c r="AB14" s="525"/>
      <c r="AC14" s="525"/>
      <c r="AD14" s="525"/>
      <c r="AE14" s="525"/>
      <c r="AF14" s="525"/>
      <c r="AG14" s="525"/>
      <c r="AH14" s="525"/>
      <c r="AI14" s="540"/>
      <c r="BM14">
        <v>14</v>
      </c>
    </row>
    <row r="15" ht="11.55" customHeight="1" spans="4:65">
      <c r="D15" s="668"/>
      <c r="E15" s="393"/>
      <c r="F15" s="393"/>
      <c r="G15" s="477"/>
      <c r="H15" s="513"/>
      <c r="I15" s="536"/>
      <c r="J15" s="521"/>
      <c r="K15" s="42"/>
      <c r="L15" s="522"/>
      <c r="M15" s="522"/>
      <c r="N15" s="525"/>
      <c r="O15" s="525"/>
      <c r="P15" s="525"/>
      <c r="Q15" s="525"/>
      <c r="R15" s="525"/>
      <c r="S15" s="525"/>
      <c r="T15" s="525"/>
      <c r="U15" s="525"/>
      <c r="V15" s="525"/>
      <c r="W15" s="525"/>
      <c r="X15" s="525"/>
      <c r="Y15" s="525"/>
      <c r="Z15" s="525"/>
      <c r="AA15" s="525"/>
      <c r="AB15" s="525"/>
      <c r="AC15" s="525"/>
      <c r="AD15" s="525"/>
      <c r="AE15" s="525"/>
      <c r="AF15" s="525"/>
      <c r="AG15" s="525"/>
      <c r="AH15" s="525"/>
      <c r="AI15" s="540"/>
      <c r="BM15">
        <v>11</v>
      </c>
    </row>
    <row r="16" s="210" customFormat="1" ht="11.55" customHeight="1" spans="4:65">
      <c r="D16" s="848"/>
      <c r="E16" s="553"/>
      <c r="F16" s="1262"/>
      <c r="G16" s="480"/>
      <c r="H16" s="515"/>
      <c r="I16" s="537"/>
      <c r="J16" s="526"/>
      <c r="K16" s="526"/>
      <c r="L16" s="526"/>
      <c r="M16" s="526"/>
      <c r="N16" s="526"/>
      <c r="O16" s="526"/>
      <c r="P16" s="526"/>
      <c r="Q16" s="526"/>
      <c r="R16" s="526"/>
      <c r="S16" s="526"/>
      <c r="T16" s="526"/>
      <c r="U16" s="526"/>
      <c r="V16" s="526"/>
      <c r="W16" s="526"/>
      <c r="X16" s="526"/>
      <c r="Y16" s="526"/>
      <c r="Z16" s="526"/>
      <c r="AA16" s="526"/>
      <c r="AB16" s="526"/>
      <c r="AC16" s="526"/>
      <c r="AD16" s="526"/>
      <c r="AE16" s="526"/>
      <c r="AF16" s="526"/>
      <c r="AG16" s="526"/>
      <c r="AH16" s="526"/>
      <c r="AI16" s="542"/>
      <c r="AJ16"/>
      <c r="AK16" s="114"/>
      <c r="AL16"/>
      <c r="AM16"/>
      <c r="AN16"/>
      <c r="AO16"/>
      <c r="AP16"/>
      <c r="AQ16"/>
      <c r="AR16"/>
      <c r="AS16"/>
      <c r="AT16"/>
      <c r="AU16"/>
      <c r="AV16"/>
      <c r="AW16"/>
      <c r="AX16"/>
      <c r="AY16"/>
      <c r="AZ16"/>
      <c r="BA16"/>
      <c r="BB16"/>
      <c r="BC16"/>
      <c r="BD16"/>
      <c r="BE16"/>
      <c r="BF16"/>
      <c r="BG16"/>
      <c r="BH16"/>
      <c r="BI16"/>
      <c r="BJ16"/>
      <c r="BK16"/>
      <c r="BL16"/>
      <c r="BM16" s="210">
        <v>11</v>
      </c>
    </row>
    <row r="17" ht="15" customHeight="1" spans="4:65">
      <c r="D17" s="668" t="s">
        <v>108</v>
      </c>
      <c r="E17" s="393" t="s">
        <v>289</v>
      </c>
      <c r="F17" s="393" t="s">
        <v>291</v>
      </c>
      <c r="G17" s="475" t="s">
        <v>19</v>
      </c>
      <c r="H17" s="511"/>
      <c r="I17" s="534"/>
      <c r="J17" s="517"/>
      <c r="K17" s="517"/>
      <c r="L17" s="518"/>
      <c r="M17" s="518"/>
      <c r="N17" s="535"/>
      <c r="O17" s="518"/>
      <c r="P17" s="517"/>
      <c r="Q17" s="517"/>
      <c r="R17" s="518"/>
      <c r="S17" s="518"/>
      <c r="T17" s="549"/>
      <c r="U17" s="518"/>
      <c r="V17" s="517"/>
      <c r="W17" s="518"/>
      <c r="X17" s="518"/>
      <c r="Y17" s="518"/>
      <c r="Z17" s="535"/>
      <c r="AA17" s="518"/>
      <c r="AB17" s="517"/>
      <c r="AC17" s="557"/>
      <c r="AD17" s="518"/>
      <c r="AE17" s="518"/>
      <c r="AF17" s="518"/>
      <c r="AG17" s="518"/>
      <c r="AH17" s="535"/>
      <c r="AI17" s="539"/>
      <c r="BM17">
        <v>14</v>
      </c>
    </row>
    <row r="18" ht="14.7" customHeight="1" spans="4:65">
      <c r="D18" s="668"/>
      <c r="E18" s="393"/>
      <c r="F18" s="393"/>
      <c r="G18" s="477"/>
      <c r="H18" s="512"/>
      <c r="I18" s="536"/>
      <c r="J18" s="521"/>
      <c r="K18" s="42"/>
      <c r="L18" s="522"/>
      <c r="M18" s="522"/>
      <c r="N18" s="40"/>
      <c r="O18" s="522"/>
      <c r="P18" s="521"/>
      <c r="Q18" s="521"/>
      <c r="R18" s="522"/>
      <c r="S18" s="522"/>
      <c r="T18" s="550"/>
      <c r="U18" s="522"/>
      <c r="V18" s="521"/>
      <c r="W18" s="522"/>
      <c r="X18" s="522"/>
      <c r="Y18" s="522"/>
      <c r="Z18" s="40"/>
      <c r="AA18" s="522"/>
      <c r="AB18" s="521"/>
      <c r="AC18" s="42"/>
      <c r="AD18" s="522"/>
      <c r="AE18" s="522"/>
      <c r="AF18" s="525"/>
      <c r="AG18" s="525"/>
      <c r="AH18" s="525"/>
      <c r="AI18" s="540"/>
      <c r="BM18">
        <v>14</v>
      </c>
    </row>
    <row r="19" ht="14.7" customHeight="1" spans="4:65">
      <c r="D19" s="668"/>
      <c r="E19" s="393"/>
      <c r="F19" s="393"/>
      <c r="G19" s="477"/>
      <c r="H19" s="512"/>
      <c r="I19" s="536"/>
      <c r="J19" s="521"/>
      <c r="K19" s="42"/>
      <c r="L19" s="522"/>
      <c r="M19" s="522"/>
      <c r="N19" s="40"/>
      <c r="O19" s="522"/>
      <c r="P19" s="521"/>
      <c r="Q19" s="521"/>
      <c r="R19" s="522"/>
      <c r="S19" s="522"/>
      <c r="T19" s="550"/>
      <c r="U19" s="522"/>
      <c r="V19" s="521"/>
      <c r="W19" s="522"/>
      <c r="X19" s="522"/>
      <c r="Y19" s="522"/>
      <c r="Z19" s="522"/>
      <c r="AA19" s="525"/>
      <c r="AB19" s="525"/>
      <c r="AC19" s="525"/>
      <c r="AD19" s="525"/>
      <c r="AE19" s="525"/>
      <c r="AF19" s="525"/>
      <c r="AG19" s="525"/>
      <c r="AH19" s="525"/>
      <c r="AI19" s="540"/>
      <c r="BM19">
        <v>14</v>
      </c>
    </row>
    <row r="20" ht="14.7" customHeight="1" spans="4:65">
      <c r="D20" s="668"/>
      <c r="E20" s="393"/>
      <c r="F20" s="393"/>
      <c r="G20" s="477"/>
      <c r="H20" s="512"/>
      <c r="I20" s="536"/>
      <c r="J20" s="521"/>
      <c r="K20" s="42"/>
      <c r="L20" s="522"/>
      <c r="M20" s="522"/>
      <c r="N20" s="40"/>
      <c r="O20" s="522"/>
      <c r="P20" s="521"/>
      <c r="Q20" s="521"/>
      <c r="R20" s="522"/>
      <c r="S20" s="522"/>
      <c r="T20" s="265"/>
      <c r="U20" s="551"/>
      <c r="V20" s="525"/>
      <c r="W20" s="525"/>
      <c r="X20" s="525"/>
      <c r="Y20" s="525"/>
      <c r="Z20" s="525"/>
      <c r="AA20" s="525"/>
      <c r="AB20" s="525"/>
      <c r="AC20" s="525"/>
      <c r="AD20" s="525"/>
      <c r="AE20" s="525"/>
      <c r="AF20" s="525"/>
      <c r="AG20" s="525"/>
      <c r="AH20" s="525"/>
      <c r="AI20" s="540"/>
      <c r="BM20">
        <v>14</v>
      </c>
    </row>
    <row r="21" ht="11.55" customHeight="1" spans="4:65">
      <c r="D21" s="668"/>
      <c r="E21" s="393"/>
      <c r="F21" s="393"/>
      <c r="G21" s="477"/>
      <c r="H21" s="513"/>
      <c r="I21" s="536"/>
      <c r="J21" s="521"/>
      <c r="K21" s="42"/>
      <c r="L21" s="522"/>
      <c r="M21" s="522"/>
      <c r="N21" s="525"/>
      <c r="O21" s="525"/>
      <c r="P21" s="525"/>
      <c r="Q21" s="525"/>
      <c r="R21" s="525"/>
      <c r="S21" s="525"/>
      <c r="T21" s="525"/>
      <c r="U21" s="525"/>
      <c r="V21" s="525"/>
      <c r="W21" s="525"/>
      <c r="X21" s="525"/>
      <c r="Y21" s="525"/>
      <c r="Z21" s="525"/>
      <c r="AA21" s="525"/>
      <c r="AB21" s="525"/>
      <c r="AC21" s="525"/>
      <c r="AD21" s="525"/>
      <c r="AE21" s="525"/>
      <c r="AF21" s="525"/>
      <c r="AG21" s="525"/>
      <c r="AH21" s="525"/>
      <c r="AI21" s="540"/>
      <c r="BM21">
        <v>11</v>
      </c>
    </row>
    <row r="22" s="210" customFormat="1" ht="11.55" customHeight="1" spans="4:65">
      <c r="D22" s="848"/>
      <c r="E22" s="553"/>
      <c r="F22" s="1262"/>
      <c r="G22" s="480"/>
      <c r="H22" s="515"/>
      <c r="I22" s="537"/>
      <c r="J22" s="526"/>
      <c r="K22" s="526"/>
      <c r="L22" s="526"/>
      <c r="M22" s="526"/>
      <c r="N22" s="526"/>
      <c r="O22" s="526"/>
      <c r="P22" s="526"/>
      <c r="Q22" s="526"/>
      <c r="R22" s="526"/>
      <c r="S22" s="526"/>
      <c r="T22" s="526"/>
      <c r="U22" s="526"/>
      <c r="V22" s="526"/>
      <c r="W22" s="526"/>
      <c r="X22" s="526"/>
      <c r="Y22" s="526"/>
      <c r="Z22" s="526"/>
      <c r="AA22" s="526"/>
      <c r="AB22" s="526"/>
      <c r="AC22" s="526"/>
      <c r="AD22" s="526"/>
      <c r="AE22" s="526"/>
      <c r="AF22" s="526"/>
      <c r="AG22" s="526"/>
      <c r="AH22" s="526"/>
      <c r="AI22" s="542"/>
      <c r="AJ22"/>
      <c r="AK22" s="114"/>
      <c r="AL22"/>
      <c r="AM22"/>
      <c r="AN22"/>
      <c r="AO22"/>
      <c r="AP22"/>
      <c r="AQ22"/>
      <c r="AR22"/>
      <c r="AS22"/>
      <c r="AT22"/>
      <c r="AU22"/>
      <c r="AV22"/>
      <c r="AW22"/>
      <c r="AX22"/>
      <c r="AY22"/>
      <c r="AZ22"/>
      <c r="BA22"/>
      <c r="BB22"/>
      <c r="BC22"/>
      <c r="BD22"/>
      <c r="BE22"/>
      <c r="BF22"/>
      <c r="BG22"/>
      <c r="BH22"/>
      <c r="BI22"/>
      <c r="BJ22"/>
      <c r="BK22"/>
      <c r="BL22"/>
      <c r="BM22" s="210">
        <v>11</v>
      </c>
    </row>
    <row r="23" ht="15" customHeight="1" spans="4:65">
      <c r="D23" s="668" t="s">
        <v>91</v>
      </c>
      <c r="E23" s="393" t="s">
        <v>289</v>
      </c>
      <c r="F23" s="393" t="s">
        <v>292</v>
      </c>
      <c r="G23" s="475" t="s">
        <v>19</v>
      </c>
      <c r="H23" s="511"/>
      <c r="I23" s="534"/>
      <c r="J23" s="517"/>
      <c r="K23" s="517"/>
      <c r="L23" s="518"/>
      <c r="M23" s="518"/>
      <c r="N23" s="535"/>
      <c r="O23" s="518"/>
      <c r="P23" s="517"/>
      <c r="Q23" s="517"/>
      <c r="R23" s="518"/>
      <c r="S23" s="518"/>
      <c r="T23" s="549"/>
      <c r="U23" s="518"/>
      <c r="V23" s="517"/>
      <c r="W23" s="518"/>
      <c r="X23" s="518"/>
      <c r="Y23" s="518"/>
      <c r="Z23" s="535"/>
      <c r="AA23" s="518"/>
      <c r="AB23" s="517"/>
      <c r="AC23" s="557"/>
      <c r="AD23" s="518"/>
      <c r="AE23" s="518"/>
      <c r="AF23" s="518"/>
      <c r="AG23" s="518"/>
      <c r="AH23" s="535"/>
      <c r="AI23" s="539"/>
      <c r="AK23" s="114" t="s">
        <v>99</v>
      </c>
      <c r="BM23">
        <v>14</v>
      </c>
    </row>
    <row r="24" ht="14.7" customHeight="1" spans="4:65">
      <c r="D24" s="668"/>
      <c r="E24" s="393"/>
      <c r="F24" s="393"/>
      <c r="G24" s="477"/>
      <c r="H24" s="512"/>
      <c r="I24" s="536"/>
      <c r="J24" s="521"/>
      <c r="K24" s="42"/>
      <c r="L24" s="522"/>
      <c r="M24" s="522"/>
      <c r="N24" s="40"/>
      <c r="O24" s="522"/>
      <c r="P24" s="521"/>
      <c r="Q24" s="521"/>
      <c r="R24" s="522"/>
      <c r="S24" s="522"/>
      <c r="T24" s="550"/>
      <c r="U24" s="522"/>
      <c r="V24" s="521"/>
      <c r="W24" s="522"/>
      <c r="X24" s="522"/>
      <c r="Y24" s="522"/>
      <c r="Z24" s="40"/>
      <c r="AA24" s="522"/>
      <c r="AB24" s="521"/>
      <c r="AC24" s="42"/>
      <c r="AD24" s="522"/>
      <c r="AE24" s="522"/>
      <c r="AF24" s="525"/>
      <c r="AG24" s="525"/>
      <c r="AH24" s="525"/>
      <c r="AI24" s="540"/>
      <c r="BM24">
        <v>14</v>
      </c>
    </row>
    <row r="25" ht="14.7" customHeight="1" spans="4:65">
      <c r="D25" s="668"/>
      <c r="E25" s="393"/>
      <c r="F25" s="393"/>
      <c r="G25" s="477"/>
      <c r="H25" s="512"/>
      <c r="I25" s="536"/>
      <c r="J25" s="521"/>
      <c r="K25" s="42"/>
      <c r="L25" s="522"/>
      <c r="M25" s="522"/>
      <c r="N25" s="40"/>
      <c r="O25" s="522"/>
      <c r="P25" s="521"/>
      <c r="Q25" s="521"/>
      <c r="R25" s="522"/>
      <c r="S25" s="522"/>
      <c r="T25" s="550"/>
      <c r="U25" s="522"/>
      <c r="V25" s="521"/>
      <c r="W25" s="522"/>
      <c r="X25" s="522"/>
      <c r="Y25" s="522"/>
      <c r="Z25" s="522"/>
      <c r="AA25" s="525"/>
      <c r="AB25" s="525"/>
      <c r="AC25" s="525"/>
      <c r="AD25" s="525"/>
      <c r="AE25" s="525"/>
      <c r="AF25" s="525"/>
      <c r="AG25" s="525"/>
      <c r="AH25" s="525"/>
      <c r="AI25" s="540"/>
      <c r="BM25">
        <v>14</v>
      </c>
    </row>
    <row r="26" ht="14.7" customHeight="1" spans="4:65">
      <c r="D26" s="668"/>
      <c r="E26" s="393"/>
      <c r="F26" s="393"/>
      <c r="G26" s="477"/>
      <c r="H26" s="512"/>
      <c r="I26" s="536"/>
      <c r="J26" s="521"/>
      <c r="K26" s="42"/>
      <c r="L26" s="522"/>
      <c r="M26" s="522"/>
      <c r="N26" s="40"/>
      <c r="O26" s="522"/>
      <c r="P26" s="521"/>
      <c r="Q26" s="521"/>
      <c r="R26" s="522"/>
      <c r="S26" s="522"/>
      <c r="T26" s="265"/>
      <c r="U26" s="551"/>
      <c r="V26" s="525"/>
      <c r="W26" s="525"/>
      <c r="X26" s="525"/>
      <c r="Y26" s="525"/>
      <c r="Z26" s="525"/>
      <c r="AA26" s="525"/>
      <c r="AB26" s="525"/>
      <c r="AC26" s="525"/>
      <c r="AD26" s="525"/>
      <c r="AE26" s="525"/>
      <c r="AF26" s="525"/>
      <c r="AG26" s="525"/>
      <c r="AH26" s="525"/>
      <c r="AI26" s="540"/>
      <c r="BM26">
        <v>14</v>
      </c>
    </row>
    <row r="27" ht="11.55" customHeight="1" spans="4:65">
      <c r="D27" s="668"/>
      <c r="E27" s="393"/>
      <c r="F27" s="393"/>
      <c r="G27" s="477"/>
      <c r="H27" s="513"/>
      <c r="I27" s="536"/>
      <c r="J27" s="521"/>
      <c r="K27" s="42"/>
      <c r="L27" s="522"/>
      <c r="M27" s="522"/>
      <c r="N27" s="525"/>
      <c r="O27" s="525"/>
      <c r="P27" s="525"/>
      <c r="Q27" s="525"/>
      <c r="R27" s="525"/>
      <c r="S27" s="525"/>
      <c r="T27" s="525"/>
      <c r="U27" s="525"/>
      <c r="V27" s="525"/>
      <c r="W27" s="525"/>
      <c r="X27" s="525"/>
      <c r="Y27" s="525"/>
      <c r="Z27" s="525"/>
      <c r="AA27" s="525"/>
      <c r="AB27" s="525"/>
      <c r="AC27" s="525"/>
      <c r="AD27" s="525"/>
      <c r="AE27" s="525"/>
      <c r="AF27" s="525"/>
      <c r="AG27" s="525"/>
      <c r="AH27" s="525"/>
      <c r="AI27" s="540"/>
      <c r="BM27">
        <v>11</v>
      </c>
    </row>
    <row r="28" s="210" customFormat="1" ht="11.55" customHeight="1" spans="4:65">
      <c r="D28" s="848"/>
      <c r="E28" s="553"/>
      <c r="F28" s="1262"/>
      <c r="G28" s="480"/>
      <c r="H28" s="515"/>
      <c r="I28" s="537"/>
      <c r="J28" s="526"/>
      <c r="K28" s="526"/>
      <c r="L28" s="526"/>
      <c r="M28" s="526"/>
      <c r="N28" s="526"/>
      <c r="O28" s="526"/>
      <c r="P28" s="526"/>
      <c r="Q28" s="526"/>
      <c r="R28" s="526"/>
      <c r="S28" s="526"/>
      <c r="T28" s="526"/>
      <c r="U28" s="526"/>
      <c r="V28" s="526"/>
      <c r="W28" s="526"/>
      <c r="X28" s="526"/>
      <c r="Y28" s="526"/>
      <c r="Z28" s="526"/>
      <c r="AA28" s="526"/>
      <c r="AB28" s="526"/>
      <c r="AC28" s="526"/>
      <c r="AD28" s="526"/>
      <c r="AE28" s="526"/>
      <c r="AF28" s="526"/>
      <c r="AG28" s="526"/>
      <c r="AH28" s="526"/>
      <c r="AI28" s="542"/>
      <c r="AJ28"/>
      <c r="AK28" s="114"/>
      <c r="AL28"/>
      <c r="AM28"/>
      <c r="AN28"/>
      <c r="AO28"/>
      <c r="AP28"/>
      <c r="AQ28"/>
      <c r="AR28"/>
      <c r="AS28"/>
      <c r="AT28"/>
      <c r="AU28"/>
      <c r="AV28"/>
      <c r="AW28"/>
      <c r="AX28"/>
      <c r="AY28"/>
      <c r="AZ28"/>
      <c r="BA28"/>
      <c r="BB28"/>
      <c r="BC28"/>
      <c r="BD28"/>
      <c r="BE28"/>
      <c r="BF28"/>
      <c r="BG28"/>
      <c r="BH28"/>
      <c r="BI28"/>
      <c r="BJ28"/>
      <c r="BK28"/>
      <c r="BL28"/>
      <c r="BM28" s="210">
        <v>11</v>
      </c>
    </row>
    <row r="29" ht="15" customHeight="1" spans="4:65">
      <c r="D29" s="668" t="s">
        <v>92</v>
      </c>
      <c r="E29" s="393" t="s">
        <v>289</v>
      </c>
      <c r="F29" s="393" t="s">
        <v>293</v>
      </c>
      <c r="G29" s="475" t="s">
        <v>19</v>
      </c>
      <c r="H29" s="511"/>
      <c r="I29" s="534"/>
      <c r="J29" s="517"/>
      <c r="K29" s="517"/>
      <c r="L29" s="518"/>
      <c r="M29" s="518"/>
      <c r="N29" s="535"/>
      <c r="O29" s="518"/>
      <c r="P29" s="517"/>
      <c r="Q29" s="517"/>
      <c r="R29" s="518"/>
      <c r="S29" s="518"/>
      <c r="T29" s="549"/>
      <c r="U29" s="518"/>
      <c r="V29" s="517"/>
      <c r="W29" s="518"/>
      <c r="X29" s="518"/>
      <c r="Y29" s="518"/>
      <c r="Z29" s="535"/>
      <c r="AA29" s="518"/>
      <c r="AB29" s="517"/>
      <c r="AC29" s="557"/>
      <c r="AD29" s="518"/>
      <c r="AE29" s="518"/>
      <c r="AF29" s="518"/>
      <c r="AG29" s="518"/>
      <c r="AH29" s="535"/>
      <c r="AI29" s="539"/>
      <c r="BM29">
        <v>14</v>
      </c>
    </row>
    <row r="30" ht="14.7" customHeight="1" spans="4:65">
      <c r="D30" s="668"/>
      <c r="E30" s="393"/>
      <c r="F30" s="393"/>
      <c r="G30" s="477"/>
      <c r="H30" s="512"/>
      <c r="I30" s="536"/>
      <c r="J30" s="521"/>
      <c r="K30" s="42"/>
      <c r="L30" s="522"/>
      <c r="M30" s="522"/>
      <c r="N30" s="40"/>
      <c r="O30" s="522"/>
      <c r="P30" s="521"/>
      <c r="Q30" s="521"/>
      <c r="R30" s="522"/>
      <c r="S30" s="522"/>
      <c r="T30" s="550"/>
      <c r="U30" s="522"/>
      <c r="V30" s="521"/>
      <c r="W30" s="522"/>
      <c r="X30" s="522"/>
      <c r="Y30" s="522"/>
      <c r="Z30" s="40"/>
      <c r="AA30" s="522"/>
      <c r="AB30" s="521"/>
      <c r="AC30" s="42"/>
      <c r="AD30" s="522"/>
      <c r="AE30" s="522"/>
      <c r="AF30" s="525"/>
      <c r="AG30" s="525"/>
      <c r="AH30" s="525"/>
      <c r="AI30" s="540"/>
      <c r="BM30">
        <v>14</v>
      </c>
    </row>
    <row r="31" ht="14.7" customHeight="1" spans="4:65">
      <c r="D31" s="668"/>
      <c r="E31" s="393"/>
      <c r="F31" s="393"/>
      <c r="G31" s="477"/>
      <c r="H31" s="512"/>
      <c r="I31" s="536"/>
      <c r="J31" s="521"/>
      <c r="K31" s="42"/>
      <c r="L31" s="522"/>
      <c r="M31" s="522"/>
      <c r="N31" s="40"/>
      <c r="O31" s="522"/>
      <c r="P31" s="521"/>
      <c r="Q31" s="521"/>
      <c r="R31" s="522"/>
      <c r="S31" s="522"/>
      <c r="T31" s="550"/>
      <c r="U31" s="522"/>
      <c r="V31" s="521"/>
      <c r="W31" s="522"/>
      <c r="X31" s="522"/>
      <c r="Y31" s="522"/>
      <c r="Z31" s="522"/>
      <c r="AA31" s="525"/>
      <c r="AB31" s="525"/>
      <c r="AC31" s="525"/>
      <c r="AD31" s="525"/>
      <c r="AE31" s="525"/>
      <c r="AF31" s="525"/>
      <c r="AG31" s="525"/>
      <c r="AH31" s="525"/>
      <c r="AI31" s="540"/>
      <c r="BM31">
        <v>14</v>
      </c>
    </row>
    <row r="32" ht="14.7" customHeight="1" spans="4:65">
      <c r="D32" s="668"/>
      <c r="E32" s="393"/>
      <c r="F32" s="393"/>
      <c r="G32" s="477"/>
      <c r="H32" s="512"/>
      <c r="I32" s="536"/>
      <c r="J32" s="521"/>
      <c r="K32" s="42"/>
      <c r="L32" s="522"/>
      <c r="M32" s="522"/>
      <c r="N32" s="40"/>
      <c r="O32" s="522"/>
      <c r="P32" s="521"/>
      <c r="Q32" s="521"/>
      <c r="R32" s="522"/>
      <c r="S32" s="522"/>
      <c r="T32" s="265"/>
      <c r="U32" s="551"/>
      <c r="V32" s="525"/>
      <c r="W32" s="525"/>
      <c r="X32" s="525"/>
      <c r="Y32" s="525"/>
      <c r="Z32" s="525"/>
      <c r="AA32" s="525"/>
      <c r="AB32" s="525"/>
      <c r="AC32" s="525"/>
      <c r="AD32" s="525"/>
      <c r="AE32" s="525"/>
      <c r="AF32" s="525"/>
      <c r="AG32" s="525"/>
      <c r="AH32" s="525"/>
      <c r="AI32" s="540"/>
      <c r="BM32">
        <v>14</v>
      </c>
    </row>
    <row r="33" ht="11.55" customHeight="1" spans="4:65">
      <c r="D33" s="668"/>
      <c r="E33" s="393"/>
      <c r="F33" s="393"/>
      <c r="G33" s="477"/>
      <c r="H33" s="513"/>
      <c r="I33" s="536"/>
      <c r="J33" s="521"/>
      <c r="K33" s="42"/>
      <c r="L33" s="522"/>
      <c r="M33" s="522"/>
      <c r="N33" s="525"/>
      <c r="O33" s="525"/>
      <c r="P33" s="525"/>
      <c r="Q33" s="525"/>
      <c r="R33" s="525"/>
      <c r="S33" s="525"/>
      <c r="T33" s="525"/>
      <c r="U33" s="525"/>
      <c r="V33" s="525"/>
      <c r="W33" s="525"/>
      <c r="X33" s="525"/>
      <c r="Y33" s="525"/>
      <c r="Z33" s="525"/>
      <c r="AA33" s="525"/>
      <c r="AB33" s="525"/>
      <c r="AC33" s="525"/>
      <c r="AD33" s="525"/>
      <c r="AE33" s="525"/>
      <c r="AF33" s="525"/>
      <c r="AG33" s="525"/>
      <c r="AH33" s="525"/>
      <c r="AI33" s="540"/>
      <c r="BM33">
        <v>11</v>
      </c>
    </row>
    <row r="34" s="210" customFormat="1" ht="11.55" customHeight="1" spans="4:65">
      <c r="D34" s="848"/>
      <c r="E34" s="553"/>
      <c r="F34" s="1262"/>
      <c r="G34" s="480"/>
      <c r="H34" s="515"/>
      <c r="I34" s="537"/>
      <c r="J34" s="526"/>
      <c r="K34" s="526"/>
      <c r="L34" s="526"/>
      <c r="M34" s="526"/>
      <c r="N34" s="526"/>
      <c r="O34" s="526"/>
      <c r="P34" s="526"/>
      <c r="Q34" s="526"/>
      <c r="R34" s="526"/>
      <c r="S34" s="526"/>
      <c r="T34" s="526"/>
      <c r="U34" s="526"/>
      <c r="V34" s="526"/>
      <c r="W34" s="526"/>
      <c r="X34" s="526"/>
      <c r="Y34" s="526"/>
      <c r="Z34" s="526"/>
      <c r="AA34" s="526"/>
      <c r="AB34" s="526"/>
      <c r="AC34" s="526"/>
      <c r="AD34" s="526"/>
      <c r="AE34" s="526"/>
      <c r="AF34" s="526"/>
      <c r="AG34" s="526"/>
      <c r="AH34" s="526"/>
      <c r="AI34" s="542"/>
      <c r="AJ34"/>
      <c r="AK34" s="114"/>
      <c r="AL34"/>
      <c r="AM34"/>
      <c r="AN34"/>
      <c r="AO34"/>
      <c r="AP34"/>
      <c r="AQ34"/>
      <c r="AR34"/>
      <c r="AS34"/>
      <c r="AT34"/>
      <c r="AU34"/>
      <c r="AV34"/>
      <c r="AW34"/>
      <c r="AX34"/>
      <c r="AY34"/>
      <c r="AZ34"/>
      <c r="BA34"/>
      <c r="BB34"/>
      <c r="BC34"/>
      <c r="BD34"/>
      <c r="BE34"/>
      <c r="BF34"/>
      <c r="BG34"/>
      <c r="BH34"/>
      <c r="BI34"/>
      <c r="BJ34"/>
      <c r="BK34"/>
      <c r="BL34"/>
      <c r="BM34" s="210">
        <v>11</v>
      </c>
    </row>
    <row r="35" ht="15" customHeight="1" spans="4:65">
      <c r="D35" s="668" t="s">
        <v>109</v>
      </c>
      <c r="E35" s="393" t="s">
        <v>289</v>
      </c>
      <c r="F35" s="393" t="s">
        <v>294</v>
      </c>
      <c r="G35" s="475" t="s">
        <v>19</v>
      </c>
      <c r="H35" s="511"/>
      <c r="I35" s="534"/>
      <c r="J35" s="517"/>
      <c r="K35" s="517"/>
      <c r="L35" s="518"/>
      <c r="M35" s="518"/>
      <c r="N35" s="535"/>
      <c r="O35" s="518"/>
      <c r="P35" s="517"/>
      <c r="Q35" s="517"/>
      <c r="R35" s="518"/>
      <c r="S35" s="518"/>
      <c r="T35" s="549"/>
      <c r="U35" s="518"/>
      <c r="V35" s="517"/>
      <c r="W35" s="518"/>
      <c r="X35" s="518"/>
      <c r="Y35" s="518"/>
      <c r="Z35" s="535"/>
      <c r="AA35" s="518"/>
      <c r="AB35" s="517"/>
      <c r="AC35" s="557"/>
      <c r="AD35" s="518"/>
      <c r="AE35" s="518"/>
      <c r="AF35" s="518"/>
      <c r="AG35" s="518"/>
      <c r="AH35" s="535"/>
      <c r="AI35" s="539"/>
      <c r="BM35">
        <v>14</v>
      </c>
    </row>
    <row r="36" ht="14.7" customHeight="1" spans="4:65">
      <c r="D36" s="668"/>
      <c r="E36" s="393"/>
      <c r="F36" s="393"/>
      <c r="G36" s="477"/>
      <c r="H36" s="512"/>
      <c r="I36" s="536"/>
      <c r="J36" s="521"/>
      <c r="K36" s="42"/>
      <c r="L36" s="522"/>
      <c r="M36" s="522"/>
      <c r="N36" s="40"/>
      <c r="O36" s="522"/>
      <c r="P36" s="521"/>
      <c r="Q36" s="521"/>
      <c r="R36" s="522"/>
      <c r="S36" s="522"/>
      <c r="T36" s="550"/>
      <c r="U36" s="522"/>
      <c r="V36" s="521"/>
      <c r="W36" s="522"/>
      <c r="X36" s="522"/>
      <c r="Y36" s="522"/>
      <c r="Z36" s="40"/>
      <c r="AA36" s="522"/>
      <c r="AB36" s="521"/>
      <c r="AC36" s="42"/>
      <c r="AD36" s="522"/>
      <c r="AE36" s="522"/>
      <c r="AF36" s="525"/>
      <c r="AG36" s="525"/>
      <c r="AH36" s="525"/>
      <c r="AI36" s="540"/>
      <c r="BM36">
        <v>14</v>
      </c>
    </row>
    <row r="37" ht="14.7" customHeight="1" spans="4:65">
      <c r="D37" s="668"/>
      <c r="E37" s="393"/>
      <c r="F37" s="393"/>
      <c r="G37" s="477"/>
      <c r="H37" s="512"/>
      <c r="I37" s="536"/>
      <c r="J37" s="521"/>
      <c r="K37" s="42"/>
      <c r="L37" s="522"/>
      <c r="M37" s="522"/>
      <c r="N37" s="40"/>
      <c r="O37" s="522"/>
      <c r="P37" s="521"/>
      <c r="Q37" s="521"/>
      <c r="R37" s="522"/>
      <c r="S37" s="522"/>
      <c r="T37" s="550"/>
      <c r="U37" s="522"/>
      <c r="V37" s="521"/>
      <c r="W37" s="522"/>
      <c r="X37" s="522"/>
      <c r="Y37" s="522"/>
      <c r="Z37" s="522"/>
      <c r="AA37" s="525"/>
      <c r="AB37" s="525"/>
      <c r="AC37" s="525"/>
      <c r="AD37" s="525"/>
      <c r="AE37" s="525"/>
      <c r="AF37" s="525"/>
      <c r="AG37" s="525"/>
      <c r="AH37" s="525"/>
      <c r="AI37" s="540"/>
      <c r="BM37">
        <v>14</v>
      </c>
    </row>
    <row r="38" ht="14.7" customHeight="1" spans="4:65">
      <c r="D38" s="668"/>
      <c r="E38" s="393"/>
      <c r="F38" s="393"/>
      <c r="G38" s="477"/>
      <c r="H38" s="512"/>
      <c r="I38" s="536"/>
      <c r="J38" s="521"/>
      <c r="K38" s="42"/>
      <c r="L38" s="522"/>
      <c r="M38" s="522"/>
      <c r="N38" s="40"/>
      <c r="O38" s="522"/>
      <c r="P38" s="521"/>
      <c r="Q38" s="521"/>
      <c r="R38" s="522"/>
      <c r="S38" s="522"/>
      <c r="T38" s="265"/>
      <c r="U38" s="551"/>
      <c r="V38" s="525"/>
      <c r="W38" s="525"/>
      <c r="X38" s="525"/>
      <c r="Y38" s="525"/>
      <c r="Z38" s="525"/>
      <c r="AA38" s="525"/>
      <c r="AB38" s="525"/>
      <c r="AC38" s="525"/>
      <c r="AD38" s="525"/>
      <c r="AE38" s="525"/>
      <c r="AF38" s="525"/>
      <c r="AG38" s="525"/>
      <c r="AH38" s="525"/>
      <c r="AI38" s="540"/>
      <c r="BM38">
        <v>14</v>
      </c>
    </row>
    <row r="39" ht="11.55" customHeight="1" spans="4:65">
      <c r="D39" s="668"/>
      <c r="E39" s="393"/>
      <c r="F39" s="393"/>
      <c r="G39" s="477"/>
      <c r="H39" s="513"/>
      <c r="I39" s="536"/>
      <c r="J39" s="521"/>
      <c r="K39" s="42"/>
      <c r="L39" s="522"/>
      <c r="M39" s="522"/>
      <c r="N39" s="525"/>
      <c r="O39" s="525"/>
      <c r="P39" s="525"/>
      <c r="Q39" s="525"/>
      <c r="R39" s="525"/>
      <c r="S39" s="525"/>
      <c r="T39" s="525"/>
      <c r="U39" s="525"/>
      <c r="V39" s="525"/>
      <c r="W39" s="525"/>
      <c r="X39" s="525"/>
      <c r="Y39" s="525"/>
      <c r="Z39" s="525"/>
      <c r="AA39" s="525"/>
      <c r="AB39" s="525"/>
      <c r="AC39" s="525"/>
      <c r="AD39" s="525"/>
      <c r="AE39" s="525"/>
      <c r="AF39" s="525"/>
      <c r="AG39" s="525"/>
      <c r="AH39" s="525"/>
      <c r="AI39" s="540"/>
      <c r="BM39">
        <v>11</v>
      </c>
    </row>
    <row r="40" s="210" customFormat="1" ht="11.55" customHeight="1" spans="4:65">
      <c r="D40" s="668"/>
      <c r="E40" s="393"/>
      <c r="F40" s="514"/>
      <c r="G40" s="480"/>
      <c r="H40" s="515"/>
      <c r="I40" s="537"/>
      <c r="J40" s="526"/>
      <c r="K40" s="526"/>
      <c r="L40" s="526"/>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42"/>
      <c r="AJ40"/>
      <c r="AK40" s="114"/>
      <c r="AL40"/>
      <c r="AM40"/>
      <c r="AN40"/>
      <c r="AO40"/>
      <c r="AP40"/>
      <c r="AQ40"/>
      <c r="AR40"/>
      <c r="AS40"/>
      <c r="AT40"/>
      <c r="AU40"/>
      <c r="AV40"/>
      <c r="AW40"/>
      <c r="AX40"/>
      <c r="AY40"/>
      <c r="AZ40"/>
      <c r="BA40"/>
      <c r="BB40"/>
      <c r="BC40"/>
      <c r="BD40"/>
      <c r="BE40"/>
      <c r="BF40"/>
      <c r="BG40"/>
      <c r="BH40"/>
      <c r="BI40"/>
      <c r="BJ40"/>
      <c r="BK40"/>
      <c r="BL40"/>
      <c r="BM40" s="210">
        <v>11</v>
      </c>
    </row>
    <row r="41" ht="11.55" customHeight="1" spans="37:65">
      <c r="AK41"/>
      <c r="BM41">
        <v>11</v>
      </c>
    </row>
    <row r="42" ht="11.55" customHeight="1" spans="37:65">
      <c r="AK42"/>
      <c r="BM42">
        <v>11</v>
      </c>
    </row>
    <row r="43" ht="11.55" customHeight="1" spans="37:65">
      <c r="AK43"/>
      <c r="BM43">
        <v>11</v>
      </c>
    </row>
    <row r="44" ht="11.55" customHeight="1" spans="37:65">
      <c r="AK44"/>
      <c r="BM44">
        <v>11</v>
      </c>
    </row>
    <row r="45" ht="11.55" customHeight="1" spans="37:65">
      <c r="AK45"/>
      <c r="BM45">
        <v>11</v>
      </c>
    </row>
    <row r="46" ht="11.55" customHeight="1" spans="37:65">
      <c r="AK46"/>
      <c r="BM46">
        <v>11</v>
      </c>
    </row>
    <row r="47" ht="11.55" customHeight="1" spans="37:65">
      <c r="AK47"/>
      <c r="BM47">
        <v>11</v>
      </c>
    </row>
    <row r="48" ht="11.55" customHeight="1" spans="37:65">
      <c r="AK48"/>
      <c r="BM48">
        <v>11</v>
      </c>
    </row>
    <row r="49" ht="11.55" customHeight="1" spans="37:65">
      <c r="AK49"/>
      <c r="BM49">
        <v>11</v>
      </c>
    </row>
    <row r="50" hidden="1" customHeight="1" spans="1:65">
      <c r="A50" t="s">
        <v>83</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114">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5:J5"/>
    <mergeCell ref="F8:G8"/>
    <mergeCell ref="L8:P8"/>
    <mergeCell ref="R8:V8"/>
    <mergeCell ref="X8:AB8"/>
    <mergeCell ref="AD8:AH8"/>
    <mergeCell ref="L9:M9"/>
    <mergeCell ref="R9:S9"/>
    <mergeCell ref="X9:Y9"/>
    <mergeCell ref="AD9:AE9"/>
    <mergeCell ref="AH12:AI12"/>
    <mergeCell ref="AB13:AI13"/>
    <mergeCell ref="V14:AI14"/>
    <mergeCell ref="P15:AI15"/>
    <mergeCell ref="J16:AI16"/>
    <mergeCell ref="AH18:AI18"/>
    <mergeCell ref="AB19:AI19"/>
    <mergeCell ref="V20:AI20"/>
    <mergeCell ref="P21:AI21"/>
    <mergeCell ref="J22:AI22"/>
    <mergeCell ref="AH24:AI24"/>
    <mergeCell ref="AB25:AI25"/>
    <mergeCell ref="V26:AI26"/>
    <mergeCell ref="P27:AI27"/>
    <mergeCell ref="J28:AI28"/>
    <mergeCell ref="AH30:AI30"/>
    <mergeCell ref="AB31:AI31"/>
    <mergeCell ref="V32:AI32"/>
    <mergeCell ref="P33:AI33"/>
    <mergeCell ref="J34:AI34"/>
    <mergeCell ref="AH36:AI36"/>
    <mergeCell ref="AB37:AI37"/>
    <mergeCell ref="V38:AI38"/>
    <mergeCell ref="P39:AI39"/>
    <mergeCell ref="J40:AI40"/>
    <mergeCell ref="D8:D10"/>
    <mergeCell ref="D11:D16"/>
    <mergeCell ref="D17:D22"/>
    <mergeCell ref="D23:D28"/>
    <mergeCell ref="D29:D34"/>
    <mergeCell ref="D35:D40"/>
    <mergeCell ref="E8:E10"/>
    <mergeCell ref="E11:E16"/>
    <mergeCell ref="E17:E22"/>
    <mergeCell ref="E23:E28"/>
    <mergeCell ref="E29:E34"/>
    <mergeCell ref="E35:E40"/>
    <mergeCell ref="F9:F10"/>
    <mergeCell ref="F11:F16"/>
    <mergeCell ref="F17:F22"/>
    <mergeCell ref="F23:F28"/>
    <mergeCell ref="F29:F34"/>
    <mergeCell ref="F35:F40"/>
    <mergeCell ref="G9:G10"/>
    <mergeCell ref="G11:G16"/>
    <mergeCell ref="G17:G22"/>
    <mergeCell ref="G23:G28"/>
    <mergeCell ref="G29:G34"/>
    <mergeCell ref="G35:G40"/>
    <mergeCell ref="I11:I15"/>
    <mergeCell ref="I17:I21"/>
    <mergeCell ref="I23:I27"/>
    <mergeCell ref="I29:I33"/>
    <mergeCell ref="I35:I39"/>
    <mergeCell ref="J8:J10"/>
    <mergeCell ref="J11:J15"/>
    <mergeCell ref="J17:J21"/>
    <mergeCell ref="J23:J27"/>
    <mergeCell ref="J29:J33"/>
    <mergeCell ref="J35:J39"/>
    <mergeCell ref="L11:L15"/>
    <mergeCell ref="L17:L21"/>
    <mergeCell ref="L23:L27"/>
    <mergeCell ref="L29:L33"/>
    <mergeCell ref="L35:L39"/>
    <mergeCell ref="M11:M15"/>
    <mergeCell ref="M17:M21"/>
    <mergeCell ref="M23:M27"/>
    <mergeCell ref="M29:M33"/>
    <mergeCell ref="M35:M39"/>
    <mergeCell ref="O11:O14"/>
    <mergeCell ref="O17:O20"/>
    <mergeCell ref="O23:O26"/>
    <mergeCell ref="O29:O32"/>
    <mergeCell ref="O35:O38"/>
    <mergeCell ref="P9:P10"/>
    <mergeCell ref="P11:P14"/>
    <mergeCell ref="P17:P20"/>
    <mergeCell ref="P23:P26"/>
    <mergeCell ref="P29:P32"/>
    <mergeCell ref="P35:P38"/>
    <mergeCell ref="R11:R14"/>
    <mergeCell ref="R17:R20"/>
    <mergeCell ref="R23:R26"/>
    <mergeCell ref="R29:R32"/>
    <mergeCell ref="R35:R38"/>
    <mergeCell ref="S11:S14"/>
    <mergeCell ref="S17:S20"/>
    <mergeCell ref="S23:S26"/>
    <mergeCell ref="S29:S32"/>
    <mergeCell ref="S35:S38"/>
    <mergeCell ref="U11:U13"/>
    <mergeCell ref="U17:U19"/>
    <mergeCell ref="U23:U25"/>
    <mergeCell ref="U29:U31"/>
    <mergeCell ref="U35:U37"/>
    <mergeCell ref="V9:V10"/>
    <mergeCell ref="V11:V13"/>
    <mergeCell ref="V17:V19"/>
    <mergeCell ref="V23:V25"/>
    <mergeCell ref="V29:V31"/>
    <mergeCell ref="V35:V37"/>
    <mergeCell ref="X11:X13"/>
    <mergeCell ref="X17:X19"/>
    <mergeCell ref="X23:X25"/>
    <mergeCell ref="X29:X31"/>
    <mergeCell ref="X35:X37"/>
    <mergeCell ref="Y11:Y13"/>
    <mergeCell ref="Y17:Y19"/>
    <mergeCell ref="Y23:Y25"/>
    <mergeCell ref="Y29:Y31"/>
    <mergeCell ref="Y35:Y37"/>
    <mergeCell ref="AA11:AA12"/>
    <mergeCell ref="AA17:AA18"/>
    <mergeCell ref="AA23:AA24"/>
    <mergeCell ref="AA29:AA30"/>
    <mergeCell ref="AA35:AA36"/>
    <mergeCell ref="AB9:AB10"/>
    <mergeCell ref="AB11:AB12"/>
    <mergeCell ref="AB17:AB18"/>
    <mergeCell ref="AB23:AB24"/>
    <mergeCell ref="AB29:AB30"/>
    <mergeCell ref="AB35:AB36"/>
    <mergeCell ref="AD11:AD12"/>
    <mergeCell ref="AD17:AD18"/>
    <mergeCell ref="AD23:AD24"/>
    <mergeCell ref="AD29:AD30"/>
    <mergeCell ref="AD35:AD36"/>
    <mergeCell ref="AE11:AE12"/>
    <mergeCell ref="AE17:AE18"/>
    <mergeCell ref="AE23:AE24"/>
    <mergeCell ref="AE29:AE30"/>
    <mergeCell ref="AE35:AE36"/>
    <mergeCell ref="AH9:AH10"/>
    <mergeCell ref="AI8:AI10"/>
    <mergeCell ref="N9:O10"/>
    <mergeCell ref="T9:U10"/>
    <mergeCell ref="Z9:AA10"/>
    <mergeCell ref="AF9:AG10"/>
    <mergeCell ref="H8:I10"/>
  </mergeCells>
  <dataValidations count="2">
    <dataValidation type="list" allowBlank="1" showInputMessage="1" errorTitle="Ошибка" error="Выберите значение из списка" prompt="Выберите значение из списка или укажите свой вид твердых коммунальных отходов" sqref="AC11 AC17 AC23 AC29 AC35" errorStyle="warning">
      <formula1>list_typeTKO</formula1>
    </dataValidation>
    <dataValidation type="textLength" operator="lessThanOrEqual" allowBlank="1" showInputMessage="1" showErrorMessage="1" errorTitle="Ошибка" error="Допускается ввод не более 900 символов!" sqref="AI11 AI17 AI23 AI29 AI35 J11:J15 J17:J21 J23:J27 J29:J33 J35:J39 P11:P14 P17:P20 P23:P26 P29:P32 P35:P38">
      <formula1>900</formula1>
    </dataValidation>
  </dataValidations>
  <pageMargins left="0.7" right="0.7" top="0.75" bottom="0.75" header="0.3" footer="0.3"/>
  <pageSetup paperSize="9" orientation="portrait"/>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F5"/>
  <sheetViews>
    <sheetView showGridLines="0" zoomScale="90" zoomScaleNormal="90" workbookViewId="0">
      <selection activeCell="A1" sqref="A1"/>
    </sheetView>
  </sheetViews>
  <sheetFormatPr defaultColWidth="9.14285714285714" defaultRowHeight="11.25" customHeight="1" outlineLevelRow="4" outlineLevelCol="5"/>
  <cols>
    <col min="1" max="1" width="1.71428571428571" customWidth="1"/>
    <col min="2" max="2" width="34.5714285714286" customWidth="1"/>
    <col min="3" max="3" width="85" customWidth="1"/>
    <col min="4" max="4" width="17" customWidth="1"/>
    <col min="5" max="5" width="8" customWidth="1"/>
    <col min="6" max="6" width="9.14285714285714" hidden="1"/>
  </cols>
  <sheetData>
    <row r="1" ht="3" customHeight="1" spans="6:6">
      <c r="F1" t="s">
        <v>14</v>
      </c>
    </row>
    <row r="2" ht="22.5" customHeight="1" spans="2:6">
      <c r="B2" s="559" t="s">
        <v>2073</v>
      </c>
      <c r="C2" s="559"/>
      <c r="D2" s="559"/>
      <c r="E2" s="560"/>
      <c r="F2">
        <v>22</v>
      </c>
    </row>
    <row r="3" ht="3" customHeight="1" spans="6:6">
      <c r="F3">
        <v>3</v>
      </c>
    </row>
    <row r="4" ht="23.25" customHeight="1" spans="2:6">
      <c r="B4" s="561" t="s">
        <v>2074</v>
      </c>
      <c r="C4" s="561" t="s">
        <v>2075</v>
      </c>
      <c r="D4" s="561" t="s">
        <v>2076</v>
      </c>
      <c r="F4">
        <v>22</v>
      </c>
    </row>
    <row r="5" hidden="1" customHeight="1" spans="1:6">
      <c r="A5" t="s">
        <v>83</v>
      </c>
      <c r="B5">
        <v>34</v>
      </c>
      <c r="C5">
        <v>85</v>
      </c>
      <c r="D5">
        <v>17</v>
      </c>
      <c r="E5">
        <v>8</v>
      </c>
      <c r="F5">
        <v>11</v>
      </c>
    </row>
  </sheetData>
  <sheetProtection formatColumns="0" formatRows="0" insertRows="0" deleteColumns="0" deleteRows="0" sort="0" autoFilter="0"/>
  <autoFilter xmlns:etc="http://www.wps.cn/officeDocument/2017/etCustomData" ref="B4:D5" etc:filterBottomFollowUsedRange="0">
    <extLst/>
  </autoFilter>
  <mergeCells count="1">
    <mergeCell ref="B2:D2"/>
  </mergeCells>
  <pageMargins left="0.7" right="0.7" top="0.75" bottom="0.75" header="0.3" footer="0.3"/>
  <pageSetup paperSize="1"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2:GB215"/>
  <sheetViews>
    <sheetView showGridLines="0" zoomScale="85" zoomScaleNormal="85" workbookViewId="0">
      <selection activeCell="A1" sqref="A1"/>
    </sheetView>
  </sheetViews>
  <sheetFormatPr defaultColWidth="9.14285714285714" defaultRowHeight="17.1" customHeight="1"/>
  <cols>
    <col min="1" max="1" width="26.5714285714286" customWidth="1"/>
    <col min="2"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61.2857142857143"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3" width="115.714285714286" customWidth="1"/>
    <col min="24" max="24" width="115.285714285714" customWidth="1"/>
    <col min="28" max="28" width="115.714285714286" customWidth="1"/>
    <col min="30" max="90" width="115.714285714286" customWidth="1"/>
  </cols>
  <sheetData>
    <row r="2" s="204" customFormat="1" ht="17.25" customHeight="1" spans="1:1">
      <c r="A2" s="204" t="s">
        <v>2077</v>
      </c>
    </row>
    <row r="4" s="205" customFormat="1" ht="15" customHeight="1" spans="3:5">
      <c r="C4" s="211"/>
      <c r="D4" s="212"/>
      <c r="E4" s="213"/>
    </row>
    <row r="6" s="204" customFormat="1" ht="17.25" customHeight="1" spans="1:1">
      <c r="A6" s="204" t="s">
        <v>2078</v>
      </c>
    </row>
    <row r="8" s="205" customFormat="1" ht="17.25" customHeight="1" spans="3:5">
      <c r="C8" s="214"/>
      <c r="D8" s="212"/>
      <c r="E8" s="215"/>
    </row>
    <row r="11" s="204" customFormat="1" ht="17.25" customHeight="1" spans="1:1">
      <c r="A11" s="204" t="s">
        <v>2079</v>
      </c>
    </row>
    <row r="13" s="206" customFormat="1" ht="15" customHeight="1" spans="1:19">
      <c r="A13" s="48">
        <v>1</v>
      </c>
      <c r="B13" s="38"/>
      <c r="C13" s="216" t="s">
        <v>683</v>
      </c>
      <c r="D13" s="217"/>
      <c r="E13" s="64">
        <f>A13</f>
        <v>1</v>
      </c>
      <c r="F13" s="218"/>
      <c r="G13" s="219" t="str">
        <f>"Территория "&amp;E13</f>
        <v>Территория 1</v>
      </c>
      <c r="H13" s="220"/>
      <c r="I13" s="220"/>
      <c r="J13" s="151"/>
      <c r="K13" s="151"/>
      <c r="L13" s="151"/>
      <c r="M13" s="151"/>
      <c r="N13" s="151"/>
      <c r="O13" s="151"/>
      <c r="P13" s="267"/>
      <c r="Q13" s="267"/>
      <c r="R13" s="267"/>
      <c r="S13" s="267"/>
    </row>
    <row r="14" customFormat="1" ht="15" customHeight="1" spans="1:80">
      <c r="A14" s="48"/>
      <c r="B14" s="38">
        <v>1</v>
      </c>
      <c r="C14" s="38"/>
      <c r="D14" s="221"/>
      <c r="E14" s="73" t="str">
        <f>A13&amp;"."&amp;B14</f>
        <v>1.1</v>
      </c>
      <c r="F14" s="222">
        <f>$F$20</f>
        <v>0</v>
      </c>
      <c r="G14" s="223"/>
      <c r="H14" s="223"/>
      <c r="I14" s="268"/>
      <c r="J14" s="151"/>
      <c r="K14" s="44"/>
      <c r="L14" s="44"/>
      <c r="M14" s="151" t="str">
        <f t="array" ref="M14">IF(ISERROR(MATCH(MID(N14,1,250),MID(note_ter,1,250),0)),"n","y")</f>
        <v>n</v>
      </c>
      <c r="N14" s="44"/>
      <c r="O14" s="151" t="str">
        <f>H14&amp;"("&amp;I14&amp;")"</f>
        <v>()</v>
      </c>
      <c r="P14" s="38"/>
      <c r="Q14" s="38"/>
      <c r="R14" s="288"/>
      <c r="S14" s="38"/>
      <c r="T14" s="38"/>
      <c r="U14" s="38"/>
      <c r="V14" s="264"/>
      <c r="W14" s="264"/>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264"/>
      <c r="BT14" s="264"/>
      <c r="BU14" s="264"/>
      <c r="BV14" s="264"/>
      <c r="BW14" s="264"/>
      <c r="BX14" s="264"/>
      <c r="BY14" s="264"/>
      <c r="BZ14" s="264"/>
      <c r="CA14" s="264"/>
      <c r="CB14" s="264"/>
    </row>
    <row r="15" customFormat="1" ht="15" customHeight="1" spans="1:80">
      <c r="A15" s="48"/>
      <c r="B15" s="38"/>
      <c r="C15" s="224"/>
      <c r="D15" s="216"/>
      <c r="E15" s="225"/>
      <c r="F15" s="226"/>
      <c r="G15" s="227" t="s">
        <v>100</v>
      </c>
      <c r="H15" s="228"/>
      <c r="I15" s="269"/>
      <c r="J15" s="44"/>
      <c r="K15" s="44"/>
      <c r="L15" s="44"/>
      <c r="M15" s="44"/>
      <c r="N15" s="151"/>
      <c r="O15" s="44"/>
      <c r="P15" s="38"/>
      <c r="Q15" s="38"/>
      <c r="R15" s="288"/>
      <c r="S15" s="38"/>
      <c r="T15" s="38"/>
      <c r="U15" s="38"/>
      <c r="V15" s="264"/>
      <c r="W15" s="264"/>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264"/>
      <c r="BT15" s="264"/>
      <c r="BU15" s="264"/>
      <c r="BV15" s="264"/>
      <c r="BW15" s="264"/>
      <c r="BX15" s="264"/>
      <c r="BY15" s="264"/>
      <c r="BZ15" s="264"/>
      <c r="CA15" s="264"/>
      <c r="CB15" s="264"/>
    </row>
    <row r="17" s="204" customFormat="1" ht="17.25" customHeight="1" spans="1:1">
      <c r="A17" s="204" t="s">
        <v>2080</v>
      </c>
    </row>
    <row r="19" customFormat="1" ht="15" customHeight="1" spans="1:80">
      <c r="A19" s="48"/>
      <c r="B19" s="38">
        <v>1</v>
      </c>
      <c r="C19" s="38"/>
      <c r="D19" s="221" t="s">
        <v>683</v>
      </c>
      <c r="E19" s="64"/>
      <c r="F19" s="229">
        <f>$F$20</f>
        <v>0</v>
      </c>
      <c r="G19" s="230"/>
      <c r="H19" s="230"/>
      <c r="I19" s="270"/>
      <c r="J19" s="151"/>
      <c r="K19" s="44"/>
      <c r="L19" s="44"/>
      <c r="M19" s="151" t="str">
        <f t="array" ref="M19">IF(ISERROR(MATCH(MID(N19,1,250),MID(note_ter,1,250),0)),"n","y")</f>
        <v>n</v>
      </c>
      <c r="N19" s="44"/>
      <c r="O19" s="151" t="str">
        <f>H19&amp;"("&amp;I19&amp;")"</f>
        <v>()</v>
      </c>
      <c r="P19" s="38"/>
      <c r="Q19" s="38"/>
      <c r="R19" s="288"/>
      <c r="S19" s="38"/>
      <c r="T19" s="38"/>
      <c r="U19" s="38"/>
      <c r="V19" s="264"/>
      <c r="W19" s="264"/>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264"/>
      <c r="BT19" s="264"/>
      <c r="BU19" s="264"/>
      <c r="BV19" s="264"/>
      <c r="BW19" s="264"/>
      <c r="BX19" s="264"/>
      <c r="BY19" s="264"/>
      <c r="BZ19" s="264"/>
      <c r="CA19" s="264"/>
      <c r="CB19" s="264"/>
    </row>
    <row r="21" customFormat="1" ht="15" customHeight="1" spans="1:23">
      <c r="A21" s="204" t="s">
        <v>2081</v>
      </c>
      <c r="B21" s="204"/>
      <c r="C21" s="204"/>
      <c r="D21" s="204"/>
      <c r="E21" s="204"/>
      <c r="F21" s="204"/>
      <c r="G21" s="204"/>
      <c r="H21" s="204"/>
      <c r="I21" s="204"/>
      <c r="J21" s="204"/>
      <c r="K21" s="204"/>
      <c r="L21" s="204"/>
      <c r="M21" s="204"/>
      <c r="N21" s="204"/>
      <c r="O21" s="204"/>
      <c r="P21" s="204"/>
      <c r="Q21" s="204"/>
      <c r="R21" s="204"/>
      <c r="S21" s="204"/>
      <c r="T21" s="204"/>
      <c r="U21" s="289"/>
      <c r="V21" s="204"/>
      <c r="W21" s="204"/>
    </row>
    <row r="22" customFormat="1" ht="15" customHeight="1" spans="21:21">
      <c r="U22" s="290"/>
    </row>
    <row r="23" s="36" customFormat="1" ht="15" customHeight="1" spans="1:38">
      <c r="A23"/>
      <c r="B23"/>
      <c r="C23" s="231" t="s">
        <v>683</v>
      </c>
      <c r="D23" s="232" t="s">
        <v>107</v>
      </c>
      <c r="E23" s="233"/>
      <c r="F23" s="140" t="s">
        <v>19</v>
      </c>
      <c r="G23" s="234"/>
      <c r="H23" s="64">
        <v>1</v>
      </c>
      <c r="I23" s="271" t="str">
        <f>IF(U23="","",INDEX(TERRITORY_MR_LIST,MATCH(U23,TERRITORY_LIST_ID,0)))</f>
        <v/>
      </c>
      <c r="J23" s="140" t="s">
        <v>19</v>
      </c>
      <c r="K23" s="272"/>
      <c r="L23" s="232" t="s">
        <v>107</v>
      </c>
      <c r="M23" s="273"/>
      <c r="N23" s="45"/>
      <c r="O23" s="45"/>
      <c r="P23" s="45"/>
      <c r="Q23" s="45"/>
      <c r="R23" s="45"/>
      <c r="S23" s="45"/>
      <c r="T23" s="45"/>
      <c r="U23" s="291"/>
      <c r="V23" s="45"/>
      <c r="W23" s="45"/>
      <c r="X23" s="45"/>
      <c r="Y23" s="45" t="s">
        <v>116</v>
      </c>
      <c r="Z23" s="45">
        <v>1705000</v>
      </c>
      <c r="AA23" s="45"/>
      <c r="AB23" s="45"/>
      <c r="AC23" s="45"/>
      <c r="AD23" s="45"/>
      <c r="AE23" s="45"/>
      <c r="AF23" s="45"/>
      <c r="AG23" s="45"/>
      <c r="AH23" s="45"/>
      <c r="AI23" s="45"/>
      <c r="AJ23" s="45"/>
      <c r="AK23" s="45"/>
      <c r="AL23" s="45"/>
    </row>
    <row r="24" s="36" customFormat="1" ht="15" customHeight="1" spans="1:38">
      <c r="A24"/>
      <c r="B24"/>
      <c r="C24" s="235"/>
      <c r="D24" s="232"/>
      <c r="E24" s="236"/>
      <c r="F24" s="140"/>
      <c r="G24" s="237"/>
      <c r="H24" s="64"/>
      <c r="I24" s="274"/>
      <c r="J24" s="140"/>
      <c r="K24" s="225"/>
      <c r="L24" s="226"/>
      <c r="M24" s="275" t="s">
        <v>117</v>
      </c>
      <c r="N24" s="45"/>
      <c r="O24" s="45"/>
      <c r="P24" s="45"/>
      <c r="Q24" s="45"/>
      <c r="R24" s="45"/>
      <c r="S24" s="45"/>
      <c r="T24" s="45"/>
      <c r="U24" s="291"/>
      <c r="V24" s="45"/>
      <c r="W24" s="45"/>
      <c r="X24" s="45"/>
      <c r="Y24" s="45"/>
      <c r="Z24" s="45"/>
      <c r="AA24" s="45"/>
      <c r="AB24" s="45"/>
      <c r="AC24" s="45"/>
      <c r="AD24" s="45"/>
      <c r="AE24" s="45"/>
      <c r="AF24" s="45"/>
      <c r="AG24" s="45"/>
      <c r="AH24" s="45"/>
      <c r="AI24" s="45"/>
      <c r="AJ24" s="45"/>
      <c r="AK24" s="45"/>
      <c r="AL24" s="45"/>
    </row>
    <row r="25" s="36" customFormat="1" ht="15" customHeight="1" spans="1:38">
      <c r="A25"/>
      <c r="B25"/>
      <c r="C25" s="235"/>
      <c r="D25" s="232"/>
      <c r="E25" s="238"/>
      <c r="F25" s="140"/>
      <c r="G25" s="225"/>
      <c r="H25" s="226"/>
      <c r="I25" s="227" t="s">
        <v>118</v>
      </c>
      <c r="J25" s="226"/>
      <c r="K25" s="226"/>
      <c r="L25" s="226"/>
      <c r="M25" s="276"/>
      <c r="N25" s="45"/>
      <c r="O25" s="45"/>
      <c r="P25" s="45"/>
      <c r="Q25" s="45"/>
      <c r="R25" s="45"/>
      <c r="S25" s="45"/>
      <c r="T25" s="45"/>
      <c r="U25" s="291"/>
      <c r="V25" s="45"/>
      <c r="W25" s="45"/>
      <c r="X25" s="45"/>
      <c r="Y25" s="45"/>
      <c r="Z25" s="45"/>
      <c r="AA25" s="45"/>
      <c r="AB25" s="45"/>
      <c r="AC25" s="45"/>
      <c r="AD25" s="45"/>
      <c r="AE25" s="45"/>
      <c r="AF25" s="45"/>
      <c r="AG25" s="45"/>
      <c r="AH25" s="45"/>
      <c r="AI25" s="45"/>
      <c r="AJ25" s="45"/>
      <c r="AK25" s="45"/>
      <c r="AL25" s="45"/>
    </row>
    <row r="26" customFormat="1" ht="15" customHeight="1" spans="21:21">
      <c r="U26" s="290"/>
    </row>
    <row r="27" customFormat="1" ht="15" customHeight="1" spans="1:23">
      <c r="A27" s="204" t="s">
        <v>2082</v>
      </c>
      <c r="B27" s="204"/>
      <c r="C27" s="204"/>
      <c r="D27" s="204"/>
      <c r="E27" s="204"/>
      <c r="F27" s="204"/>
      <c r="G27" s="204"/>
      <c r="H27" s="204"/>
      <c r="I27" s="204"/>
      <c r="J27" s="204"/>
      <c r="K27" s="204"/>
      <c r="L27" s="204"/>
      <c r="M27" s="204"/>
      <c r="N27" s="204"/>
      <c r="O27" s="204"/>
      <c r="P27" s="204"/>
      <c r="Q27" s="204"/>
      <c r="R27" s="204"/>
      <c r="S27" s="204"/>
      <c r="T27" s="204"/>
      <c r="U27" s="289"/>
      <c r="V27" s="204"/>
      <c r="W27" s="204"/>
    </row>
    <row r="28" customFormat="1" ht="15" customHeight="1" spans="21:21">
      <c r="U28" s="290"/>
    </row>
    <row r="29" s="36" customFormat="1" ht="15" customHeight="1" spans="1:38">
      <c r="A29"/>
      <c r="B29"/>
      <c r="C29" s="235"/>
      <c r="D29" s="22"/>
      <c r="E29" s="22"/>
      <c r="F29" s="22"/>
      <c r="G29" s="239" t="s">
        <v>683</v>
      </c>
      <c r="H29" s="127">
        <v>1</v>
      </c>
      <c r="I29" s="277" t="str">
        <f>IF(U29="","",INDEX(TERRITORY_MR_LIST,MATCH(U29,TERRITORY_LIST_ID,0)))</f>
        <v/>
      </c>
      <c r="J29" s="140" t="s">
        <v>19</v>
      </c>
      <c r="K29" s="272"/>
      <c r="L29" s="232" t="s">
        <v>107</v>
      </c>
      <c r="M29" s="273"/>
      <c r="N29" s="45"/>
      <c r="O29" s="45"/>
      <c r="P29" s="45"/>
      <c r="Q29" s="45"/>
      <c r="R29" s="45"/>
      <c r="S29" s="45"/>
      <c r="T29" s="45"/>
      <c r="U29" s="291"/>
      <c r="V29" s="45"/>
      <c r="W29" s="45"/>
      <c r="X29" s="45"/>
      <c r="Y29" s="45" t="s">
        <v>116</v>
      </c>
      <c r="Z29" s="45">
        <v>1705000</v>
      </c>
      <c r="AA29" s="45"/>
      <c r="AB29" s="45"/>
      <c r="AC29" s="45"/>
      <c r="AD29" s="45"/>
      <c r="AE29" s="45"/>
      <c r="AF29" s="45"/>
      <c r="AG29" s="45"/>
      <c r="AH29" s="45"/>
      <c r="AI29" s="45"/>
      <c r="AJ29" s="45"/>
      <c r="AK29" s="45"/>
      <c r="AL29" s="45"/>
    </row>
    <row r="30" s="36" customFormat="1" ht="15" customHeight="1" spans="1:38">
      <c r="A30"/>
      <c r="B30"/>
      <c r="C30" s="235"/>
      <c r="D30" s="22"/>
      <c r="E30" s="22"/>
      <c r="F30" s="22"/>
      <c r="G30" s="239"/>
      <c r="H30" s="127"/>
      <c r="I30" s="277"/>
      <c r="J30" s="140"/>
      <c r="K30" s="225"/>
      <c r="L30" s="226"/>
      <c r="M30" s="275" t="s">
        <v>117</v>
      </c>
      <c r="N30" s="45"/>
      <c r="O30" s="45"/>
      <c r="P30" s="45"/>
      <c r="Q30" s="45"/>
      <c r="R30" s="45"/>
      <c r="S30" s="45"/>
      <c r="T30" s="45"/>
      <c r="U30" s="291"/>
      <c r="V30" s="45"/>
      <c r="W30" s="45"/>
      <c r="X30" s="45"/>
      <c r="Y30" s="45"/>
      <c r="Z30" s="45"/>
      <c r="AA30" s="45"/>
      <c r="AB30" s="45"/>
      <c r="AC30" s="45"/>
      <c r="AD30" s="45"/>
      <c r="AE30" s="45"/>
      <c r="AF30" s="45"/>
      <c r="AG30" s="45"/>
      <c r="AH30" s="45"/>
      <c r="AI30" s="45"/>
      <c r="AJ30" s="45"/>
      <c r="AK30" s="45"/>
      <c r="AL30" s="45"/>
    </row>
    <row r="31" customFormat="1" ht="15" customHeight="1" spans="21:21">
      <c r="U31" s="290"/>
    </row>
    <row r="32" customFormat="1" ht="15" customHeight="1" spans="1:23">
      <c r="A32" s="204" t="s">
        <v>2083</v>
      </c>
      <c r="B32" s="204"/>
      <c r="C32" s="204"/>
      <c r="D32" s="204"/>
      <c r="E32" s="204"/>
      <c r="F32" s="204"/>
      <c r="G32" s="204"/>
      <c r="H32" s="204"/>
      <c r="I32" s="204"/>
      <c r="J32" s="204"/>
      <c r="K32" s="204"/>
      <c r="L32" s="204"/>
      <c r="M32" s="204"/>
      <c r="N32" s="204"/>
      <c r="O32" s="204"/>
      <c r="P32" s="204"/>
      <c r="Q32" s="204"/>
      <c r="R32" s="204"/>
      <c r="S32" s="204"/>
      <c r="T32" s="204"/>
      <c r="U32" s="289"/>
      <c r="V32" s="204"/>
      <c r="W32" s="204"/>
    </row>
    <row r="33" customFormat="1" ht="15" customHeight="1" spans="21:21">
      <c r="U33" s="290"/>
    </row>
    <row r="34" s="36" customFormat="1" ht="15" customHeight="1" spans="1:38">
      <c r="A34"/>
      <c r="B34"/>
      <c r="C34" s="235"/>
      <c r="D34" s="22"/>
      <c r="E34" s="22"/>
      <c r="F34" s="22"/>
      <c r="G34" s="22"/>
      <c r="H34" s="22"/>
      <c r="I34" s="22"/>
      <c r="J34" s="22"/>
      <c r="K34" s="239" t="s">
        <v>683</v>
      </c>
      <c r="L34" s="278" t="s">
        <v>107</v>
      </c>
      <c r="M34" s="279"/>
      <c r="N34" s="280"/>
      <c r="O34" s="45"/>
      <c r="P34" s="45"/>
      <c r="Q34" s="45"/>
      <c r="R34" s="45"/>
      <c r="S34" s="45"/>
      <c r="T34" s="45"/>
      <c r="U34" s="291"/>
      <c r="V34" s="45"/>
      <c r="W34" s="45"/>
      <c r="X34" s="45"/>
      <c r="Y34" s="45" t="s">
        <v>116</v>
      </c>
      <c r="Z34" s="45">
        <v>1705000</v>
      </c>
      <c r="AA34" s="45"/>
      <c r="AB34" s="45"/>
      <c r="AC34" s="45"/>
      <c r="AD34" s="45"/>
      <c r="AE34" s="45"/>
      <c r="AF34" s="45"/>
      <c r="AG34" s="45"/>
      <c r="AH34" s="45"/>
      <c r="AI34" s="45"/>
      <c r="AJ34" s="45"/>
      <c r="AK34" s="45"/>
      <c r="AL34" s="45"/>
    </row>
    <row r="35" customFormat="1" ht="15" customHeight="1" spans="21:21">
      <c r="U35" s="290"/>
    </row>
    <row r="36" customFormat="1" ht="15" customHeight="1" spans="21:21">
      <c r="U36" s="290"/>
    </row>
    <row r="37" s="204" customFormat="1" ht="11.25" customHeight="1" spans="1:1">
      <c r="A37" s="204" t="s">
        <v>2084</v>
      </c>
    </row>
    <row r="38" ht="11.25" customHeight="1"/>
    <row r="39" s="207" customFormat="1" ht="22.5" customHeight="1" spans="1:8">
      <c r="A39" s="240"/>
      <c r="B39" s="53"/>
      <c r="C39" s="241"/>
      <c r="D39" s="242"/>
      <c r="E39" s="243"/>
      <c r="F39" s="244"/>
      <c r="G39" s="22"/>
      <c r="H39" s="245"/>
    </row>
    <row r="40" ht="11.25" customHeight="1"/>
    <row r="41" s="204" customFormat="1" ht="11.25" customHeight="1" spans="1:1">
      <c r="A41" s="204" t="s">
        <v>2085</v>
      </c>
    </row>
    <row r="42" ht="11.25" customHeight="1"/>
    <row r="43" s="207" customFormat="1" ht="22.5" customHeight="1" spans="1:8">
      <c r="A43" s="53"/>
      <c r="B43" s="53"/>
      <c r="C43" s="53"/>
      <c r="D43" s="242"/>
      <c r="E43" s="243"/>
      <c r="F43" s="246"/>
      <c r="G43" s="22"/>
      <c r="H43" s="245"/>
    </row>
    <row r="44" ht="11.25" customHeight="1"/>
    <row r="45" s="204" customFormat="1" ht="11.25" customHeight="1" spans="1:1">
      <c r="A45" s="204" t="s">
        <v>2086</v>
      </c>
    </row>
    <row r="46" ht="11.25" customHeight="1"/>
    <row r="47" s="207" customFormat="1" ht="24" customHeight="1" spans="1:9">
      <c r="A47" s="240" t="s">
        <v>309</v>
      </c>
      <c r="B47" s="247"/>
      <c r="C47" s="248"/>
      <c r="D47" s="249" t="str">
        <f>A47</f>
        <v>5.1</v>
      </c>
      <c r="E47" s="250" t="s">
        <v>310</v>
      </c>
      <c r="F47" s="131" t="s">
        <v>302</v>
      </c>
      <c r="G47" s="251" t="s">
        <v>311</v>
      </c>
      <c r="H47" s="245"/>
      <c r="I47" s="281"/>
    </row>
    <row r="48" s="207" customFormat="1" ht="22.5" customHeight="1" spans="1:9">
      <c r="A48" s="240"/>
      <c r="B48" s="247"/>
      <c r="C48" s="248"/>
      <c r="D48" s="242" t="str">
        <f>D47&amp;".1"</f>
        <v>5.1.1</v>
      </c>
      <c r="E48" s="252" t="s">
        <v>312</v>
      </c>
      <c r="F48" s="253" t="s">
        <v>22</v>
      </c>
      <c r="G48" s="254"/>
      <c r="H48" s="245"/>
      <c r="I48" s="281"/>
    </row>
    <row r="49" s="207" customFormat="1" ht="22.5" customHeight="1" spans="1:9">
      <c r="A49" s="240"/>
      <c r="B49" s="247"/>
      <c r="C49" s="248"/>
      <c r="D49" s="242" t="str">
        <f>D47&amp;".2"</f>
        <v>5.1.2</v>
      </c>
      <c r="E49" s="252" t="s">
        <v>313</v>
      </c>
      <c r="F49" s="255" t="s">
        <v>22</v>
      </c>
      <c r="G49" s="251" t="s">
        <v>314</v>
      </c>
      <c r="H49" s="245"/>
      <c r="I49" s="281"/>
    </row>
    <row r="50" s="207" customFormat="1" ht="22.5" customHeight="1" spans="1:9">
      <c r="A50" s="240"/>
      <c r="B50" s="247"/>
      <c r="C50" s="248"/>
      <c r="D50" s="242" t="str">
        <f>D47&amp;".3"</f>
        <v>5.1.3</v>
      </c>
      <c r="E50" s="252" t="s">
        <v>315</v>
      </c>
      <c r="F50" s="253" t="s">
        <v>22</v>
      </c>
      <c r="G50" s="254"/>
      <c r="H50" s="245"/>
      <c r="I50" s="281"/>
    </row>
    <row r="51" s="207" customFormat="1" ht="22.5" customHeight="1" spans="1:9">
      <c r="A51" s="240"/>
      <c r="B51" s="247"/>
      <c r="C51" s="248"/>
      <c r="D51" s="242" t="str">
        <f>D47&amp;".4"</f>
        <v>5.1.4</v>
      </c>
      <c r="E51" s="252" t="s">
        <v>316</v>
      </c>
      <c r="F51" s="253" t="s">
        <v>22</v>
      </c>
      <c r="G51" s="251" t="s">
        <v>317</v>
      </c>
      <c r="H51" s="245"/>
      <c r="I51" s="281"/>
    </row>
    <row r="54" s="204" customFormat="1" ht="17.25" customHeight="1" spans="1:1">
      <c r="A54" s="204" t="s">
        <v>2087</v>
      </c>
    </row>
    <row r="56" s="208" customFormat="1" ht="18.75" customHeight="1" spans="1:22">
      <c r="A56"/>
      <c r="B56" s="81"/>
      <c r="C56" s="81"/>
      <c r="D56" s="256"/>
      <c r="E56" s="257"/>
      <c r="F56" s="258">
        <v>13</v>
      </c>
      <c r="G56" s="259"/>
      <c r="H56" s="223"/>
      <c r="I56" s="268"/>
      <c r="J56" s="282" t="s">
        <v>66</v>
      </c>
      <c r="K56" s="266" t="s">
        <v>22</v>
      </c>
      <c r="L56"/>
      <c r="M56" s="44"/>
      <c r="N56" s="44"/>
      <c r="O56" s="44"/>
      <c r="P56" s="283" t="s">
        <v>388</v>
      </c>
      <c r="Q56" s="283" t="s">
        <v>389</v>
      </c>
      <c r="R56" s="292" t="s">
        <v>390</v>
      </c>
      <c r="S56" s="44" t="s">
        <v>391</v>
      </c>
      <c r="T56" s="44"/>
      <c r="U56" s="44"/>
      <c r="V56" s="44"/>
    </row>
    <row r="58" s="204" customFormat="1" ht="11.25" customHeight="1" spans="1:1">
      <c r="A58" s="204" t="s">
        <v>2088</v>
      </c>
    </row>
    <row r="60" s="43" customFormat="1" ht="14.25" customHeight="1" spans="3:45">
      <c r="C60" s="211"/>
      <c r="D60" s="260"/>
      <c r="E60" s="261" t="s">
        <v>22</v>
      </c>
      <c r="F60" s="99"/>
      <c r="G60" s="262"/>
      <c r="H60" s="263"/>
      <c r="I60" s="263"/>
      <c r="J60" s="284"/>
      <c r="K60" s="285"/>
      <c r="L60" s="286"/>
      <c r="M60" s="285"/>
      <c r="N60" s="284"/>
      <c r="O60" s="285"/>
      <c r="P60" s="284"/>
      <c r="Q60" s="285"/>
      <c r="R60" s="284"/>
      <c r="S60" s="293"/>
      <c r="T60" s="263"/>
      <c r="U60" s="284"/>
      <c r="V60" s="284"/>
      <c r="W60" s="294"/>
      <c r="X60" s="263"/>
      <c r="Y60" s="284"/>
      <c r="Z60" s="284"/>
      <c r="AA60" s="294"/>
      <c r="AB60" s="263"/>
      <c r="AC60" s="284"/>
      <c r="AD60" s="294"/>
      <c r="AE60"/>
      <c r="AF60"/>
      <c r="AG60"/>
      <c r="AH60"/>
      <c r="AJ60" s="44"/>
      <c r="AK60" s="44"/>
      <c r="AL60" s="44"/>
      <c r="AM60" s="44"/>
      <c r="AN60" s="44"/>
      <c r="AO60" s="44"/>
      <c r="AP60" s="151" t="s">
        <v>377</v>
      </c>
      <c r="AQ60" s="151" t="s">
        <v>377</v>
      </c>
      <c r="AR60" s="44"/>
      <c r="AS60" s="44"/>
    </row>
    <row r="62" s="204" customFormat="1" ht="11.25" customHeight="1" spans="1:1">
      <c r="A62" s="204" t="s">
        <v>2089</v>
      </c>
    </row>
    <row r="64" s="81" customFormat="1" ht="15" customHeight="1" spans="1:12">
      <c r="A64" s="264" t="s">
        <v>91</v>
      </c>
      <c r="B64" s="81" t="s">
        <v>22</v>
      </c>
      <c r="C64" s="265"/>
      <c r="D64" s="232"/>
      <c r="E64" s="213"/>
      <c r="F64" s="213"/>
      <c r="G64" s="139"/>
      <c r="H64" s="266"/>
      <c r="I64" s="143"/>
      <c r="K64" s="287"/>
      <c r="L64" s="152"/>
    </row>
    <row r="66" s="204" customFormat="1" ht="11.25" customHeight="1" spans="1:1">
      <c r="A66" s="204" t="s">
        <v>2090</v>
      </c>
    </row>
    <row r="68" s="43" customFormat="1" ht="14.25" customHeight="1" spans="1:10">
      <c r="A68" s="81"/>
      <c r="B68" s="38"/>
      <c r="C68" s="51"/>
      <c r="D68" s="295"/>
      <c r="E68" s="296"/>
      <c r="F68" s="266"/>
      <c r="G68"/>
      <c r="I68" s="151"/>
      <c r="J68" s="151"/>
    </row>
    <row r="70" s="204" customFormat="1" ht="11.25" customHeight="1" spans="1:1">
      <c r="A70" s="204" t="s">
        <v>2091</v>
      </c>
    </row>
    <row r="72" s="43" customFormat="1" ht="27" customHeight="1" spans="1:30">
      <c r="A72" s="297"/>
      <c r="B72" s="297"/>
      <c r="C72" s="297"/>
      <c r="D72" s="38"/>
      <c r="E72" s="298"/>
      <c r="F72" s="299"/>
      <c r="G72" s="300"/>
      <c r="H72" s="301" t="s">
        <v>66</v>
      </c>
      <c r="I72" s="334"/>
      <c r="J72" s="335"/>
      <c r="K72" s="336"/>
      <c r="L72" s="337"/>
      <c r="M72" s="337"/>
      <c r="N72" s="338"/>
      <c r="O72" s="338"/>
      <c r="P72" s="339" t="e">
        <f>DATEDIF(DATEVALUE(N72),DATEVALUE(O72),"y")&amp;"г. "&amp;DATEDIF(DATEVALUE(N72),DATEVALUE(O72),"ym")&amp;"мес. "&amp;DATEVALUE(O72)-DATE(YEAR(DATEVALUE(O72)),MONTH(DATEVALUE(O72)),1)&amp;"дн. "</f>
        <v>#VALUE!</v>
      </c>
      <c r="Q72" s="385"/>
      <c r="R72" s="385"/>
      <c r="S72" s="385"/>
      <c r="T72" s="335"/>
      <c r="U72" s="385"/>
      <c r="V72" s="385"/>
      <c r="W72" s="385"/>
      <c r="X72" s="335"/>
      <c r="Y72" s="397" t="s">
        <v>66</v>
      </c>
      <c r="Z72" s="398"/>
      <c r="AA72" s="64">
        <v>1</v>
      </c>
      <c r="AB72" s="399"/>
      <c r="AD72" s="44" t="s">
        <v>2092</v>
      </c>
    </row>
    <row r="73" s="43" customFormat="1" ht="10.5" customHeight="1" spans="1:28">
      <c r="A73" s="297"/>
      <c r="B73" s="297"/>
      <c r="C73" s="297"/>
      <c r="D73" s="38"/>
      <c r="E73" s="302"/>
      <c r="F73" s="299"/>
      <c r="G73" s="300"/>
      <c r="H73" s="303"/>
      <c r="I73" s="340"/>
      <c r="J73" s="341"/>
      <c r="K73" s="336"/>
      <c r="L73" s="337"/>
      <c r="M73" s="337"/>
      <c r="N73" s="338"/>
      <c r="O73" s="338"/>
      <c r="P73" s="339"/>
      <c r="Q73" s="385"/>
      <c r="R73" s="385"/>
      <c r="S73" s="385"/>
      <c r="T73" s="341"/>
      <c r="U73" s="385"/>
      <c r="V73" s="385"/>
      <c r="W73" s="385"/>
      <c r="X73" s="341"/>
      <c r="Y73" s="400"/>
      <c r="Z73" s="401"/>
      <c r="AA73" s="402"/>
      <c r="AB73" s="275" t="s">
        <v>1005</v>
      </c>
    </row>
    <row r="75" s="204" customFormat="1" ht="11.25" customHeight="1" spans="1:1">
      <c r="A75" s="204" t="s">
        <v>2093</v>
      </c>
    </row>
    <row r="77" s="43" customFormat="1" ht="27" customHeight="1" spans="1:30">
      <c r="A77" s="297"/>
      <c r="B77" s="297"/>
      <c r="C77" s="297"/>
      <c r="D77" s="38"/>
      <c r="E77" s="298"/>
      <c r="F77" s="304"/>
      <c r="G77" s="305"/>
      <c r="H77" s="306"/>
      <c r="I77" s="342"/>
      <c r="J77" s="343"/>
      <c r="K77" s="344"/>
      <c r="L77" s="345"/>
      <c r="M77" s="345"/>
      <c r="N77" s="346"/>
      <c r="O77" s="346"/>
      <c r="P77" s="347"/>
      <c r="Q77" s="386"/>
      <c r="R77" s="386"/>
      <c r="S77" s="386"/>
      <c r="T77" s="343"/>
      <c r="U77" s="386"/>
      <c r="V77" s="386"/>
      <c r="W77" s="386"/>
      <c r="X77" s="343"/>
      <c r="Y77" s="306"/>
      <c r="Z77" s="398"/>
      <c r="AA77" s="64">
        <v>1</v>
      </c>
      <c r="AB77" s="399"/>
      <c r="AD77" s="44" t="s">
        <v>2092</v>
      </c>
    </row>
    <row r="79" s="204" customFormat="1" ht="11.25" customHeight="1" spans="1:1">
      <c r="A79" s="204" t="s">
        <v>2094</v>
      </c>
    </row>
    <row r="80" ht="17.25" customHeight="1"/>
    <row r="81" s="43" customFormat="1" ht="21" customHeight="1" spans="1:58">
      <c r="A81" s="307"/>
      <c r="B81" s="297"/>
      <c r="C81" s="297"/>
      <c r="D81" s="38"/>
      <c r="E81" s="53"/>
      <c r="F81" s="308" t="e">
        <f>INDEX(IP_MAIN_LIST_NAME_IP,MATCH(A81,IP_MAIN_LIST_IP_ID,0))&amp;" ("&amp;INDEX(IP_MAIN_START_DATE,MATCH(A81,IP_MAIN_LIST_IP_ID,0))&amp;"-"&amp;INDEX(IP_MAIN_END_DATE,MATCH(A81,IP_MAIN_LIST_IP_ID,0))&amp;")"</f>
        <v>#N/A</v>
      </c>
      <c r="G81" s="309"/>
      <c r="H81" s="309"/>
      <c r="I81" s="348"/>
      <c r="J81" s="348"/>
      <c r="K81" s="349"/>
      <c r="L81" s="349"/>
      <c r="M81" s="349"/>
      <c r="N81" s="350"/>
      <c r="O81" s="350"/>
      <c r="P81" s="350"/>
      <c r="Q81" s="350"/>
      <c r="R81" s="350"/>
      <c r="S81" s="350"/>
      <c r="T81" s="350"/>
      <c r="U81" s="350"/>
      <c r="V81" s="350"/>
      <c r="W81" s="350"/>
      <c r="X81" s="350"/>
      <c r="Y81" s="350"/>
      <c r="Z81" s="350"/>
      <c r="AA81" s="350"/>
      <c r="AB81" s="350"/>
      <c r="AC81" s="350"/>
      <c r="AD81" s="350"/>
      <c r="AE81" s="403"/>
      <c r="AF81" s="349"/>
      <c r="AG81" s="349"/>
      <c r="AH81" s="349"/>
      <c r="AI81" s="349"/>
      <c r="AJ81" s="349"/>
      <c r="AK81" s="349"/>
      <c r="AL81" s="429"/>
      <c r="AM81" s="81"/>
      <c r="AN81" s="81"/>
      <c r="AO81" s="81"/>
      <c r="AP81" s="81"/>
      <c r="AQ81" s="81"/>
      <c r="AR81" s="81"/>
      <c r="AS81" s="81"/>
      <c r="AT81" s="81"/>
      <c r="AU81" s="81"/>
      <c r="AV81" s="81"/>
      <c r="AW81" s="81"/>
      <c r="AX81" s="81"/>
      <c r="AY81" s="81"/>
      <c r="AZ81" s="81"/>
      <c r="BA81" s="81"/>
      <c r="BB81" s="81"/>
      <c r="BC81" s="81"/>
      <c r="BD81" s="81"/>
      <c r="BE81" s="81"/>
      <c r="BF81" s="81"/>
    </row>
    <row r="82" s="43" customFormat="1" ht="0.75" customHeight="1" spans="1:58">
      <c r="A82" s="297"/>
      <c r="B82" s="297"/>
      <c r="C82" s="297"/>
      <c r="D82" s="38"/>
      <c r="E82" s="53"/>
      <c r="F82" s="270"/>
      <c r="G82" s="278"/>
      <c r="H82" s="310" t="s">
        <v>372</v>
      </c>
      <c r="I82" s="351"/>
      <c r="J82" s="220"/>
      <c r="K82" s="220"/>
      <c r="L82" s="352"/>
      <c r="M82" s="353"/>
      <c r="N82" s="354"/>
      <c r="O82" s="355"/>
      <c r="P82" s="354"/>
      <c r="Q82" s="354"/>
      <c r="R82" s="354"/>
      <c r="S82" s="354"/>
      <c r="T82" s="354"/>
      <c r="U82" s="354"/>
      <c r="V82" s="354"/>
      <c r="W82" s="354"/>
      <c r="X82" s="354"/>
      <c r="Y82" s="354"/>
      <c r="Z82" s="354"/>
      <c r="AA82" s="354"/>
      <c r="AB82" s="354"/>
      <c r="AC82" s="354"/>
      <c r="AD82" s="354"/>
      <c r="AE82" s="354"/>
      <c r="AF82" s="404"/>
      <c r="AG82" s="352"/>
      <c r="AH82" s="352"/>
      <c r="AI82" s="404"/>
      <c r="AJ82" s="352"/>
      <c r="AK82" s="352"/>
      <c r="AL82" s="429"/>
      <c r="AM82" s="81"/>
      <c r="AN82" s="81"/>
      <c r="AO82" s="81"/>
      <c r="AP82" s="81"/>
      <c r="AQ82" s="81"/>
      <c r="AR82" s="81"/>
      <c r="AS82" s="81"/>
      <c r="AT82" s="81"/>
      <c r="AU82" s="81"/>
      <c r="AV82" s="81"/>
      <c r="AW82" s="81"/>
      <c r="AX82" s="81"/>
      <c r="AY82" s="81"/>
      <c r="AZ82" s="81"/>
      <c r="BA82" s="81"/>
      <c r="BB82" s="81"/>
      <c r="BC82" s="81"/>
      <c r="BD82" s="81"/>
      <c r="BE82" s="81"/>
      <c r="BF82" s="81"/>
    </row>
    <row r="83" s="43" customFormat="1" ht="0.75" customHeight="1" spans="1:58">
      <c r="A83" s="297"/>
      <c r="B83" s="297"/>
      <c r="C83" s="297"/>
      <c r="D83" s="38"/>
      <c r="E83" s="53"/>
      <c r="F83" s="270"/>
      <c r="G83" s="278"/>
      <c r="H83" s="310"/>
      <c r="I83" s="351"/>
      <c r="J83" s="220"/>
      <c r="K83" s="220"/>
      <c r="L83" s="352"/>
      <c r="M83" s="353"/>
      <c r="N83" s="356"/>
      <c r="O83" s="357"/>
      <c r="P83" s="358"/>
      <c r="Q83" s="220"/>
      <c r="R83" s="220"/>
      <c r="S83" s="220"/>
      <c r="T83" s="220"/>
      <c r="U83" s="220"/>
      <c r="V83" s="220"/>
      <c r="W83" s="220"/>
      <c r="X83" s="220"/>
      <c r="Y83" s="220"/>
      <c r="Z83" s="405"/>
      <c r="AA83" s="361"/>
      <c r="AB83" s="361"/>
      <c r="AC83" s="406"/>
      <c r="AD83" s="406"/>
      <c r="AE83" s="407"/>
      <c r="AF83" s="404"/>
      <c r="AG83" s="352"/>
      <c r="AH83" s="352"/>
      <c r="AI83" s="404"/>
      <c r="AJ83" s="352"/>
      <c r="AK83" s="352"/>
      <c r="AL83" s="429"/>
      <c r="AM83" s="81"/>
      <c r="AN83" s="81"/>
      <c r="AO83" s="81"/>
      <c r="AP83" s="81"/>
      <c r="AQ83" s="81"/>
      <c r="AR83" s="81"/>
      <c r="AS83" s="81"/>
      <c r="AT83" s="81"/>
      <c r="AU83" s="81"/>
      <c r="AV83" s="81"/>
      <c r="AW83" s="81"/>
      <c r="AX83" s="81"/>
      <c r="AY83" s="81"/>
      <c r="AZ83" s="81"/>
      <c r="BA83" s="81"/>
      <c r="BB83" s="81"/>
      <c r="BC83" s="81"/>
      <c r="BD83" s="81"/>
      <c r="BE83" s="81"/>
      <c r="BF83" s="81"/>
    </row>
    <row r="84" s="43" customFormat="1" ht="0.75" customHeight="1" spans="1:58">
      <c r="A84" s="297"/>
      <c r="B84" s="297"/>
      <c r="C84" s="297"/>
      <c r="D84" s="38"/>
      <c r="E84" s="53"/>
      <c r="F84" s="270"/>
      <c r="G84" s="278"/>
      <c r="H84" s="310"/>
      <c r="I84" s="351"/>
      <c r="J84" s="220"/>
      <c r="K84" s="220"/>
      <c r="L84" s="352"/>
      <c r="M84" s="353"/>
      <c r="N84" s="356"/>
      <c r="O84" s="357"/>
      <c r="P84" s="359"/>
      <c r="Q84" s="220"/>
      <c r="R84" s="220"/>
      <c r="S84" s="220"/>
      <c r="T84" s="220"/>
      <c r="U84" s="220"/>
      <c r="V84" s="220"/>
      <c r="W84" s="220"/>
      <c r="X84" s="220"/>
      <c r="Y84" s="220"/>
      <c r="Z84" s="408"/>
      <c r="AA84" s="357"/>
      <c r="AB84" s="409"/>
      <c r="AC84" s="410"/>
      <c r="AD84" s="409"/>
      <c r="AE84" s="410"/>
      <c r="AF84" s="404"/>
      <c r="AG84" s="352"/>
      <c r="AH84" s="352"/>
      <c r="AI84" s="404"/>
      <c r="AJ84" s="352"/>
      <c r="AK84" s="352"/>
      <c r="AL84" s="429"/>
      <c r="AM84" s="81"/>
      <c r="AN84" s="81"/>
      <c r="AO84" s="81"/>
      <c r="AP84" s="81"/>
      <c r="AQ84" s="81"/>
      <c r="AR84" s="81"/>
      <c r="AS84" s="81"/>
      <c r="AT84" s="81"/>
      <c r="AU84" s="81"/>
      <c r="AV84" s="81"/>
      <c r="AW84" s="81"/>
      <c r="AX84" s="81"/>
      <c r="AY84" s="81"/>
      <c r="AZ84" s="81"/>
      <c r="BA84" s="81"/>
      <c r="BB84" s="81"/>
      <c r="BC84" s="81"/>
      <c r="BD84" s="81"/>
      <c r="BE84" s="81"/>
      <c r="BF84" s="81"/>
    </row>
    <row r="85" s="43" customFormat="1" ht="0.75" customHeight="1" spans="1:58">
      <c r="A85" s="297"/>
      <c r="B85" s="297"/>
      <c r="C85" s="297"/>
      <c r="D85" s="38"/>
      <c r="E85" s="53"/>
      <c r="F85" s="270"/>
      <c r="G85" s="278"/>
      <c r="H85" s="310"/>
      <c r="I85" s="351"/>
      <c r="J85" s="220"/>
      <c r="K85" s="220"/>
      <c r="L85" s="352"/>
      <c r="M85" s="353"/>
      <c r="N85" s="356"/>
      <c r="O85" s="357"/>
      <c r="P85" s="360"/>
      <c r="Q85" s="220"/>
      <c r="R85" s="220"/>
      <c r="S85" s="220"/>
      <c r="T85" s="220"/>
      <c r="U85" s="220"/>
      <c r="V85" s="220"/>
      <c r="W85" s="220"/>
      <c r="X85" s="220"/>
      <c r="Y85" s="220"/>
      <c r="Z85" s="405"/>
      <c r="AA85" s="361"/>
      <c r="AB85" s="362"/>
      <c r="AC85" s="406"/>
      <c r="AD85" s="406"/>
      <c r="AE85" s="411"/>
      <c r="AF85" s="404"/>
      <c r="AG85" s="352"/>
      <c r="AH85" s="352"/>
      <c r="AI85" s="404"/>
      <c r="AJ85" s="352"/>
      <c r="AK85" s="352"/>
      <c r="AL85" s="429"/>
      <c r="AM85" s="81"/>
      <c r="AN85" s="81"/>
      <c r="AO85" s="81"/>
      <c r="AP85" s="81"/>
      <c r="AQ85" s="81"/>
      <c r="AR85" s="81"/>
      <c r="AS85" s="81"/>
      <c r="AT85" s="81"/>
      <c r="AU85" s="81"/>
      <c r="AV85" s="81"/>
      <c r="AW85" s="81"/>
      <c r="AX85" s="81"/>
      <c r="AY85" s="81"/>
      <c r="AZ85" s="81"/>
      <c r="BA85" s="81"/>
      <c r="BB85" s="81"/>
      <c r="BC85" s="81"/>
      <c r="BD85" s="81"/>
      <c r="BE85" s="81"/>
      <c r="BF85" s="81"/>
    </row>
    <row r="86" s="43" customFormat="1" ht="0.75" customHeight="1" spans="1:58">
      <c r="A86" s="297"/>
      <c r="B86" s="297"/>
      <c r="C86" s="297"/>
      <c r="D86" s="38"/>
      <c r="E86" s="53"/>
      <c r="F86" s="270"/>
      <c r="G86" s="278"/>
      <c r="H86" s="310"/>
      <c r="I86" s="351"/>
      <c r="J86" s="220"/>
      <c r="K86" s="220"/>
      <c r="L86" s="352"/>
      <c r="M86" s="353"/>
      <c r="N86" s="361"/>
      <c r="O86" s="361"/>
      <c r="P86" s="362"/>
      <c r="Q86" s="361"/>
      <c r="R86" s="361"/>
      <c r="S86" s="361"/>
      <c r="T86" s="361"/>
      <c r="U86" s="361"/>
      <c r="V86" s="361"/>
      <c r="W86" s="361"/>
      <c r="X86" s="361"/>
      <c r="Y86" s="361"/>
      <c r="Z86" s="361"/>
      <c r="AA86" s="361"/>
      <c r="AB86" s="361"/>
      <c r="AC86" s="361"/>
      <c r="AD86" s="361"/>
      <c r="AE86" s="412"/>
      <c r="AF86" s="404"/>
      <c r="AG86" s="352"/>
      <c r="AH86" s="352"/>
      <c r="AI86" s="404"/>
      <c r="AJ86" s="352"/>
      <c r="AK86" s="352"/>
      <c r="AL86" s="429"/>
      <c r="AM86" s="81"/>
      <c r="AN86" s="81"/>
      <c r="AO86" s="81"/>
      <c r="AP86" s="81"/>
      <c r="AQ86" s="81"/>
      <c r="AR86" s="81"/>
      <c r="AS86" s="81"/>
      <c r="AT86" s="81"/>
      <c r="AU86" s="81"/>
      <c r="AV86" s="81"/>
      <c r="AW86" s="81"/>
      <c r="AX86" s="81"/>
      <c r="AY86" s="81"/>
      <c r="AZ86" s="81"/>
      <c r="BA86" s="81"/>
      <c r="BB86" s="81"/>
      <c r="BC86" s="81"/>
      <c r="BD86" s="81"/>
      <c r="BE86" s="81"/>
      <c r="BF86" s="81"/>
    </row>
    <row r="87" s="43" customFormat="1" ht="12" customHeight="1" spans="1:58">
      <c r="A87" s="297"/>
      <c r="B87" s="297"/>
      <c r="C87" s="297"/>
      <c r="D87" s="38"/>
      <c r="E87" s="53"/>
      <c r="F87" s="311"/>
      <c r="G87" s="312"/>
      <c r="H87" s="312"/>
      <c r="I87" s="322" t="s">
        <v>1189</v>
      </c>
      <c r="J87" s="322"/>
      <c r="K87" s="322"/>
      <c r="L87" s="363"/>
      <c r="M87" s="363"/>
      <c r="N87" s="364"/>
      <c r="O87" s="364"/>
      <c r="P87" s="364"/>
      <c r="Q87" s="364"/>
      <c r="R87" s="364"/>
      <c r="S87" s="364"/>
      <c r="T87" s="364"/>
      <c r="U87" s="364"/>
      <c r="V87" s="364"/>
      <c r="W87" s="364"/>
      <c r="X87" s="364"/>
      <c r="Y87" s="364"/>
      <c r="Z87" s="364"/>
      <c r="AA87" s="364"/>
      <c r="AB87" s="364"/>
      <c r="AC87" s="364"/>
      <c r="AD87" s="364"/>
      <c r="AE87" s="364"/>
      <c r="AF87" s="364"/>
      <c r="AG87" s="363"/>
      <c r="AH87" s="363"/>
      <c r="AI87" s="364"/>
      <c r="AJ87" s="363"/>
      <c r="AK87" s="364"/>
      <c r="AL87" s="429"/>
      <c r="AM87" s="81"/>
      <c r="AN87" s="81"/>
      <c r="AO87" s="81"/>
      <c r="AP87" s="81"/>
      <c r="AQ87" s="81"/>
      <c r="AR87" s="81"/>
      <c r="AS87" s="81"/>
      <c r="AT87" s="81"/>
      <c r="AU87" s="81"/>
      <c r="AV87" s="81"/>
      <c r="AW87" s="81"/>
      <c r="AX87" s="81"/>
      <c r="AY87" s="81"/>
      <c r="AZ87" s="81"/>
      <c r="BA87" s="81"/>
      <c r="BB87" s="81"/>
      <c r="BC87" s="81"/>
      <c r="BD87" s="81"/>
      <c r="BE87" s="81"/>
      <c r="BF87" s="81"/>
    </row>
    <row r="89" s="204" customFormat="1" ht="11.25" customHeight="1" spans="1:1">
      <c r="A89" s="204" t="s">
        <v>2095</v>
      </c>
    </row>
    <row r="91" s="43" customFormat="1" ht="11.25" customHeight="1" spans="1:58">
      <c r="A91" s="297"/>
      <c r="B91" s="297"/>
      <c r="C91" s="297"/>
      <c r="D91" s="38"/>
      <c r="E91" s="53"/>
      <c r="F91" s="313"/>
      <c r="G91" s="314"/>
      <c r="H91" s="314"/>
      <c r="I91" s="365"/>
      <c r="J91" s="365"/>
      <c r="K91" s="366"/>
      <c r="L91" s="365"/>
      <c r="M91" s="314"/>
      <c r="N91" s="367"/>
      <c r="O91" s="368">
        <v>1</v>
      </c>
      <c r="P91" s="369" t="s">
        <v>19</v>
      </c>
      <c r="Q91" s="104" t="s">
        <v>22</v>
      </c>
      <c r="R91" s="104" t="s">
        <v>22</v>
      </c>
      <c r="S91" s="104" t="s">
        <v>22</v>
      </c>
      <c r="T91" s="104" t="s">
        <v>22</v>
      </c>
      <c r="U91" s="104" t="s">
        <v>22</v>
      </c>
      <c r="V91" s="104" t="s">
        <v>22</v>
      </c>
      <c r="W91" s="104" t="s">
        <v>22</v>
      </c>
      <c r="X91" s="104" t="s">
        <v>22</v>
      </c>
      <c r="Y91" s="104"/>
      <c r="Z91" s="380"/>
      <c r="AA91" s="381"/>
      <c r="AB91" s="381"/>
      <c r="AC91" s="413"/>
      <c r="AD91" s="413"/>
      <c r="AE91" s="413"/>
      <c r="AF91" s="414"/>
      <c r="AG91" s="430"/>
      <c r="AH91" s="430"/>
      <c r="AI91" s="414"/>
      <c r="AJ91" s="430"/>
      <c r="AK91" s="431"/>
      <c r="AL91" s="429"/>
      <c r="AM91" s="81"/>
      <c r="AN91" s="81"/>
      <c r="AO91" s="81"/>
      <c r="AP91" s="81"/>
      <c r="AQ91" s="81"/>
      <c r="AR91" s="81"/>
      <c r="AS91" s="81"/>
      <c r="AT91" s="81"/>
      <c r="AU91" s="81"/>
      <c r="AV91" s="81"/>
      <c r="AW91" s="81"/>
      <c r="AX91" s="81"/>
      <c r="AY91" s="81"/>
      <c r="AZ91" s="81"/>
      <c r="BA91" s="81"/>
      <c r="BB91" s="81"/>
      <c r="BC91" s="81"/>
      <c r="BD91" s="81"/>
      <c r="BE91" s="81"/>
      <c r="BF91" s="81"/>
    </row>
    <row r="92" s="43" customFormat="1" ht="11.25" customHeight="1" spans="1:58">
      <c r="A92" s="297"/>
      <c r="B92" s="297"/>
      <c r="C92" s="297"/>
      <c r="D92" s="38"/>
      <c r="E92" s="53"/>
      <c r="F92" s="313"/>
      <c r="G92" s="314"/>
      <c r="H92" s="314"/>
      <c r="I92" s="370"/>
      <c r="J92" s="370"/>
      <c r="K92" s="366"/>
      <c r="L92" s="370"/>
      <c r="M92" s="314"/>
      <c r="N92" s="367"/>
      <c r="O92" s="368"/>
      <c r="P92" s="371"/>
      <c r="Q92" s="104"/>
      <c r="R92" s="104"/>
      <c r="S92" s="387"/>
      <c r="T92" s="104"/>
      <c r="U92" s="104"/>
      <c r="V92" s="104"/>
      <c r="W92" s="104"/>
      <c r="X92" s="104"/>
      <c r="Y92" s="104"/>
      <c r="Z92" s="415"/>
      <c r="AA92" s="368">
        <v>1</v>
      </c>
      <c r="AB92" s="416"/>
      <c r="AC92" s="417"/>
      <c r="AD92" s="416">
        <f>AB92</f>
        <v>0</v>
      </c>
      <c r="AE92" s="418"/>
      <c r="AF92" s="419"/>
      <c r="AG92" s="430"/>
      <c r="AH92" s="430"/>
      <c r="AI92" s="419"/>
      <c r="AJ92" s="430"/>
      <c r="AK92" s="431"/>
      <c r="AL92" s="429"/>
      <c r="AM92" s="81"/>
      <c r="AN92" s="81"/>
      <c r="AO92" s="81"/>
      <c r="AP92" s="81"/>
      <c r="AQ92" s="81"/>
      <c r="AR92" s="81"/>
      <c r="AS92" s="81"/>
      <c r="AT92" s="81"/>
      <c r="AU92" s="81"/>
      <c r="AV92" s="81"/>
      <c r="AW92" s="81"/>
      <c r="AX92" s="81"/>
      <c r="AY92" s="81"/>
      <c r="AZ92" s="81"/>
      <c r="BA92" s="81"/>
      <c r="BB92" s="81"/>
      <c r="BC92" s="81"/>
      <c r="BD92" s="81"/>
      <c r="BE92" s="81"/>
      <c r="BF92" s="81"/>
    </row>
    <row r="93" s="43" customFormat="1" ht="11.25" customHeight="1" spans="1:58">
      <c r="A93" s="297"/>
      <c r="B93" s="297"/>
      <c r="C93" s="297"/>
      <c r="D93" s="38"/>
      <c r="E93" s="53"/>
      <c r="F93" s="313"/>
      <c r="G93" s="314"/>
      <c r="H93" s="314"/>
      <c r="I93" s="372"/>
      <c r="J93" s="372"/>
      <c r="K93" s="366"/>
      <c r="L93" s="372"/>
      <c r="M93" s="314"/>
      <c r="N93" s="367"/>
      <c r="O93" s="368"/>
      <c r="P93" s="373"/>
      <c r="Q93" s="104"/>
      <c r="R93" s="104"/>
      <c r="S93" s="387"/>
      <c r="T93" s="104"/>
      <c r="U93" s="104"/>
      <c r="V93" s="104"/>
      <c r="W93" s="104"/>
      <c r="X93" s="104"/>
      <c r="Y93" s="104"/>
      <c r="Z93" s="380"/>
      <c r="AA93" s="381"/>
      <c r="AB93" s="227" t="s">
        <v>1054</v>
      </c>
      <c r="AC93" s="413"/>
      <c r="AD93" s="413"/>
      <c r="AE93" s="413"/>
      <c r="AF93" s="420"/>
      <c r="AG93" s="430"/>
      <c r="AH93" s="430"/>
      <c r="AI93" s="420"/>
      <c r="AJ93" s="430"/>
      <c r="AK93" s="431"/>
      <c r="AL93" s="429"/>
      <c r="AM93" s="81"/>
      <c r="AN93" s="81"/>
      <c r="AO93" s="81"/>
      <c r="AP93" s="81"/>
      <c r="AQ93" s="81"/>
      <c r="AR93" s="81"/>
      <c r="AS93" s="81"/>
      <c r="AT93" s="81"/>
      <c r="AU93" s="81"/>
      <c r="AV93" s="81"/>
      <c r="AW93" s="81"/>
      <c r="AX93" s="81"/>
      <c r="AY93" s="81"/>
      <c r="AZ93" s="81"/>
      <c r="BA93" s="81"/>
      <c r="BB93" s="81"/>
      <c r="BC93" s="81"/>
      <c r="BD93" s="81"/>
      <c r="BE93" s="81"/>
      <c r="BF93" s="81"/>
    </row>
    <row r="95" s="204" customFormat="1" ht="11.25" customHeight="1" spans="1:1">
      <c r="A95" s="204" t="s">
        <v>2096</v>
      </c>
    </row>
    <row r="97" s="43" customFormat="1" ht="11.25" customHeight="1" spans="1:58">
      <c r="A97" s="297"/>
      <c r="B97" s="297"/>
      <c r="C97" s="297"/>
      <c r="D97" s="38"/>
      <c r="E97" s="53"/>
      <c r="F97" s="314"/>
      <c r="G97" s="314"/>
      <c r="H97" s="314"/>
      <c r="I97" s="314"/>
      <c r="J97" s="314"/>
      <c r="K97" s="314"/>
      <c r="L97" s="314"/>
      <c r="M97" s="314"/>
      <c r="N97" s="314"/>
      <c r="O97" s="314"/>
      <c r="P97" s="314"/>
      <c r="Q97" s="314"/>
      <c r="R97" s="314"/>
      <c r="S97" s="314"/>
      <c r="T97" s="314"/>
      <c r="U97" s="314"/>
      <c r="V97" s="314"/>
      <c r="W97" s="314"/>
      <c r="X97" s="314"/>
      <c r="Y97" s="314"/>
      <c r="Z97" s="421"/>
      <c r="AA97" s="379">
        <v>1</v>
      </c>
      <c r="AB97" s="416"/>
      <c r="AC97" s="417"/>
      <c r="AD97" s="416">
        <f>AB97</f>
        <v>0</v>
      </c>
      <c r="AE97" s="417"/>
      <c r="AF97" s="422"/>
      <c r="AG97" s="430"/>
      <c r="AH97" s="430"/>
      <c r="AI97" s="422"/>
      <c r="AJ97" s="430"/>
      <c r="AK97" s="431"/>
      <c r="AL97" s="429"/>
      <c r="AM97" s="81"/>
      <c r="AN97" s="81"/>
      <c r="AO97" s="81"/>
      <c r="AP97" s="81"/>
      <c r="AQ97" s="81"/>
      <c r="AR97" s="81"/>
      <c r="AS97" s="81"/>
      <c r="AT97" s="81"/>
      <c r="AU97" s="81"/>
      <c r="AV97" s="81"/>
      <c r="AW97" s="81"/>
      <c r="AX97" s="81"/>
      <c r="AY97" s="81"/>
      <c r="AZ97" s="81"/>
      <c r="BA97" s="81"/>
      <c r="BB97" s="81"/>
      <c r="BC97" s="81"/>
      <c r="BD97" s="81"/>
      <c r="BE97" s="81"/>
      <c r="BF97" s="81"/>
    </row>
    <row r="99" s="204" customFormat="1" ht="11.25" customHeight="1" spans="1:1">
      <c r="A99" s="204" t="s">
        <v>2097</v>
      </c>
    </row>
    <row r="101" s="43" customFormat="1" ht="11.25" customHeight="1" spans="1:58">
      <c r="A101" s="297"/>
      <c r="B101" s="297"/>
      <c r="C101" s="297"/>
      <c r="D101" s="38"/>
      <c r="E101" s="53"/>
      <c r="F101" s="313"/>
      <c r="G101" s="314"/>
      <c r="H101" s="278" t="s">
        <v>107</v>
      </c>
      <c r="I101" s="374"/>
      <c r="J101" s="375"/>
      <c r="K101" s="213"/>
      <c r="L101" s="140" t="s">
        <v>19</v>
      </c>
      <c r="M101" s="232"/>
      <c r="N101" s="376"/>
      <c r="O101" s="377" t="s">
        <v>372</v>
      </c>
      <c r="P101" s="378"/>
      <c r="Q101" s="378"/>
      <c r="R101" s="378"/>
      <c r="S101" s="378"/>
      <c r="T101" s="378"/>
      <c r="U101" s="378"/>
      <c r="V101" s="378"/>
      <c r="W101" s="378"/>
      <c r="X101" s="378"/>
      <c r="Y101" s="378"/>
      <c r="Z101" s="378"/>
      <c r="AA101" s="378"/>
      <c r="AB101" s="378"/>
      <c r="AC101" s="378"/>
      <c r="AD101" s="378"/>
      <c r="AE101" s="378"/>
      <c r="AF101" s="423"/>
      <c r="AG101" s="432"/>
      <c r="AH101" s="432"/>
      <c r="AI101" s="423"/>
      <c r="AJ101" s="432"/>
      <c r="AK101" s="432"/>
      <c r="AL101" s="429"/>
      <c r="AM101" s="81"/>
      <c r="AN101" s="81"/>
      <c r="AO101" s="81"/>
      <c r="AP101" s="81"/>
      <c r="AQ101" s="81"/>
      <c r="AR101" s="81"/>
      <c r="AS101" s="81"/>
      <c r="AT101" s="81"/>
      <c r="AU101" s="81"/>
      <c r="AV101" s="81"/>
      <c r="AW101" s="81"/>
      <c r="AX101" s="81"/>
      <c r="AY101" s="81"/>
      <c r="AZ101" s="81"/>
      <c r="BA101" s="81"/>
      <c r="BB101" s="81"/>
      <c r="BC101" s="81"/>
      <c r="BD101" s="81"/>
      <c r="BE101" s="81"/>
      <c r="BF101" s="81"/>
    </row>
    <row r="102" s="43" customFormat="1" ht="11.25" customHeight="1" spans="1:58">
      <c r="A102" s="297"/>
      <c r="B102" s="297"/>
      <c r="C102" s="297"/>
      <c r="D102" s="38"/>
      <c r="E102" s="53"/>
      <c r="F102" s="313"/>
      <c r="G102" s="314"/>
      <c r="H102" s="278"/>
      <c r="I102" s="374"/>
      <c r="J102" s="375"/>
      <c r="K102" s="213"/>
      <c r="L102" s="140"/>
      <c r="M102" s="232"/>
      <c r="N102" s="367"/>
      <c r="O102" s="379">
        <v>1</v>
      </c>
      <c r="P102" s="369" t="s">
        <v>19</v>
      </c>
      <c r="Q102" s="104" t="s">
        <v>22</v>
      </c>
      <c r="R102" s="104" t="s">
        <v>22</v>
      </c>
      <c r="S102" s="104" t="s">
        <v>22</v>
      </c>
      <c r="T102" s="104" t="s">
        <v>22</v>
      </c>
      <c r="U102" s="104" t="s">
        <v>22</v>
      </c>
      <c r="V102" s="104" t="s">
        <v>22</v>
      </c>
      <c r="W102" s="104" t="s">
        <v>22</v>
      </c>
      <c r="X102" s="104" t="s">
        <v>22</v>
      </c>
      <c r="Y102" s="104"/>
      <c r="Z102" s="380"/>
      <c r="AA102" s="381"/>
      <c r="AB102" s="381"/>
      <c r="AC102" s="413"/>
      <c r="AD102" s="413"/>
      <c r="AE102" s="424"/>
      <c r="AF102" s="423"/>
      <c r="AG102" s="432"/>
      <c r="AH102" s="432"/>
      <c r="AI102" s="423"/>
      <c r="AJ102" s="432"/>
      <c r="AK102" s="432"/>
      <c r="AL102" s="429"/>
      <c r="AM102" s="81"/>
      <c r="AN102" s="81"/>
      <c r="AO102" s="81"/>
      <c r="AP102" s="81"/>
      <c r="AQ102" s="81"/>
      <c r="AR102" s="81"/>
      <c r="AS102" s="81"/>
      <c r="AT102" s="81"/>
      <c r="AU102" s="81"/>
      <c r="AV102" s="81"/>
      <c r="AW102" s="81"/>
      <c r="AX102" s="81"/>
      <c r="AY102" s="81"/>
      <c r="AZ102" s="81"/>
      <c r="BA102" s="81"/>
      <c r="BB102" s="81"/>
      <c r="BC102" s="81"/>
      <c r="BD102" s="81"/>
      <c r="BE102" s="81"/>
      <c r="BF102" s="81"/>
    </row>
    <row r="103" s="43" customFormat="1" ht="11.25" customHeight="1" spans="1:58">
      <c r="A103" s="297"/>
      <c r="B103" s="297"/>
      <c r="C103" s="297"/>
      <c r="D103" s="38"/>
      <c r="E103" s="53"/>
      <c r="F103" s="313"/>
      <c r="G103" s="314"/>
      <c r="H103" s="278"/>
      <c r="I103" s="374"/>
      <c r="J103" s="375"/>
      <c r="K103" s="213"/>
      <c r="L103" s="140"/>
      <c r="M103" s="232"/>
      <c r="N103" s="367"/>
      <c r="O103" s="379"/>
      <c r="P103" s="371"/>
      <c r="Q103" s="104"/>
      <c r="R103" s="104"/>
      <c r="S103" s="387"/>
      <c r="T103" s="104"/>
      <c r="U103" s="104"/>
      <c r="V103" s="104"/>
      <c r="W103" s="104"/>
      <c r="X103" s="104"/>
      <c r="Y103" s="104"/>
      <c r="Z103" s="415"/>
      <c r="AA103" s="368">
        <v>1</v>
      </c>
      <c r="AB103" s="416"/>
      <c r="AC103" s="417"/>
      <c r="AD103" s="416">
        <f>AB103</f>
        <v>0</v>
      </c>
      <c r="AE103" s="417"/>
      <c r="AF103" s="423"/>
      <c r="AG103" s="432"/>
      <c r="AH103" s="432"/>
      <c r="AI103" s="423"/>
      <c r="AJ103" s="432"/>
      <c r="AK103" s="432"/>
      <c r="AL103" s="429"/>
      <c r="AM103" s="81"/>
      <c r="AN103" s="81"/>
      <c r="AO103" s="81"/>
      <c r="AP103" s="81"/>
      <c r="AQ103" s="81"/>
      <c r="AR103" s="81"/>
      <c r="AS103" s="81"/>
      <c r="AT103" s="81"/>
      <c r="AU103" s="81"/>
      <c r="AV103" s="81"/>
      <c r="AW103" s="81"/>
      <c r="AX103" s="81"/>
      <c r="AY103" s="81"/>
      <c r="AZ103" s="81"/>
      <c r="BA103" s="81"/>
      <c r="BB103" s="81"/>
      <c r="BC103" s="81"/>
      <c r="BD103" s="81"/>
      <c r="BE103" s="81"/>
      <c r="BF103" s="81"/>
    </row>
    <row r="104" s="43" customFormat="1" ht="11.25" customHeight="1" spans="1:58">
      <c r="A104" s="297"/>
      <c r="B104" s="297"/>
      <c r="C104" s="297"/>
      <c r="D104" s="38"/>
      <c r="E104" s="53"/>
      <c r="F104" s="313"/>
      <c r="G104" s="314"/>
      <c r="H104" s="278"/>
      <c r="I104" s="374"/>
      <c r="J104" s="375"/>
      <c r="K104" s="213"/>
      <c r="L104" s="140"/>
      <c r="M104" s="232"/>
      <c r="N104" s="367"/>
      <c r="O104" s="379"/>
      <c r="P104" s="373"/>
      <c r="Q104" s="104"/>
      <c r="R104" s="104"/>
      <c r="S104" s="387"/>
      <c r="T104" s="104"/>
      <c r="U104" s="104"/>
      <c r="V104" s="104"/>
      <c r="W104" s="104"/>
      <c r="X104" s="104"/>
      <c r="Y104" s="104"/>
      <c r="Z104" s="380"/>
      <c r="AA104" s="381"/>
      <c r="AB104" s="227" t="s">
        <v>1054</v>
      </c>
      <c r="AC104" s="413"/>
      <c r="AD104" s="413"/>
      <c r="AE104" s="425"/>
      <c r="AF104" s="423"/>
      <c r="AG104" s="432"/>
      <c r="AH104" s="432"/>
      <c r="AI104" s="423"/>
      <c r="AJ104" s="432"/>
      <c r="AK104" s="432"/>
      <c r="AL104" s="429"/>
      <c r="AM104" s="81"/>
      <c r="AN104" s="81"/>
      <c r="AO104" s="81"/>
      <c r="AP104" s="81"/>
      <c r="AQ104" s="81"/>
      <c r="AR104" s="81"/>
      <c r="AS104" s="81"/>
      <c r="AT104" s="81"/>
      <c r="AU104" s="81"/>
      <c r="AV104" s="81"/>
      <c r="AW104" s="81"/>
      <c r="AX104" s="81"/>
      <c r="AY104" s="81"/>
      <c r="AZ104" s="81"/>
      <c r="BA104" s="81"/>
      <c r="BB104" s="81"/>
      <c r="BC104" s="81"/>
      <c r="BD104" s="81"/>
      <c r="BE104" s="81"/>
      <c r="BF104" s="81"/>
    </row>
    <row r="105" s="43" customFormat="1" ht="11.25" customHeight="1" spans="1:58">
      <c r="A105" s="297"/>
      <c r="B105" s="297"/>
      <c r="C105" s="297"/>
      <c r="D105" s="38"/>
      <c r="E105" s="53"/>
      <c r="F105" s="313"/>
      <c r="G105" s="314"/>
      <c r="H105" s="278"/>
      <c r="I105" s="374"/>
      <c r="J105" s="375"/>
      <c r="K105" s="213"/>
      <c r="L105" s="140"/>
      <c r="M105" s="232"/>
      <c r="N105" s="380"/>
      <c r="O105" s="381"/>
      <c r="P105" s="227" t="s">
        <v>1055</v>
      </c>
      <c r="Q105" s="381"/>
      <c r="R105" s="381"/>
      <c r="S105" s="381"/>
      <c r="T105" s="381"/>
      <c r="U105" s="381"/>
      <c r="V105" s="381"/>
      <c r="W105" s="381"/>
      <c r="X105" s="381"/>
      <c r="Y105" s="381"/>
      <c r="Z105" s="381"/>
      <c r="AA105" s="381"/>
      <c r="AB105" s="381"/>
      <c r="AC105" s="381"/>
      <c r="AD105" s="381"/>
      <c r="AE105" s="426"/>
      <c r="AF105" s="423"/>
      <c r="AG105" s="432"/>
      <c r="AH105" s="432"/>
      <c r="AI105" s="423"/>
      <c r="AJ105" s="432"/>
      <c r="AK105" s="432"/>
      <c r="AL105" s="429"/>
      <c r="AM105" s="81"/>
      <c r="AN105" s="81"/>
      <c r="AO105" s="81"/>
      <c r="AP105" s="81"/>
      <c r="AQ105" s="81"/>
      <c r="AR105" s="81"/>
      <c r="AS105" s="81"/>
      <c r="AT105" s="81"/>
      <c r="AU105" s="81"/>
      <c r="AV105" s="81"/>
      <c r="AW105" s="81"/>
      <c r="AX105" s="81"/>
      <c r="AY105" s="81"/>
      <c r="AZ105" s="81"/>
      <c r="BA105" s="81"/>
      <c r="BB105" s="81"/>
      <c r="BC105" s="81"/>
      <c r="BD105" s="81"/>
      <c r="BE105" s="81"/>
      <c r="BF105" s="81"/>
    </row>
    <row r="107" s="204" customFormat="1" ht="11.25" customHeight="1" spans="1:1">
      <c r="A107" s="204" t="s">
        <v>2098</v>
      </c>
    </row>
    <row r="108" ht="17.25" customHeight="1"/>
    <row r="109" s="209" customFormat="1" ht="21" customHeight="1" spans="1:180">
      <c r="A109" s="307"/>
      <c r="B109" s="315"/>
      <c r="E109" s="316" t="s">
        <v>22</v>
      </c>
      <c r="F109" s="317" t="e">
        <f>INDEX(IP_MAIN_LIST_NAME_IP,MATCH(A109,IP_MAIN_LIST_IP_ID,0))&amp;" ("&amp;INDEX(IP_MAIN_START_DATE,MATCH(A109,IP_MAIN_LIST_IP_ID,0))&amp;"-"&amp;INDEX(IP_MAIN_END_DATE,MATCH(A109,IP_MAIN_LIST_IP_ID,0))&amp;")"</f>
        <v>#N/A</v>
      </c>
      <c r="G109" s="318"/>
      <c r="H109" s="319"/>
      <c r="I109" s="319"/>
      <c r="J109" s="319"/>
      <c r="K109" s="319"/>
      <c r="L109" s="319"/>
      <c r="M109" s="319"/>
      <c r="N109" s="319"/>
      <c r="O109" s="318"/>
      <c r="P109" s="318"/>
      <c r="Q109" s="318"/>
      <c r="R109" s="318"/>
      <c r="S109" s="318"/>
      <c r="T109" s="318"/>
      <c r="U109" s="388"/>
      <c r="V109" s="388"/>
      <c r="W109" s="388"/>
      <c r="X109" s="388"/>
      <c r="Y109" s="388"/>
      <c r="Z109" s="388"/>
      <c r="AA109" s="388"/>
      <c r="AB109" s="318"/>
      <c r="AC109" s="319"/>
      <c r="AD109" s="319"/>
      <c r="AE109" s="319"/>
      <c r="AF109" s="319"/>
      <c r="AG109" s="319"/>
      <c r="AH109" s="319"/>
      <c r="AI109" s="319"/>
      <c r="AJ109" s="319"/>
      <c r="AK109" s="319"/>
      <c r="AL109" s="319"/>
      <c r="AM109" s="319"/>
      <c r="AN109" s="319"/>
      <c r="AO109" s="319"/>
      <c r="AP109" s="319"/>
      <c r="AQ109" s="319"/>
      <c r="AR109" s="319"/>
      <c r="AS109" s="319"/>
      <c r="AT109" s="319"/>
      <c r="AU109" s="319"/>
      <c r="AV109" s="319"/>
      <c r="AW109" s="319"/>
      <c r="AX109" s="319"/>
      <c r="AY109" s="319"/>
      <c r="AZ109" s="319"/>
      <c r="BA109" s="319"/>
      <c r="BB109" s="319"/>
      <c r="BC109" s="319"/>
      <c r="BD109" s="319"/>
      <c r="BE109" s="319"/>
      <c r="BF109" s="319"/>
      <c r="BG109" s="319"/>
      <c r="BH109" s="319"/>
      <c r="BI109" s="319"/>
      <c r="BJ109" s="319"/>
      <c r="BK109" s="319"/>
      <c r="BL109" s="319"/>
      <c r="BM109" s="319"/>
      <c r="BN109" s="319"/>
      <c r="BO109" s="319"/>
      <c r="BP109" s="319"/>
      <c r="BQ109" s="319"/>
      <c r="BR109" s="319"/>
      <c r="BS109" s="319"/>
      <c r="BT109" s="319"/>
      <c r="BU109" s="319"/>
      <c r="BV109" s="319"/>
      <c r="BW109" s="319"/>
      <c r="BX109" s="319"/>
      <c r="BY109" s="319"/>
      <c r="BZ109" s="319"/>
      <c r="CA109" s="319"/>
      <c r="CB109" s="319"/>
      <c r="CC109" s="319"/>
      <c r="CD109" s="319"/>
      <c r="CE109" s="319"/>
      <c r="CF109" s="319"/>
      <c r="CG109" s="319"/>
      <c r="CH109" s="319"/>
      <c r="CI109" s="319"/>
      <c r="CJ109" s="319"/>
      <c r="CK109" s="319"/>
      <c r="CL109" s="435"/>
      <c r="CM109" s="435"/>
      <c r="CN109" s="435"/>
      <c r="CO109" s="435"/>
      <c r="CP109" s="435"/>
      <c r="CQ109" s="435"/>
      <c r="CR109" s="435"/>
      <c r="CS109" s="435"/>
      <c r="CT109" s="435"/>
      <c r="CU109" s="435"/>
      <c r="CV109" s="435"/>
      <c r="CW109" s="435"/>
      <c r="CX109" s="435"/>
      <c r="CY109" s="435"/>
      <c r="CZ109" s="435"/>
      <c r="DA109" s="435"/>
      <c r="DB109" s="435"/>
      <c r="DC109" s="435"/>
      <c r="DD109" s="435"/>
      <c r="DE109" s="435"/>
      <c r="DF109" s="435"/>
      <c r="DG109" s="435"/>
      <c r="DH109" s="435"/>
      <c r="DI109" s="435"/>
      <c r="DJ109" s="435"/>
      <c r="DK109" s="435"/>
      <c r="DL109" s="435"/>
      <c r="DM109" s="435"/>
      <c r="DN109" s="435"/>
      <c r="DO109" s="435"/>
      <c r="DP109" s="435"/>
      <c r="DQ109" s="435"/>
      <c r="DR109" s="435"/>
      <c r="DS109" s="435"/>
      <c r="DT109" s="435"/>
      <c r="DU109" s="435"/>
      <c r="DV109" s="435"/>
      <c r="DW109" s="435"/>
      <c r="DX109" s="435"/>
      <c r="DY109" s="435"/>
      <c r="DZ109" s="435"/>
      <c r="EA109" s="435"/>
      <c r="EB109" s="435"/>
      <c r="EC109" s="435"/>
      <c r="ED109" s="435"/>
      <c r="EE109" s="435"/>
      <c r="EF109" s="435"/>
      <c r="EG109" s="435"/>
      <c r="EH109" s="435"/>
      <c r="EI109" s="435"/>
      <c r="EJ109" s="435"/>
      <c r="EK109" s="435"/>
      <c r="EL109" s="435"/>
      <c r="EM109" s="435"/>
      <c r="EN109" s="435"/>
      <c r="EO109" s="435"/>
      <c r="EP109" s="435"/>
      <c r="EQ109" s="435"/>
      <c r="ER109" s="435"/>
      <c r="ES109" s="435"/>
      <c r="ET109" s="435"/>
      <c r="EU109" s="435"/>
      <c r="EV109" s="435"/>
      <c r="EW109" s="435"/>
      <c r="EX109" s="435"/>
      <c r="EY109" s="435"/>
      <c r="EZ109" s="435"/>
      <c r="FA109" s="435"/>
      <c r="FB109" s="435"/>
      <c r="FC109" s="435"/>
      <c r="FD109" s="435"/>
      <c r="FE109" s="435"/>
      <c r="FF109" s="435"/>
      <c r="FG109" s="435"/>
      <c r="FH109" s="435"/>
      <c r="FI109" s="435"/>
      <c r="FJ109" s="435"/>
      <c r="FK109" s="435"/>
      <c r="FL109" s="435"/>
      <c r="FM109" s="435"/>
      <c r="FN109" s="435"/>
      <c r="FO109" s="435"/>
      <c r="FP109" s="435"/>
      <c r="FQ109" s="435"/>
      <c r="FR109" s="435"/>
      <c r="FS109" s="435"/>
      <c r="FT109" s="435"/>
      <c r="FU109" s="435"/>
      <c r="FV109" s="436"/>
      <c r="FW109" s="437"/>
      <c r="FX109" s="438"/>
    </row>
    <row r="110" s="209" customFormat="1" ht="24.75" customHeight="1" spans="2:180">
      <c r="B110" s="315"/>
      <c r="E110"/>
      <c r="F110" s="212">
        <v>1</v>
      </c>
      <c r="G110" s="277"/>
      <c r="H110" s="320"/>
      <c r="I110" s="382"/>
      <c r="J110" s="383"/>
      <c r="K110" s="383"/>
      <c r="L110" s="383"/>
      <c r="M110" s="383"/>
      <c r="N110" s="383"/>
      <c r="O110" s="384"/>
      <c r="P110" s="384"/>
      <c r="Q110" s="384"/>
      <c r="R110" s="384"/>
      <c r="S110" s="384"/>
      <c r="T110" s="384"/>
      <c r="U110" s="384"/>
      <c r="V110" s="384"/>
      <c r="W110" s="384"/>
      <c r="X110" s="384"/>
      <c r="Y110" s="384"/>
      <c r="Z110" s="384"/>
      <c r="AA110" s="384"/>
      <c r="AB110" s="384"/>
      <c r="AC110" s="383"/>
      <c r="AD110" s="383"/>
      <c r="AE110" s="383"/>
      <c r="AF110" s="383"/>
      <c r="AG110" s="383"/>
      <c r="AH110" s="383"/>
      <c r="AI110" s="383"/>
      <c r="AJ110" s="383"/>
      <c r="AK110" s="383"/>
      <c r="AL110" s="383"/>
      <c r="AM110" s="383"/>
      <c r="AN110" s="383"/>
      <c r="AO110" s="383"/>
      <c r="AP110" s="383"/>
      <c r="AQ110" s="383"/>
      <c r="AR110" s="383"/>
      <c r="AS110" s="383"/>
      <c r="AT110" s="383"/>
      <c r="AU110" s="383"/>
      <c r="AV110" s="383"/>
      <c r="AW110" s="383"/>
      <c r="AX110" s="383"/>
      <c r="AY110" s="383"/>
      <c r="AZ110" s="383"/>
      <c r="BA110" s="383"/>
      <c r="BB110" s="383"/>
      <c r="BC110" s="383"/>
      <c r="BD110" s="383"/>
      <c r="BE110" s="383"/>
      <c r="BF110" s="383"/>
      <c r="BG110" s="383"/>
      <c r="BH110" s="383"/>
      <c r="BI110" s="383"/>
      <c r="BJ110" s="383"/>
      <c r="BK110" s="383"/>
      <c r="BL110" s="383"/>
      <c r="BM110" s="383"/>
      <c r="BN110" s="383"/>
      <c r="BO110" s="383"/>
      <c r="BP110" s="383"/>
      <c r="BQ110" s="383"/>
      <c r="BR110" s="383"/>
      <c r="BS110" s="383"/>
      <c r="BT110" s="384"/>
      <c r="BU110" s="384"/>
      <c r="BV110" s="384"/>
      <c r="BW110" s="384"/>
      <c r="BX110" s="384"/>
      <c r="BY110" s="384"/>
      <c r="BZ110" s="384"/>
      <c r="CA110" s="384"/>
      <c r="CB110" s="384"/>
      <c r="CC110" s="384"/>
      <c r="CD110" s="384"/>
      <c r="CE110" s="384"/>
      <c r="CF110" s="384"/>
      <c r="CG110" s="384"/>
      <c r="CH110" s="384"/>
      <c r="CI110" s="384"/>
      <c r="CJ110" s="384"/>
      <c r="CK110" s="384"/>
      <c r="CL110" s="383"/>
      <c r="CM110" s="383"/>
      <c r="CN110" s="383"/>
      <c r="CO110" s="383"/>
      <c r="CP110" s="383"/>
      <c r="CQ110" s="383"/>
      <c r="CR110" s="383"/>
      <c r="CS110" s="383"/>
      <c r="CT110" s="383"/>
      <c r="CU110" s="383"/>
      <c r="CV110" s="383"/>
      <c r="CW110" s="383"/>
      <c r="CX110" s="383"/>
      <c r="CY110" s="384"/>
      <c r="CZ110" s="384"/>
      <c r="DA110" s="384"/>
      <c r="DB110" s="384"/>
      <c r="DC110" s="384"/>
      <c r="DD110" s="384"/>
      <c r="DE110" s="384"/>
      <c r="DF110" s="384"/>
      <c r="DG110" s="384"/>
      <c r="DH110" s="384"/>
      <c r="DI110" s="384"/>
      <c r="DJ110" s="384"/>
      <c r="DK110" s="383"/>
      <c r="DL110" s="383"/>
      <c r="DM110" s="383"/>
      <c r="DN110" s="383"/>
      <c r="DO110" s="383"/>
      <c r="DP110" s="383"/>
      <c r="DQ110" s="383"/>
      <c r="DR110" s="383"/>
      <c r="DS110" s="383"/>
      <c r="DT110" s="383"/>
      <c r="DU110" s="383"/>
      <c r="DV110" s="383"/>
      <c r="DW110" s="383"/>
      <c r="DX110" s="383"/>
      <c r="DY110" s="383"/>
      <c r="DZ110" s="383"/>
      <c r="EA110" s="383"/>
      <c r="EB110" s="383"/>
      <c r="EC110" s="383"/>
      <c r="ED110" s="383"/>
      <c r="EE110" s="383"/>
      <c r="EF110" s="383"/>
      <c r="EG110" s="383"/>
      <c r="EH110" s="383"/>
      <c r="EI110" s="383"/>
      <c r="EJ110" s="383"/>
      <c r="EK110" s="383"/>
      <c r="EL110" s="383"/>
      <c r="EM110" s="383"/>
      <c r="EN110" s="383"/>
      <c r="EO110" s="383"/>
      <c r="EP110" s="383"/>
      <c r="EQ110" s="383"/>
      <c r="ER110" s="383"/>
      <c r="ES110" s="383"/>
      <c r="ET110" s="383"/>
      <c r="EU110" s="383"/>
      <c r="EV110" s="383"/>
      <c r="EW110" s="383"/>
      <c r="EX110" s="383"/>
      <c r="EY110" s="383"/>
      <c r="EZ110" s="383"/>
      <c r="FA110" s="383"/>
      <c r="FB110" s="383"/>
      <c r="FC110" s="383"/>
      <c r="FD110" s="383"/>
      <c r="FE110" s="383"/>
      <c r="FF110" s="383"/>
      <c r="FG110" s="383"/>
      <c r="FH110" s="383"/>
      <c r="FI110" s="383"/>
      <c r="FJ110" s="383"/>
      <c r="FK110" s="383"/>
      <c r="FL110" s="383"/>
      <c r="FM110" s="383"/>
      <c r="FN110" s="383"/>
      <c r="FO110" s="383"/>
      <c r="FP110" s="383"/>
      <c r="FQ110" s="383"/>
      <c r="FR110" s="383"/>
      <c r="FS110" s="383"/>
      <c r="FT110" s="383"/>
      <c r="FU110" s="383"/>
      <c r="FV110" s="383"/>
      <c r="FW110" s="383"/>
      <c r="FX110" s="438"/>
    </row>
    <row r="111" s="209" customFormat="1" ht="12" customHeight="1" spans="2:184">
      <c r="B111" s="315"/>
      <c r="F111" s="321"/>
      <c r="G111" s="322" t="s">
        <v>1319</v>
      </c>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22"/>
      <c r="BQ111" s="322"/>
      <c r="BR111" s="322"/>
      <c r="BS111" s="322"/>
      <c r="BT111" s="322"/>
      <c r="BU111" s="322"/>
      <c r="BV111" s="322"/>
      <c r="BW111" s="322"/>
      <c r="BX111" s="322"/>
      <c r="BY111" s="322"/>
      <c r="BZ111" s="322"/>
      <c r="CA111" s="322"/>
      <c r="CB111" s="322"/>
      <c r="CC111" s="322"/>
      <c r="CD111" s="322"/>
      <c r="CE111" s="322"/>
      <c r="CF111" s="322"/>
      <c r="CG111" s="322"/>
      <c r="CH111" s="322"/>
      <c r="CI111" s="322"/>
      <c r="CJ111" s="322"/>
      <c r="CK111" s="322"/>
      <c r="CL111" s="322"/>
      <c r="CM111" s="322"/>
      <c r="CN111" s="322"/>
      <c r="CO111" s="322"/>
      <c r="CP111" s="322"/>
      <c r="CQ111" s="322"/>
      <c r="CR111" s="322"/>
      <c r="CS111" s="322"/>
      <c r="CT111" s="322"/>
      <c r="CU111" s="322"/>
      <c r="CV111" s="322"/>
      <c r="CW111" s="322"/>
      <c r="CX111" s="322"/>
      <c r="CY111" s="322"/>
      <c r="CZ111" s="322"/>
      <c r="DA111" s="322"/>
      <c r="DB111" s="322"/>
      <c r="DC111" s="322"/>
      <c r="DD111" s="322"/>
      <c r="DE111" s="322"/>
      <c r="DF111" s="322"/>
      <c r="DG111" s="322"/>
      <c r="DH111" s="322"/>
      <c r="DI111" s="322"/>
      <c r="DJ111" s="322"/>
      <c r="DK111" s="322"/>
      <c r="DL111" s="322"/>
      <c r="DM111" s="322"/>
      <c r="DN111" s="322"/>
      <c r="DO111" s="322"/>
      <c r="DP111" s="322"/>
      <c r="DQ111" s="322"/>
      <c r="DR111" s="322"/>
      <c r="DS111" s="322"/>
      <c r="DT111" s="322"/>
      <c r="DU111" s="322"/>
      <c r="DV111" s="322"/>
      <c r="DW111" s="322"/>
      <c r="DX111" s="322"/>
      <c r="DY111" s="322"/>
      <c r="DZ111" s="322"/>
      <c r="EA111" s="322"/>
      <c r="EB111" s="322"/>
      <c r="EC111" s="322"/>
      <c r="ED111" s="322"/>
      <c r="EE111" s="322"/>
      <c r="EF111" s="322"/>
      <c r="EG111" s="322"/>
      <c r="EH111" s="322"/>
      <c r="EI111" s="322"/>
      <c r="EJ111" s="322"/>
      <c r="EK111" s="322"/>
      <c r="EL111" s="322"/>
      <c r="EM111" s="322"/>
      <c r="EN111" s="322"/>
      <c r="EO111" s="322"/>
      <c r="EP111" s="322"/>
      <c r="EQ111" s="322"/>
      <c r="ER111" s="322"/>
      <c r="ES111" s="322"/>
      <c r="ET111" s="322"/>
      <c r="EU111" s="322"/>
      <c r="EV111" s="322"/>
      <c r="EW111" s="322"/>
      <c r="EX111" s="322"/>
      <c r="EY111" s="322"/>
      <c r="EZ111" s="322"/>
      <c r="FA111" s="322"/>
      <c r="FB111" s="322"/>
      <c r="FC111" s="322"/>
      <c r="FD111" s="322"/>
      <c r="FE111" s="322"/>
      <c r="FF111" s="322"/>
      <c r="FG111" s="322"/>
      <c r="FH111" s="322"/>
      <c r="FI111" s="322"/>
      <c r="FJ111" s="322"/>
      <c r="FK111" s="322"/>
      <c r="FL111" s="322"/>
      <c r="FM111" s="322"/>
      <c r="FN111" s="322"/>
      <c r="FO111" s="322"/>
      <c r="FP111" s="322"/>
      <c r="FQ111" s="322"/>
      <c r="FR111" s="322"/>
      <c r="FS111" s="322"/>
      <c r="FT111" s="322"/>
      <c r="FU111" s="322"/>
      <c r="FV111" s="322"/>
      <c r="FW111" s="439"/>
      <c r="FX111" s="81"/>
      <c r="FY111" s="440"/>
      <c r="FZ111" s="440"/>
      <c r="GA111" s="440"/>
      <c r="GB111" s="440"/>
    </row>
    <row r="113" s="204" customFormat="1" ht="11.25" customHeight="1" spans="1:1">
      <c r="A113" s="204" t="s">
        <v>2099</v>
      </c>
    </row>
    <row r="115" customFormat="1" ht="15" customHeight="1" spans="1:83">
      <c r="A115" s="4"/>
      <c r="D115" s="323" t="s">
        <v>107</v>
      </c>
      <c r="E115" s="324" t="s">
        <v>103</v>
      </c>
      <c r="F115" s="325"/>
      <c r="G115" s="326"/>
      <c r="H115" s="327" t="str">
        <f>IF(A115="","",INDEX(DIFFERENTIATION_UNMERGE_VD,MATCH(A115,DIFFERENTIATION_ID_DIFF,0)))</f>
        <v/>
      </c>
      <c r="I115" s="327"/>
      <c r="J115" s="327"/>
      <c r="K115" s="327"/>
      <c r="L115" s="327"/>
      <c r="M115" s="327"/>
      <c r="N115" s="327"/>
      <c r="O115" s="327"/>
      <c r="P115" s="327"/>
      <c r="Q115" s="327"/>
      <c r="R115" s="327"/>
      <c r="S115" s="389"/>
      <c r="T115" s="390"/>
      <c r="U115" s="152"/>
      <c r="V115" s="152"/>
      <c r="W115" s="264"/>
      <c r="X115" s="264"/>
      <c r="Y115" s="264"/>
      <c r="Z115" s="264"/>
      <c r="AA115" s="152"/>
      <c r="AB115" s="264"/>
      <c r="AC115" s="427"/>
      <c r="AD115" s="264"/>
      <c r="AE115" s="428" t="s">
        <v>22</v>
      </c>
      <c r="AF115" s="428"/>
      <c r="AG115" s="433" t="s">
        <v>603</v>
      </c>
      <c r="AH115" s="434">
        <v>3</v>
      </c>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264"/>
      <c r="BW115" s="264"/>
      <c r="BX115" s="264"/>
      <c r="BY115" s="264"/>
      <c r="BZ115" s="264"/>
      <c r="CA115" s="264"/>
      <c r="CB115" s="264"/>
      <c r="CC115" s="264"/>
      <c r="CD115" s="264"/>
      <c r="CE115" s="264"/>
    </row>
    <row r="116" customFormat="1" ht="15" customHeight="1" spans="1:83">
      <c r="A116" s="4"/>
      <c r="D116" s="328"/>
      <c r="E116" s="324" t="s">
        <v>558</v>
      </c>
      <c r="F116" s="325"/>
      <c r="G116" s="326"/>
      <c r="H116" s="327" t="str">
        <f>IF(A115="","",INDEX(DIFFERENTIATION_UNMERGE_AREA,MATCH(A115,DIFFERENTIATION_ID_DIFF,0)))</f>
        <v/>
      </c>
      <c r="I116" s="327"/>
      <c r="J116" s="327"/>
      <c r="K116" s="327"/>
      <c r="L116" s="327"/>
      <c r="M116" s="327"/>
      <c r="N116" s="327"/>
      <c r="O116" s="327"/>
      <c r="P116" s="327"/>
      <c r="Q116" s="327"/>
      <c r="R116" s="327"/>
      <c r="S116" s="389"/>
      <c r="T116" s="390"/>
      <c r="U116" s="152"/>
      <c r="V116" s="152"/>
      <c r="W116" s="264"/>
      <c r="X116" s="264"/>
      <c r="Y116" s="264"/>
      <c r="Z116" s="264"/>
      <c r="AA116" s="152"/>
      <c r="AB116" s="264"/>
      <c r="AC116" s="427"/>
      <c r="AD116" s="264"/>
      <c r="AE116" s="428"/>
      <c r="AF116" s="428"/>
      <c r="AG116" s="433"/>
      <c r="AH116" s="434"/>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c r="BP116" s="152"/>
      <c r="BQ116" s="152"/>
      <c r="BR116" s="152"/>
      <c r="BS116" s="152"/>
      <c r="BT116" s="152"/>
      <c r="BU116" s="152"/>
      <c r="BV116" s="264"/>
      <c r="BW116" s="264"/>
      <c r="BX116" s="264"/>
      <c r="BY116" s="264"/>
      <c r="BZ116" s="264"/>
      <c r="CA116" s="264"/>
      <c r="CB116" s="264"/>
      <c r="CC116" s="264"/>
      <c r="CD116" s="264"/>
      <c r="CE116" s="264"/>
    </row>
    <row r="117" customFormat="1" ht="15" customHeight="1" spans="1:83">
      <c r="A117" s="4"/>
      <c r="D117" s="328"/>
      <c r="E117" s="324" t="s">
        <v>559</v>
      </c>
      <c r="F117" s="325"/>
      <c r="G117" s="326"/>
      <c r="H117" s="327" t="str">
        <f>IF(A115="","",INDEX(DIFFERENTIATION_UNMERGE_SYSTEM,MATCH(A115,DIFFERENTIATION_ID_DIFF,0)))</f>
        <v/>
      </c>
      <c r="I117" s="327"/>
      <c r="J117" s="327"/>
      <c r="K117" s="327"/>
      <c r="L117" s="327"/>
      <c r="M117" s="327"/>
      <c r="N117" s="327"/>
      <c r="O117" s="327"/>
      <c r="P117" s="327"/>
      <c r="Q117" s="327"/>
      <c r="R117" s="327"/>
      <c r="S117" s="389"/>
      <c r="T117" s="390"/>
      <c r="U117" s="152"/>
      <c r="V117" s="152"/>
      <c r="W117" s="264"/>
      <c r="X117" s="264"/>
      <c r="Y117" s="264"/>
      <c r="Z117" s="264"/>
      <c r="AA117" s="152"/>
      <c r="AB117" s="264"/>
      <c r="AC117" s="427"/>
      <c r="AD117" s="264"/>
      <c r="AE117" s="428"/>
      <c r="AF117" s="428"/>
      <c r="AG117" s="433"/>
      <c r="AH117" s="434"/>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264"/>
      <c r="BW117" s="264"/>
      <c r="BX117" s="264"/>
      <c r="BY117" s="264"/>
      <c r="BZ117" s="264"/>
      <c r="CA117" s="264"/>
      <c r="CB117" s="264"/>
      <c r="CC117" s="264"/>
      <c r="CD117" s="264"/>
      <c r="CE117" s="264"/>
    </row>
    <row r="118" customFormat="1" ht="24.75" customHeight="1" spans="1:83">
      <c r="A118" s="48"/>
      <c r="B118" s="38"/>
      <c r="C118" s="224"/>
      <c r="D118" s="328"/>
      <c r="E118" s="329" t="s">
        <v>604</v>
      </c>
      <c r="F118" s="329"/>
      <c r="G118" s="329"/>
      <c r="H118" s="329"/>
      <c r="I118" s="329"/>
      <c r="J118" s="329"/>
      <c r="K118" s="329"/>
      <c r="L118" s="329"/>
      <c r="M118" s="329"/>
      <c r="N118" s="329"/>
      <c r="O118" s="329"/>
      <c r="P118" s="329"/>
      <c r="Q118" s="391">
        <f>SUMIF(T119:T120,"i",Q119:Q120)</f>
        <v>0</v>
      </c>
      <c r="R118" s="392"/>
      <c r="S118" s="393" t="s">
        <v>605</v>
      </c>
      <c r="T118" s="390" t="s">
        <v>606</v>
      </c>
      <c r="U118" s="93">
        <v>1</v>
      </c>
      <c r="V118" s="93" t="e">
        <f>INDEX(B_FHD_FLAG_INDEX_1,1,MATCH(A115,B_FHD_FLAG_DIFFERENTIATION,0))</f>
        <v>#N/A</v>
      </c>
      <c r="W118" s="38"/>
      <c r="X118" s="38"/>
      <c r="Y118" s="38"/>
      <c r="Z118" s="38"/>
      <c r="AA118" s="44"/>
      <c r="AB118" s="38"/>
      <c r="AC118" s="427"/>
      <c r="AD118" s="264"/>
      <c r="AE118" s="38"/>
      <c r="AF118" s="38"/>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38"/>
      <c r="BW118" s="38"/>
      <c r="BX118" s="38"/>
      <c r="BY118" s="38"/>
      <c r="BZ118" s="38"/>
      <c r="CA118" s="38"/>
      <c r="CB118" s="38"/>
      <c r="CC118" s="38"/>
      <c r="CD118" s="38"/>
      <c r="CE118" s="38"/>
    </row>
    <row r="119" customFormat="1" ht="11.25" hidden="1" customHeight="1" spans="1:83">
      <c r="A119" s="93"/>
      <c r="B119" s="44"/>
      <c r="C119" s="44"/>
      <c r="D119" s="328"/>
      <c r="E119" s="330"/>
      <c r="F119" s="330">
        <v>0</v>
      </c>
      <c r="G119" s="330"/>
      <c r="H119" s="330"/>
      <c r="I119" s="330"/>
      <c r="J119" s="330"/>
      <c r="K119" s="330"/>
      <c r="L119" s="330"/>
      <c r="M119" s="330"/>
      <c r="N119" s="330"/>
      <c r="O119" s="330"/>
      <c r="P119" s="330"/>
      <c r="Q119" s="330"/>
      <c r="R119" s="330"/>
      <c r="S119" s="394"/>
      <c r="T119" s="395"/>
      <c r="U119" s="93"/>
      <c r="V119" s="93"/>
      <c r="W119" s="44"/>
      <c r="X119" s="44"/>
      <c r="Y119" s="44"/>
      <c r="Z119" s="44"/>
      <c r="AA119" s="44"/>
      <c r="AB119" s="38"/>
      <c r="AC119" s="427"/>
      <c r="AD119" s="264"/>
      <c r="AE119" s="38"/>
      <c r="AF119" s="38"/>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row>
    <row r="120" customFormat="1" ht="11.25" customHeight="1" spans="1:83">
      <c r="A120" s="48"/>
      <c r="B120" s="38"/>
      <c r="C120" s="224"/>
      <c r="D120" s="328"/>
      <c r="E120" s="331" t="s">
        <v>22</v>
      </c>
      <c r="F120" s="227" t="s">
        <v>22</v>
      </c>
      <c r="G120" s="227" t="s">
        <v>2100</v>
      </c>
      <c r="H120" s="332" t="s">
        <v>22</v>
      </c>
      <c r="I120" s="332"/>
      <c r="J120" s="332"/>
      <c r="K120" s="332"/>
      <c r="L120" s="332"/>
      <c r="M120" s="332"/>
      <c r="N120" s="332"/>
      <c r="O120" s="332"/>
      <c r="P120" s="332"/>
      <c r="Q120" s="332"/>
      <c r="R120" s="275"/>
      <c r="S120" s="396"/>
      <c r="T120" s="395"/>
      <c r="U120" s="93"/>
      <c r="V120" s="93"/>
      <c r="W120" s="38"/>
      <c r="X120" s="38"/>
      <c r="Y120" s="38"/>
      <c r="Z120" s="38"/>
      <c r="AA120" s="44"/>
      <c r="AB120" s="38"/>
      <c r="AC120" s="427"/>
      <c r="AD120" s="264"/>
      <c r="AE120" s="38"/>
      <c r="AF120" s="38"/>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38"/>
      <c r="BW120" s="38"/>
      <c r="BX120" s="38"/>
      <c r="BY120" s="38"/>
      <c r="BZ120" s="38"/>
      <c r="CA120" s="38"/>
      <c r="CB120" s="38"/>
      <c r="CC120" s="38"/>
      <c r="CD120" s="38"/>
      <c r="CE120" s="38"/>
    </row>
    <row r="121" customFormat="1" ht="24.75" customHeight="1" spans="1:83">
      <c r="A121" s="48"/>
      <c r="B121" s="38"/>
      <c r="C121" s="224"/>
      <c r="D121" s="328"/>
      <c r="E121" s="329" t="s">
        <v>607</v>
      </c>
      <c r="F121" s="329"/>
      <c r="G121" s="329"/>
      <c r="H121" s="329"/>
      <c r="I121" s="329"/>
      <c r="J121" s="329"/>
      <c r="K121" s="329"/>
      <c r="L121" s="329"/>
      <c r="M121" s="329"/>
      <c r="N121" s="329"/>
      <c r="O121" s="329"/>
      <c r="P121" s="329"/>
      <c r="Q121" s="391">
        <f>SUMIF(T122:T123,"i",Q122:Q123)</f>
        <v>0</v>
      </c>
      <c r="R121" s="392"/>
      <c r="S121" s="393" t="s">
        <v>608</v>
      </c>
      <c r="T121" s="390" t="s">
        <v>606</v>
      </c>
      <c r="U121" s="93">
        <v>1</v>
      </c>
      <c r="V121" s="93" t="e">
        <f>INDEX(B_FHD_FLAG_INDEX_2,1,MATCH(A115,B_FHD_FLAG_DIFFERENTIATION,0))</f>
        <v>#N/A</v>
      </c>
      <c r="W121" s="38"/>
      <c r="X121" s="38"/>
      <c r="Y121" s="38"/>
      <c r="Z121" s="38"/>
      <c r="AA121" s="44"/>
      <c r="AB121" s="38"/>
      <c r="AC121" s="427"/>
      <c r="AD121" s="264"/>
      <c r="AE121" s="38"/>
      <c r="AF121" s="38"/>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38"/>
      <c r="BW121" s="38"/>
      <c r="BX121" s="38"/>
      <c r="BY121" s="38"/>
      <c r="BZ121" s="38"/>
      <c r="CA121" s="38"/>
      <c r="CB121" s="38"/>
      <c r="CC121" s="38"/>
      <c r="CD121" s="38"/>
      <c r="CE121" s="38"/>
    </row>
    <row r="122" customFormat="1" ht="11.25" hidden="1" customHeight="1" spans="1:83">
      <c r="A122" s="93"/>
      <c r="B122" s="44"/>
      <c r="C122" s="44"/>
      <c r="D122" s="328"/>
      <c r="E122" s="330"/>
      <c r="F122" s="330">
        <v>0</v>
      </c>
      <c r="G122" s="330"/>
      <c r="H122" s="330"/>
      <c r="I122" s="330"/>
      <c r="J122" s="330"/>
      <c r="K122" s="330"/>
      <c r="L122" s="330"/>
      <c r="M122" s="330"/>
      <c r="N122" s="330"/>
      <c r="O122" s="330"/>
      <c r="P122" s="330"/>
      <c r="Q122" s="330"/>
      <c r="R122" s="330"/>
      <c r="S122" s="394"/>
      <c r="T122" s="395"/>
      <c r="U122" s="93"/>
      <c r="V122" s="93"/>
      <c r="W122" s="44"/>
      <c r="X122" s="44"/>
      <c r="Y122" s="44"/>
      <c r="Z122" s="44"/>
      <c r="AA122" s="44"/>
      <c r="AB122" s="38"/>
      <c r="AC122" s="427"/>
      <c r="AD122" s="264"/>
      <c r="AE122" s="38"/>
      <c r="AF122" s="38"/>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row>
    <row r="123" customFormat="1" ht="11.25" customHeight="1" spans="1:83">
      <c r="A123" s="48"/>
      <c r="B123" s="38"/>
      <c r="C123" s="224"/>
      <c r="D123" s="333"/>
      <c r="E123" s="331" t="s">
        <v>22</v>
      </c>
      <c r="F123" s="227" t="s">
        <v>22</v>
      </c>
      <c r="G123" s="227" t="s">
        <v>2100</v>
      </c>
      <c r="H123" s="332" t="s">
        <v>22</v>
      </c>
      <c r="I123" s="332"/>
      <c r="J123" s="332"/>
      <c r="K123" s="332"/>
      <c r="L123" s="332"/>
      <c r="M123" s="332"/>
      <c r="N123" s="332"/>
      <c r="O123" s="332"/>
      <c r="P123" s="332"/>
      <c r="Q123" s="332"/>
      <c r="R123" s="275"/>
      <c r="S123" s="396"/>
      <c r="T123" s="395"/>
      <c r="U123" s="93"/>
      <c r="V123" s="93"/>
      <c r="W123" s="38"/>
      <c r="X123" s="38"/>
      <c r="Y123" s="38"/>
      <c r="Z123" s="38"/>
      <c r="AA123" s="44"/>
      <c r="AB123" s="38"/>
      <c r="AC123" s="427"/>
      <c r="AD123" s="264"/>
      <c r="AE123" s="38"/>
      <c r="AF123" s="38"/>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38"/>
      <c r="BW123" s="38"/>
      <c r="BX123" s="38"/>
      <c r="BY123" s="38"/>
      <c r="BZ123" s="38"/>
      <c r="CA123" s="38"/>
      <c r="CB123" s="38"/>
      <c r="CC123" s="38"/>
      <c r="CD123" s="38"/>
      <c r="CE123" s="38"/>
    </row>
    <row r="125" s="204" customFormat="1" ht="11.25" customHeight="1" spans="1:1">
      <c r="A125" s="204" t="s">
        <v>2101</v>
      </c>
    </row>
    <row r="127" customFormat="1" ht="15" customHeight="1" spans="1:83">
      <c r="A127" s="4"/>
      <c r="D127" s="323" t="s">
        <v>107</v>
      </c>
      <c r="E127" s="324" t="s">
        <v>103</v>
      </c>
      <c r="F127" s="325"/>
      <c r="G127" s="326"/>
      <c r="H127" s="327" t="str">
        <f>IF(A127="","",INDEX(DIFFERENTIATION_UNMERGE_VD,MATCH(A127,DIFFERENTIATION_ID_DIFF,0)))</f>
        <v/>
      </c>
      <c r="I127" s="327"/>
      <c r="J127" s="327"/>
      <c r="K127" s="327"/>
      <c r="L127" s="327"/>
      <c r="M127" s="327"/>
      <c r="N127" s="327"/>
      <c r="O127" s="327"/>
      <c r="P127" s="327"/>
      <c r="Q127" s="327"/>
      <c r="R127" s="327"/>
      <c r="S127" s="389"/>
      <c r="T127" s="390"/>
      <c r="U127" s="152"/>
      <c r="V127" s="152"/>
      <c r="W127" s="264"/>
      <c r="X127" s="264"/>
      <c r="Y127" s="264"/>
      <c r="Z127" s="264"/>
      <c r="AA127" s="152"/>
      <c r="AB127" s="264"/>
      <c r="AC127" s="427"/>
      <c r="AD127" s="264"/>
      <c r="AE127" s="428" t="s">
        <v>22</v>
      </c>
      <c r="AF127" s="428"/>
      <c r="AG127" s="433" t="s">
        <v>603</v>
      </c>
      <c r="AH127" s="434">
        <v>3</v>
      </c>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c r="BP127" s="152"/>
      <c r="BQ127" s="152"/>
      <c r="BR127" s="152"/>
      <c r="BS127" s="152"/>
      <c r="BT127" s="152"/>
      <c r="BU127" s="152"/>
      <c r="BV127" s="264"/>
      <c r="BW127" s="264"/>
      <c r="BX127" s="264"/>
      <c r="BY127" s="264"/>
      <c r="BZ127" s="264"/>
      <c r="CA127" s="264"/>
      <c r="CB127" s="264"/>
      <c r="CC127" s="264"/>
      <c r="CD127" s="264"/>
      <c r="CE127" s="264"/>
    </row>
    <row r="128" customFormat="1" ht="15" customHeight="1" spans="1:83">
      <c r="A128" s="4"/>
      <c r="D128" s="328"/>
      <c r="E128" s="324" t="s">
        <v>558</v>
      </c>
      <c r="F128" s="325"/>
      <c r="G128" s="326"/>
      <c r="H128" s="327" t="str">
        <f>IF(A127="","",INDEX(DIFFERENTIATION_UNMERGE_AREA,MATCH(A127,DIFFERENTIATION_ID_DIFF,0)))</f>
        <v/>
      </c>
      <c r="I128" s="327"/>
      <c r="J128" s="327"/>
      <c r="K128" s="327"/>
      <c r="L128" s="327"/>
      <c r="M128" s="327"/>
      <c r="N128" s="327"/>
      <c r="O128" s="327"/>
      <c r="P128" s="327"/>
      <c r="Q128" s="327"/>
      <c r="R128" s="327"/>
      <c r="S128" s="389"/>
      <c r="T128" s="390"/>
      <c r="U128" s="152"/>
      <c r="V128" s="152"/>
      <c r="W128" s="264"/>
      <c r="X128" s="264"/>
      <c r="Y128" s="264"/>
      <c r="Z128" s="264"/>
      <c r="AA128" s="152"/>
      <c r="AB128" s="264"/>
      <c r="AC128" s="427"/>
      <c r="AD128" s="264"/>
      <c r="AE128" s="428"/>
      <c r="AF128" s="428"/>
      <c r="AG128" s="433"/>
      <c r="AH128" s="434"/>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52"/>
      <c r="BV128" s="264"/>
      <c r="BW128" s="264"/>
      <c r="BX128" s="264"/>
      <c r="BY128" s="264"/>
      <c r="BZ128" s="264"/>
      <c r="CA128" s="264"/>
      <c r="CB128" s="264"/>
      <c r="CC128" s="264"/>
      <c r="CD128" s="264"/>
      <c r="CE128" s="264"/>
    </row>
    <row r="129" customFormat="1" ht="15" customHeight="1" spans="1:83">
      <c r="A129" s="4"/>
      <c r="D129" s="328"/>
      <c r="E129" s="324" t="s">
        <v>559</v>
      </c>
      <c r="F129" s="325"/>
      <c r="G129" s="326"/>
      <c r="H129" s="327" t="str">
        <f>IF(A127="","",INDEX(DIFFERENTIATION_UNMERGE_SYSTEM,MATCH(A127,DIFFERENTIATION_ID_DIFF,0)))</f>
        <v/>
      </c>
      <c r="I129" s="327"/>
      <c r="J129" s="327"/>
      <c r="K129" s="327"/>
      <c r="L129" s="327"/>
      <c r="M129" s="327"/>
      <c r="N129" s="327"/>
      <c r="O129" s="327"/>
      <c r="P129" s="327"/>
      <c r="Q129" s="327"/>
      <c r="R129" s="327"/>
      <c r="S129" s="389"/>
      <c r="T129" s="390"/>
      <c r="U129" s="152"/>
      <c r="V129" s="152"/>
      <c r="W129" s="264"/>
      <c r="X129" s="264"/>
      <c r="Y129" s="264"/>
      <c r="Z129" s="264"/>
      <c r="AA129" s="152"/>
      <c r="AB129" s="264"/>
      <c r="AC129" s="427"/>
      <c r="AD129" s="264"/>
      <c r="AE129" s="428"/>
      <c r="AF129" s="428"/>
      <c r="AG129" s="433"/>
      <c r="AH129" s="434"/>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c r="BP129" s="152"/>
      <c r="BQ129" s="152"/>
      <c r="BR129" s="152"/>
      <c r="BS129" s="152"/>
      <c r="BT129" s="152"/>
      <c r="BU129" s="152"/>
      <c r="BV129" s="264"/>
      <c r="BW129" s="264"/>
      <c r="BX129" s="264"/>
      <c r="BY129" s="264"/>
      <c r="BZ129" s="264"/>
      <c r="CA129" s="264"/>
      <c r="CB129" s="264"/>
      <c r="CC129" s="264"/>
      <c r="CD129" s="264"/>
      <c r="CE129" s="264"/>
    </row>
    <row r="130" customFormat="1" ht="24.75" customHeight="1" spans="1:83">
      <c r="A130" s="48"/>
      <c r="B130" s="38"/>
      <c r="C130" s="224"/>
      <c r="D130" s="328"/>
      <c r="E130" s="329" t="s">
        <v>604</v>
      </c>
      <c r="F130" s="329"/>
      <c r="G130" s="329"/>
      <c r="H130" s="329"/>
      <c r="I130" s="329"/>
      <c r="J130" s="329"/>
      <c r="K130" s="329"/>
      <c r="L130" s="329"/>
      <c r="M130" s="329"/>
      <c r="N130" s="329"/>
      <c r="O130" s="329"/>
      <c r="P130" s="329"/>
      <c r="Q130" s="391">
        <f>SUMIF(T131:T132,"i",Q131:Q132)</f>
        <v>0</v>
      </c>
      <c r="R130" s="392"/>
      <c r="S130" s="393" t="s">
        <v>605</v>
      </c>
      <c r="T130" s="390" t="s">
        <v>606</v>
      </c>
      <c r="U130" s="93">
        <v>1</v>
      </c>
      <c r="V130" s="93" t="e">
        <f>INDEX(B_FHD_FLAG_INDEX_1,1,MATCH(A127,B_FHD_FLAG_DIFFERENTIATION,0))</f>
        <v>#N/A</v>
      </c>
      <c r="W130" s="38"/>
      <c r="X130" s="38"/>
      <c r="Y130" s="38"/>
      <c r="Z130" s="38"/>
      <c r="AA130" s="44"/>
      <c r="AB130" s="38"/>
      <c r="AC130" s="427"/>
      <c r="AD130" s="264"/>
      <c r="AE130" s="38"/>
      <c r="AF130" s="38"/>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38"/>
      <c r="BW130" s="38"/>
      <c r="BX130" s="38"/>
      <c r="BY130" s="38"/>
      <c r="BZ130" s="38"/>
      <c r="CA130" s="38"/>
      <c r="CB130" s="38"/>
      <c r="CC130" s="38"/>
      <c r="CD130" s="38"/>
      <c r="CE130" s="38"/>
    </row>
    <row r="131" customFormat="1" ht="11.25" hidden="1" customHeight="1" spans="1:83">
      <c r="A131" s="93"/>
      <c r="B131" s="44"/>
      <c r="C131" s="44"/>
      <c r="D131" s="328"/>
      <c r="E131" s="330"/>
      <c r="F131" s="330">
        <v>0</v>
      </c>
      <c r="G131" s="330"/>
      <c r="H131" s="330"/>
      <c r="I131" s="330"/>
      <c r="J131" s="330"/>
      <c r="K131" s="330"/>
      <c r="L131" s="330"/>
      <c r="M131" s="330"/>
      <c r="N131" s="330"/>
      <c r="O131" s="330"/>
      <c r="P131" s="330"/>
      <c r="Q131" s="330"/>
      <c r="R131" s="330"/>
      <c r="S131" s="394"/>
      <c r="T131" s="395"/>
      <c r="U131" s="93"/>
      <c r="V131" s="93"/>
      <c r="W131" s="44"/>
      <c r="X131" s="44"/>
      <c r="Y131" s="44"/>
      <c r="Z131" s="44"/>
      <c r="AA131" s="44"/>
      <c r="AB131" s="38"/>
      <c r="AC131" s="427"/>
      <c r="AD131" s="264"/>
      <c r="AE131" s="38"/>
      <c r="AF131" s="38"/>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row>
    <row r="132" customFormat="1" ht="11.25" customHeight="1" spans="1:83">
      <c r="A132" s="48"/>
      <c r="B132" s="38"/>
      <c r="C132" s="224"/>
      <c r="D132" s="328"/>
      <c r="E132" s="331" t="s">
        <v>22</v>
      </c>
      <c r="F132" s="227" t="s">
        <v>22</v>
      </c>
      <c r="G132" s="227" t="s">
        <v>2100</v>
      </c>
      <c r="H132" s="332" t="s">
        <v>22</v>
      </c>
      <c r="I132" s="332"/>
      <c r="J132" s="332"/>
      <c r="K132" s="332"/>
      <c r="L132" s="332"/>
      <c r="M132" s="332"/>
      <c r="N132" s="332"/>
      <c r="O132" s="332"/>
      <c r="P132" s="332"/>
      <c r="Q132" s="332"/>
      <c r="R132" s="275"/>
      <c r="S132" s="396"/>
      <c r="T132" s="395"/>
      <c r="U132" s="93"/>
      <c r="V132" s="93"/>
      <c r="W132" s="38"/>
      <c r="X132" s="38"/>
      <c r="Y132" s="38"/>
      <c r="Z132" s="38"/>
      <c r="AA132" s="44"/>
      <c r="AB132" s="38"/>
      <c r="AC132" s="427"/>
      <c r="AD132" s="264"/>
      <c r="AE132" s="38"/>
      <c r="AF132" s="38"/>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38"/>
      <c r="BW132" s="38"/>
      <c r="BX132" s="38"/>
      <c r="BY132" s="38"/>
      <c r="BZ132" s="38"/>
      <c r="CA132" s="38"/>
      <c r="CB132" s="38"/>
      <c r="CC132" s="38"/>
      <c r="CD132" s="38"/>
      <c r="CE132" s="38"/>
    </row>
    <row r="133" s="152" customFormat="1" ht="5.25" hidden="1" customHeight="1" spans="1:83">
      <c r="A133" s="93"/>
      <c r="B133" s="44"/>
      <c r="C133" s="44"/>
      <c r="D133" s="328"/>
      <c r="E133" s="441"/>
      <c r="F133" s="441"/>
      <c r="G133" s="441"/>
      <c r="H133" s="441"/>
      <c r="I133" s="441"/>
      <c r="J133" s="441"/>
      <c r="K133" s="441"/>
      <c r="L133" s="441"/>
      <c r="M133" s="441"/>
      <c r="N133" s="441"/>
      <c r="O133" s="441"/>
      <c r="P133" s="441"/>
      <c r="Q133" s="487"/>
      <c r="R133" s="488"/>
      <c r="S133" s="330"/>
      <c r="T133" s="390" t="s">
        <v>606</v>
      </c>
      <c r="U133" s="93">
        <v>1</v>
      </c>
      <c r="V133" s="93" t="s">
        <v>569</v>
      </c>
      <c r="W133" s="44"/>
      <c r="X133" s="44"/>
      <c r="Y133" s="44"/>
      <c r="Z133" s="44"/>
      <c r="AA133" s="44"/>
      <c r="AB133" s="44"/>
      <c r="AC133" s="501"/>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row>
    <row r="134" s="152" customFormat="1" ht="5.25" hidden="1" customHeight="1" spans="1:83">
      <c r="A134" s="93"/>
      <c r="B134" s="44"/>
      <c r="C134" s="44"/>
      <c r="D134" s="328"/>
      <c r="E134" s="330"/>
      <c r="F134" s="330"/>
      <c r="G134" s="330"/>
      <c r="H134" s="330"/>
      <c r="I134" s="330"/>
      <c r="J134" s="330"/>
      <c r="K134" s="330"/>
      <c r="L134" s="330"/>
      <c r="M134" s="330"/>
      <c r="N134" s="330"/>
      <c r="O134" s="330"/>
      <c r="P134" s="330"/>
      <c r="Q134" s="330"/>
      <c r="R134" s="330"/>
      <c r="S134" s="394"/>
      <c r="T134" s="395"/>
      <c r="U134" s="93"/>
      <c r="V134" s="93"/>
      <c r="W134" s="44"/>
      <c r="X134" s="44"/>
      <c r="Y134" s="44"/>
      <c r="Z134" s="44"/>
      <c r="AA134" s="44"/>
      <c r="AB134" s="44"/>
      <c r="AC134" s="501"/>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row>
    <row r="135" s="152" customFormat="1" ht="5.25" hidden="1" customHeight="1" spans="1:83">
      <c r="A135" s="93"/>
      <c r="B135" s="44"/>
      <c r="C135" s="44"/>
      <c r="D135" s="333"/>
      <c r="E135" s="442"/>
      <c r="F135" s="443"/>
      <c r="G135" s="443"/>
      <c r="H135" s="444"/>
      <c r="I135" s="444"/>
      <c r="J135" s="444"/>
      <c r="K135" s="444"/>
      <c r="L135" s="444"/>
      <c r="M135" s="444"/>
      <c r="N135" s="444"/>
      <c r="O135" s="444"/>
      <c r="P135" s="444"/>
      <c r="Q135" s="444"/>
      <c r="R135" s="489"/>
      <c r="S135" s="490"/>
      <c r="T135" s="395"/>
      <c r="U135" s="93"/>
      <c r="V135" s="93"/>
      <c r="W135" s="44"/>
      <c r="X135" s="44"/>
      <c r="Y135" s="44"/>
      <c r="Z135" s="44"/>
      <c r="AA135" s="44"/>
      <c r="AB135" s="44"/>
      <c r="AC135" s="501"/>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row>
    <row r="136" ht="17.25" customHeight="1" spans="4:4">
      <c r="D136" s="445"/>
    </row>
    <row r="137" s="204" customFormat="1" ht="11.25" customHeight="1" spans="1:1">
      <c r="A137" s="204" t="s">
        <v>2102</v>
      </c>
    </row>
    <row r="139" customFormat="1" ht="45" customHeight="1" spans="1:20">
      <c r="A139" s="48"/>
      <c r="B139" s="38"/>
      <c r="C139" s="224"/>
      <c r="E139" s="446"/>
      <c r="F139" s="232" t="s">
        <v>107</v>
      </c>
      <c r="G139" s="447" t="s">
        <v>22</v>
      </c>
      <c r="H139" s="83"/>
      <c r="I139" s="466" t="s">
        <v>107</v>
      </c>
      <c r="J139" s="467" t="s">
        <v>2103</v>
      </c>
      <c r="K139" s="468" t="s">
        <v>540</v>
      </c>
      <c r="L139" s="469" t="s">
        <v>540</v>
      </c>
      <c r="M139" s="131"/>
      <c r="N139" s="468" t="s">
        <v>540</v>
      </c>
      <c r="O139" s="468" t="s">
        <v>540</v>
      </c>
      <c r="P139" s="468" t="s">
        <v>540</v>
      </c>
      <c r="Q139" s="491">
        <f>SUM(Q140:Q142)</f>
        <v>0</v>
      </c>
      <c r="R139" s="491">
        <f>IF(R136=0,0,(Q136/R136)*100)</f>
        <v>0</v>
      </c>
      <c r="S139" s="393"/>
      <c r="T139" s="390" t="s">
        <v>606</v>
      </c>
    </row>
    <row r="140" customFormat="1" ht="11.25" customHeight="1" spans="1:20">
      <c r="A140" s="48"/>
      <c r="B140" s="38"/>
      <c r="C140" s="224"/>
      <c r="E140" s="304"/>
      <c r="F140" s="232"/>
      <c r="G140" s="447"/>
      <c r="H140" s="64"/>
      <c r="I140" s="278" t="s">
        <v>1224</v>
      </c>
      <c r="J140" s="470"/>
      <c r="K140" s="471"/>
      <c r="L140" s="472"/>
      <c r="M140" s="473" t="s">
        <v>107</v>
      </c>
      <c r="N140" s="253"/>
      <c r="O140" s="263"/>
      <c r="P140" s="143"/>
      <c r="Q140" s="263"/>
      <c r="R140" s="492">
        <v>0</v>
      </c>
      <c r="S140" s="393"/>
      <c r="T140" s="390"/>
    </row>
    <row r="141" customFormat="1" ht="11.25" customHeight="1" spans="1:20">
      <c r="A141" s="48"/>
      <c r="B141" s="38"/>
      <c r="C141" s="224"/>
      <c r="E141" s="304"/>
      <c r="F141" s="232"/>
      <c r="G141" s="447"/>
      <c r="H141" s="64"/>
      <c r="I141" s="278"/>
      <c r="J141" s="470"/>
      <c r="K141" s="253"/>
      <c r="L141" s="450"/>
      <c r="M141" s="474"/>
      <c r="N141" s="332" t="s">
        <v>2104</v>
      </c>
      <c r="O141" s="332"/>
      <c r="P141" s="332"/>
      <c r="Q141" s="332"/>
      <c r="R141" s="275"/>
      <c r="S141" s="393"/>
      <c r="T141" s="390"/>
    </row>
    <row r="142" customFormat="1" ht="11.25" customHeight="1" spans="1:20">
      <c r="A142" s="48"/>
      <c r="B142" s="38"/>
      <c r="C142" s="224"/>
      <c r="E142" s="448"/>
      <c r="F142" s="232"/>
      <c r="G142" s="449"/>
      <c r="H142" s="450" t="s">
        <v>22</v>
      </c>
      <c r="I142" s="474"/>
      <c r="J142" s="332" t="s">
        <v>2105</v>
      </c>
      <c r="K142" s="332"/>
      <c r="L142" s="332"/>
      <c r="M142" s="332"/>
      <c r="N142" s="332"/>
      <c r="O142" s="332"/>
      <c r="P142" s="332"/>
      <c r="Q142" s="332"/>
      <c r="R142" s="275"/>
      <c r="S142" s="393"/>
      <c r="T142" s="390"/>
    </row>
    <row r="147" customFormat="1" ht="11.25" customHeight="1" spans="1:20">
      <c r="A147" s="48"/>
      <c r="B147" s="38"/>
      <c r="C147" s="224"/>
      <c r="E147" s="314"/>
      <c r="F147" s="314"/>
      <c r="G147" s="314"/>
      <c r="H147" s="64"/>
      <c r="I147" s="278" t="s">
        <v>1224</v>
      </c>
      <c r="J147" s="470"/>
      <c r="K147" s="471"/>
      <c r="L147" s="472"/>
      <c r="M147" s="473" t="s">
        <v>107</v>
      </c>
      <c r="N147" s="253"/>
      <c r="O147" s="263"/>
      <c r="P147" s="143"/>
      <c r="Q147" s="263"/>
      <c r="R147" s="492">
        <v>0</v>
      </c>
      <c r="T147" s="390"/>
    </row>
    <row r="148" customFormat="1" ht="11.25" customHeight="1" spans="1:20">
      <c r="A148" s="48"/>
      <c r="B148" s="38"/>
      <c r="C148" s="224"/>
      <c r="E148" s="314"/>
      <c r="F148" s="314"/>
      <c r="G148" s="314"/>
      <c r="H148" s="64"/>
      <c r="I148" s="278"/>
      <c r="J148" s="470"/>
      <c r="K148" s="253"/>
      <c r="L148" s="450"/>
      <c r="M148" s="474"/>
      <c r="N148" s="332" t="s">
        <v>2104</v>
      </c>
      <c r="O148" s="332"/>
      <c r="P148" s="332"/>
      <c r="Q148" s="332"/>
      <c r="R148" s="275"/>
      <c r="T148" s="390"/>
    </row>
    <row r="150" customFormat="1" ht="11.25" customHeight="1" spans="1:20">
      <c r="A150" s="48"/>
      <c r="B150" s="38"/>
      <c r="C150" s="224"/>
      <c r="E150" s="451"/>
      <c r="H150" s="115"/>
      <c r="I150" s="314"/>
      <c r="J150" s="366"/>
      <c r="K150" s="366"/>
      <c r="L150" s="472"/>
      <c r="M150" s="473" t="s">
        <v>107</v>
      </c>
      <c r="N150" s="253"/>
      <c r="O150" s="263"/>
      <c r="P150" s="143"/>
      <c r="Q150" s="263"/>
      <c r="R150" s="492">
        <v>0</v>
      </c>
      <c r="T150" s="390"/>
    </row>
    <row r="152" s="204" customFormat="1" ht="17.25" customHeight="1" spans="1:1">
      <c r="A152" s="204" t="s">
        <v>2106</v>
      </c>
    </row>
    <row r="153" ht="17.25" customHeight="1" spans="7:9">
      <c r="G153" s="452"/>
      <c r="H153" s="452"/>
      <c r="I153" s="452"/>
    </row>
    <row r="154" s="36" customFormat="1" ht="17.25" customHeight="1" spans="1:43">
      <c r="A154" s="453"/>
      <c r="C154" s="217"/>
      <c r="D154" s="454"/>
      <c r="E154" s="455"/>
      <c r="F154" s="456"/>
      <c r="G154" s="457"/>
      <c r="H154" s="454"/>
      <c r="I154" s="454">
        <v>1</v>
      </c>
      <c r="J154" s="215"/>
      <c r="K154" s="475" t="s">
        <v>66</v>
      </c>
      <c r="L154" s="232"/>
      <c r="M154" s="232" t="s">
        <v>107</v>
      </c>
      <c r="N154" s="476" t="str">
        <f>IF(Z154="","",INDEX(TERRITORY_MR_LIST,MATCH(Z154,TERRITORY_LIST_ID,0)))</f>
        <v/>
      </c>
      <c r="O154" s="475" t="s">
        <v>66</v>
      </c>
      <c r="P154" s="232"/>
      <c r="Q154" s="232" t="s">
        <v>107</v>
      </c>
      <c r="R154" s="253" t="s">
        <v>22</v>
      </c>
      <c r="S154" s="140" t="s">
        <v>66</v>
      </c>
      <c r="T154" s="232"/>
      <c r="U154" s="232" t="s">
        <v>107</v>
      </c>
      <c r="V154" s="253" t="s">
        <v>22</v>
      </c>
      <c r="W154" s="215"/>
      <c r="Y154" s="502"/>
      <c r="Z154" s="502"/>
      <c r="AA154" s="502"/>
      <c r="AB154" s="502"/>
      <c r="AC154" s="502"/>
      <c r="AD154" s="502"/>
      <c r="AE154" s="502"/>
      <c r="AF154" s="502"/>
      <c r="AG154" s="502"/>
      <c r="AH154" s="502"/>
      <c r="AI154" s="502"/>
      <c r="AJ154" s="502"/>
      <c r="AK154" s="502"/>
      <c r="AL154" s="504"/>
      <c r="AM154" s="504"/>
      <c r="AN154" s="502"/>
      <c r="AO154" s="502"/>
      <c r="AP154" s="502"/>
      <c r="AQ154" s="502"/>
    </row>
    <row r="155" s="36" customFormat="1" ht="17.25" customHeight="1" spans="1:37">
      <c r="A155" s="453"/>
      <c r="D155" s="454"/>
      <c r="E155" s="455"/>
      <c r="F155" s="458"/>
      <c r="G155" s="457"/>
      <c r="H155" s="454"/>
      <c r="I155" s="454"/>
      <c r="J155" s="215"/>
      <c r="K155" s="477"/>
      <c r="L155" s="232"/>
      <c r="M155" s="232"/>
      <c r="N155" s="476"/>
      <c r="O155" s="477"/>
      <c r="P155" s="232"/>
      <c r="Q155" s="232"/>
      <c r="R155" s="253"/>
      <c r="S155" s="140"/>
      <c r="T155" s="462"/>
      <c r="U155" s="481"/>
      <c r="V155" s="481" t="s">
        <v>410</v>
      </c>
      <c r="W155" s="493"/>
      <c r="Y155" s="503"/>
      <c r="Z155" s="503"/>
      <c r="AA155" s="503"/>
      <c r="AB155" s="503"/>
      <c r="AC155" s="503"/>
      <c r="AD155" s="503"/>
      <c r="AE155" s="503"/>
      <c r="AF155" s="503"/>
      <c r="AG155" s="503"/>
      <c r="AH155" s="503"/>
      <c r="AI155" s="503"/>
      <c r="AJ155" s="503"/>
      <c r="AK155" s="503"/>
    </row>
    <row r="156" s="36" customFormat="1" ht="17.25" customHeight="1" spans="1:37">
      <c r="A156" s="453"/>
      <c r="D156" s="22"/>
      <c r="E156" s="459"/>
      <c r="F156" s="458"/>
      <c r="G156" s="460"/>
      <c r="H156" s="22"/>
      <c r="I156" s="22"/>
      <c r="J156" s="478"/>
      <c r="K156" s="477"/>
      <c r="L156" s="22"/>
      <c r="M156" s="22"/>
      <c r="N156" s="479"/>
      <c r="O156" s="480"/>
      <c r="P156" s="462"/>
      <c r="Q156" s="481"/>
      <c r="R156" s="481" t="s">
        <v>411</v>
      </c>
      <c r="S156" s="494"/>
      <c r="T156" s="494"/>
      <c r="U156" s="494"/>
      <c r="V156" s="494"/>
      <c r="W156" s="493"/>
      <c r="Y156" s="503"/>
      <c r="Z156" s="503"/>
      <c r="AA156" s="503"/>
      <c r="AB156" s="503"/>
      <c r="AC156" s="503"/>
      <c r="AD156" s="503"/>
      <c r="AE156" s="503"/>
      <c r="AF156" s="503"/>
      <c r="AG156" s="503"/>
      <c r="AH156" s="503"/>
      <c r="AI156" s="503"/>
      <c r="AJ156" s="503"/>
      <c r="AK156" s="503"/>
    </row>
    <row r="157" s="36" customFormat="1" ht="17.25" customHeight="1" spans="1:37">
      <c r="A157" s="453"/>
      <c r="D157" s="22"/>
      <c r="E157" s="459"/>
      <c r="F157" s="458"/>
      <c r="G157" s="460"/>
      <c r="H157" s="22"/>
      <c r="I157" s="22"/>
      <c r="J157" s="478"/>
      <c r="K157" s="480"/>
      <c r="L157" s="462"/>
      <c r="M157" s="481"/>
      <c r="N157" s="481" t="s">
        <v>412</v>
      </c>
      <c r="O157" s="481"/>
      <c r="P157" s="481"/>
      <c r="Q157" s="481"/>
      <c r="R157" s="481"/>
      <c r="S157" s="494"/>
      <c r="T157" s="494"/>
      <c r="U157" s="494"/>
      <c r="V157" s="494"/>
      <c r="W157" s="493"/>
      <c r="Y157" s="503"/>
      <c r="Z157" s="503"/>
      <c r="AA157" s="503"/>
      <c r="AB157" s="503"/>
      <c r="AC157" s="503"/>
      <c r="AD157" s="503"/>
      <c r="AE157" s="503"/>
      <c r="AF157" s="503"/>
      <c r="AG157" s="503"/>
      <c r="AH157" s="503"/>
      <c r="AI157" s="503"/>
      <c r="AJ157" s="503"/>
      <c r="AK157" s="503"/>
    </row>
    <row r="158" s="36" customFormat="1" ht="17.25" customHeight="1" spans="1:37">
      <c r="A158" s="453"/>
      <c r="D158" s="22"/>
      <c r="E158" s="459"/>
      <c r="F158" s="461"/>
      <c r="G158" s="460"/>
      <c r="H158" s="462"/>
      <c r="I158" s="481"/>
      <c r="J158" s="481" t="s">
        <v>440</v>
      </c>
      <c r="K158" s="481"/>
      <c r="L158" s="481"/>
      <c r="M158" s="481"/>
      <c r="N158" s="481"/>
      <c r="O158" s="481"/>
      <c r="P158" s="481"/>
      <c r="Q158" s="481"/>
      <c r="R158" s="481"/>
      <c r="S158" s="494"/>
      <c r="T158" s="494"/>
      <c r="U158" s="494"/>
      <c r="V158" s="494"/>
      <c r="W158" s="493"/>
      <c r="Y158" s="503"/>
      <c r="Z158" s="503"/>
      <c r="AA158" s="503"/>
      <c r="AB158" s="503"/>
      <c r="AC158" s="503"/>
      <c r="AD158" s="503"/>
      <c r="AE158" s="503"/>
      <c r="AF158" s="503"/>
      <c r="AG158" s="503"/>
      <c r="AH158" s="503"/>
      <c r="AI158" s="503"/>
      <c r="AJ158" s="503"/>
      <c r="AK158" s="503"/>
    </row>
    <row r="159" ht="17.25" customHeight="1" spans="7:9">
      <c r="G159" s="452"/>
      <c r="H159" s="452"/>
      <c r="I159" s="452"/>
    </row>
    <row r="160" s="36" customFormat="1" ht="17.25" customHeight="1" spans="1:43">
      <c r="A160" s="453"/>
      <c r="C160" s="217"/>
      <c r="D160" s="314"/>
      <c r="E160" s="463"/>
      <c r="F160" s="458"/>
      <c r="G160" s="464"/>
      <c r="H160" s="454"/>
      <c r="I160" s="454">
        <v>1</v>
      </c>
      <c r="J160" s="215"/>
      <c r="K160" s="475" t="s">
        <v>66</v>
      </c>
      <c r="L160" s="232"/>
      <c r="M160" s="232" t="s">
        <v>107</v>
      </c>
      <c r="N160" s="476" t="str">
        <f>IF(Z160="","",INDEX(TERRITORY_MR_LIST,MATCH(Z160,TERRITORY_LIST_ID,0)))</f>
        <v/>
      </c>
      <c r="O160" s="475" t="s">
        <v>66</v>
      </c>
      <c r="P160" s="232"/>
      <c r="Q160" s="232" t="s">
        <v>107</v>
      </c>
      <c r="R160" s="253" t="s">
        <v>22</v>
      </c>
      <c r="S160" s="140" t="s">
        <v>66</v>
      </c>
      <c r="T160" s="232"/>
      <c r="U160" s="232" t="s">
        <v>107</v>
      </c>
      <c r="V160" s="253" t="s">
        <v>22</v>
      </c>
      <c r="W160" s="215"/>
      <c r="Y160" s="502"/>
      <c r="Z160" s="502"/>
      <c r="AA160" s="502"/>
      <c r="AB160" s="502"/>
      <c r="AC160" s="502"/>
      <c r="AD160" s="502"/>
      <c r="AE160" s="502"/>
      <c r="AF160" s="502"/>
      <c r="AG160" s="502"/>
      <c r="AH160" s="502"/>
      <c r="AI160" s="502"/>
      <c r="AJ160" s="502"/>
      <c r="AK160" s="502"/>
      <c r="AL160" s="504"/>
      <c r="AM160" s="504"/>
      <c r="AN160" s="502"/>
      <c r="AO160" s="502"/>
      <c r="AP160" s="502"/>
      <c r="AQ160" s="502"/>
    </row>
    <row r="161" s="36" customFormat="1" ht="17.25" customHeight="1" spans="1:37">
      <c r="A161" s="453"/>
      <c r="D161" s="314"/>
      <c r="E161" s="463"/>
      <c r="F161" s="458"/>
      <c r="G161" s="464"/>
      <c r="H161" s="454"/>
      <c r="I161" s="454"/>
      <c r="J161" s="215"/>
      <c r="K161" s="477"/>
      <c r="L161" s="232"/>
      <c r="M161" s="232"/>
      <c r="N161" s="476"/>
      <c r="O161" s="477"/>
      <c r="P161" s="232"/>
      <c r="Q161" s="232"/>
      <c r="R161" s="253"/>
      <c r="S161" s="140"/>
      <c r="T161" s="462"/>
      <c r="U161" s="481"/>
      <c r="V161" s="481" t="s">
        <v>410</v>
      </c>
      <c r="W161" s="493"/>
      <c r="Y161" s="503"/>
      <c r="Z161" s="503"/>
      <c r="AA161" s="503"/>
      <c r="AB161" s="503"/>
      <c r="AC161" s="503"/>
      <c r="AD161" s="503"/>
      <c r="AE161" s="503"/>
      <c r="AF161" s="503"/>
      <c r="AG161" s="503"/>
      <c r="AH161" s="503"/>
      <c r="AI161" s="503"/>
      <c r="AJ161" s="503"/>
      <c r="AK161" s="503"/>
    </row>
    <row r="162" s="36" customFormat="1" ht="17.25" customHeight="1" spans="1:37">
      <c r="A162" s="453"/>
      <c r="D162" s="314"/>
      <c r="E162" s="463"/>
      <c r="F162" s="458"/>
      <c r="G162" s="464"/>
      <c r="H162" s="22"/>
      <c r="I162" s="22"/>
      <c r="J162" s="478"/>
      <c r="K162" s="477"/>
      <c r="L162" s="22"/>
      <c r="M162" s="22"/>
      <c r="N162" s="479"/>
      <c r="O162" s="480"/>
      <c r="P162" s="462"/>
      <c r="Q162" s="481"/>
      <c r="R162" s="481" t="s">
        <v>411</v>
      </c>
      <c r="S162" s="494"/>
      <c r="T162" s="494"/>
      <c r="U162" s="494"/>
      <c r="V162" s="494"/>
      <c r="W162" s="493"/>
      <c r="Y162" s="503"/>
      <c r="Z162" s="503"/>
      <c r="AA162" s="503"/>
      <c r="AB162" s="503"/>
      <c r="AC162" s="503"/>
      <c r="AD162" s="503"/>
      <c r="AE162" s="503"/>
      <c r="AF162" s="503"/>
      <c r="AG162" s="503"/>
      <c r="AH162" s="503"/>
      <c r="AI162" s="503"/>
      <c r="AJ162" s="503"/>
      <c r="AK162" s="503"/>
    </row>
    <row r="163" s="36" customFormat="1" ht="17.25" customHeight="1" spans="1:37">
      <c r="A163" s="453"/>
      <c r="D163" s="314"/>
      <c r="E163" s="463"/>
      <c r="F163" s="458"/>
      <c r="G163" s="464"/>
      <c r="H163" s="22"/>
      <c r="I163" s="22"/>
      <c r="J163" s="478"/>
      <c r="K163" s="480"/>
      <c r="L163" s="462"/>
      <c r="M163" s="481"/>
      <c r="N163" s="481" t="s">
        <v>412</v>
      </c>
      <c r="O163" s="481"/>
      <c r="P163" s="481"/>
      <c r="Q163" s="481"/>
      <c r="R163" s="481"/>
      <c r="S163" s="494"/>
      <c r="T163" s="494"/>
      <c r="U163" s="494"/>
      <c r="V163" s="494"/>
      <c r="W163" s="493"/>
      <c r="Y163" s="503"/>
      <c r="Z163" s="503"/>
      <c r="AA163" s="503"/>
      <c r="AB163" s="503"/>
      <c r="AC163" s="503"/>
      <c r="AD163" s="503"/>
      <c r="AE163" s="503"/>
      <c r="AF163" s="503"/>
      <c r="AG163" s="503"/>
      <c r="AH163" s="503"/>
      <c r="AI163" s="503"/>
      <c r="AJ163" s="503"/>
      <c r="AK163" s="503"/>
    </row>
    <row r="164" ht="17.25" customHeight="1" spans="7:9">
      <c r="G164" s="452"/>
      <c r="H164" s="452"/>
      <c r="I164" s="452"/>
    </row>
    <row r="165" s="36" customFormat="1" ht="17.25" customHeight="1" spans="1:43">
      <c r="A165" s="453"/>
      <c r="C165" s="217"/>
      <c r="D165" s="314"/>
      <c r="E165" s="463"/>
      <c r="F165" s="458"/>
      <c r="G165" s="464"/>
      <c r="H165" s="314"/>
      <c r="I165" s="314"/>
      <c r="J165" s="482"/>
      <c r="K165" s="483"/>
      <c r="L165" s="232"/>
      <c r="M165" s="232" t="s">
        <v>107</v>
      </c>
      <c r="N165" s="476" t="str">
        <f>IF(Z165="","",INDEX(TERRITORY_MR_LIST,MATCH(Z165,TERRITORY_LIST_ID,0)))</f>
        <v/>
      </c>
      <c r="O165" s="475" t="s">
        <v>66</v>
      </c>
      <c r="P165" s="232"/>
      <c r="Q165" s="232" t="s">
        <v>107</v>
      </c>
      <c r="R165" s="253" t="s">
        <v>22</v>
      </c>
      <c r="S165" s="140" t="s">
        <v>66</v>
      </c>
      <c r="T165" s="232"/>
      <c r="U165" s="232" t="s">
        <v>107</v>
      </c>
      <c r="V165" s="253" t="s">
        <v>22</v>
      </c>
      <c r="W165" s="215"/>
      <c r="Y165" s="502"/>
      <c r="Z165" s="502"/>
      <c r="AA165" s="502"/>
      <c r="AB165" s="502"/>
      <c r="AC165" s="502"/>
      <c r="AD165" s="502"/>
      <c r="AE165" s="502"/>
      <c r="AF165" s="502"/>
      <c r="AG165" s="502"/>
      <c r="AH165" s="502"/>
      <c r="AI165" s="502"/>
      <c r="AJ165" s="502"/>
      <c r="AK165" s="502"/>
      <c r="AL165" s="504"/>
      <c r="AM165" s="504"/>
      <c r="AN165" s="502"/>
      <c r="AO165" s="502"/>
      <c r="AP165" s="502"/>
      <c r="AQ165" s="502"/>
    </row>
    <row r="166" s="36" customFormat="1" ht="17.25" customHeight="1" spans="1:37">
      <c r="A166" s="453"/>
      <c r="D166" s="314"/>
      <c r="E166" s="463"/>
      <c r="F166" s="458"/>
      <c r="G166" s="464"/>
      <c r="H166" s="314"/>
      <c r="I166" s="314"/>
      <c r="J166" s="482"/>
      <c r="K166" s="483"/>
      <c r="L166" s="232"/>
      <c r="M166" s="232"/>
      <c r="N166" s="476"/>
      <c r="O166" s="477"/>
      <c r="P166" s="232"/>
      <c r="Q166" s="232"/>
      <c r="R166" s="253"/>
      <c r="S166" s="140"/>
      <c r="T166" s="462"/>
      <c r="U166" s="481"/>
      <c r="V166" s="481" t="s">
        <v>410</v>
      </c>
      <c r="W166" s="493"/>
      <c r="Y166" s="503"/>
      <c r="Z166" s="503"/>
      <c r="AA166" s="503"/>
      <c r="AB166" s="503"/>
      <c r="AC166" s="503"/>
      <c r="AD166" s="503"/>
      <c r="AE166" s="503"/>
      <c r="AF166" s="503"/>
      <c r="AG166" s="503"/>
      <c r="AH166" s="503"/>
      <c r="AI166" s="503"/>
      <c r="AJ166" s="503"/>
      <c r="AK166" s="503"/>
    </row>
    <row r="167" s="36" customFormat="1" ht="17.25" customHeight="1" spans="1:37">
      <c r="A167" s="453"/>
      <c r="D167" s="314"/>
      <c r="E167" s="463"/>
      <c r="F167" s="458"/>
      <c r="G167" s="464"/>
      <c r="H167" s="314"/>
      <c r="I167" s="314"/>
      <c r="J167" s="482"/>
      <c r="K167" s="483"/>
      <c r="L167" s="22"/>
      <c r="M167" s="22"/>
      <c r="N167" s="479"/>
      <c r="O167" s="480"/>
      <c r="P167" s="462"/>
      <c r="Q167" s="481"/>
      <c r="R167" s="481" t="s">
        <v>411</v>
      </c>
      <c r="S167" s="494"/>
      <c r="T167" s="494"/>
      <c r="U167" s="494"/>
      <c r="V167" s="494"/>
      <c r="W167" s="493"/>
      <c r="Y167" s="503"/>
      <c r="Z167" s="503"/>
      <c r="AA167" s="503"/>
      <c r="AB167" s="503"/>
      <c r="AC167" s="503"/>
      <c r="AD167" s="503"/>
      <c r="AE167" s="503"/>
      <c r="AF167" s="503"/>
      <c r="AG167" s="503"/>
      <c r="AH167" s="503"/>
      <c r="AI167" s="503"/>
      <c r="AJ167" s="503"/>
      <c r="AK167" s="503"/>
    </row>
    <row r="168" ht="17.25" customHeight="1" spans="7:9">
      <c r="G168" s="452"/>
      <c r="H168" s="452"/>
      <c r="I168" s="452"/>
    </row>
    <row r="169" s="36" customFormat="1" ht="17.25" customHeight="1" spans="1:43">
      <c r="A169" s="453"/>
      <c r="C169" s="217"/>
      <c r="D169" s="314"/>
      <c r="E169" s="463"/>
      <c r="F169" s="458"/>
      <c r="G169" s="464"/>
      <c r="H169" s="314"/>
      <c r="I169" s="314"/>
      <c r="J169" s="482"/>
      <c r="K169" s="483"/>
      <c r="L169" s="465"/>
      <c r="M169" s="465"/>
      <c r="N169" s="484"/>
      <c r="O169" s="477"/>
      <c r="P169" s="232"/>
      <c r="Q169" s="232" t="s">
        <v>107</v>
      </c>
      <c r="R169" s="253" t="s">
        <v>22</v>
      </c>
      <c r="S169" s="140" t="s">
        <v>66</v>
      </c>
      <c r="T169" s="232"/>
      <c r="U169" s="232" t="s">
        <v>107</v>
      </c>
      <c r="V169" s="253" t="s">
        <v>22</v>
      </c>
      <c r="W169" s="215"/>
      <c r="Y169" s="502"/>
      <c r="Z169" s="502"/>
      <c r="AA169" s="502"/>
      <c r="AB169" s="502"/>
      <c r="AC169" s="502"/>
      <c r="AD169" s="502"/>
      <c r="AE169" s="502"/>
      <c r="AF169" s="502"/>
      <c r="AG169" s="502"/>
      <c r="AH169" s="502"/>
      <c r="AI169" s="502"/>
      <c r="AJ169" s="502"/>
      <c r="AK169" s="502"/>
      <c r="AL169" s="504"/>
      <c r="AM169" s="504"/>
      <c r="AN169" s="502"/>
      <c r="AO169" s="502"/>
      <c r="AP169" s="502"/>
      <c r="AQ169" s="502"/>
    </row>
    <row r="170" s="36" customFormat="1" ht="17.25" customHeight="1" spans="1:37">
      <c r="A170" s="453"/>
      <c r="D170" s="314"/>
      <c r="E170" s="463"/>
      <c r="F170" s="458"/>
      <c r="G170" s="464"/>
      <c r="H170" s="314"/>
      <c r="I170" s="314"/>
      <c r="J170" s="482"/>
      <c r="K170" s="483"/>
      <c r="L170" s="465"/>
      <c r="M170" s="465"/>
      <c r="N170" s="484"/>
      <c r="O170" s="477"/>
      <c r="P170" s="232"/>
      <c r="Q170" s="232"/>
      <c r="R170" s="253"/>
      <c r="S170" s="140"/>
      <c r="T170" s="462"/>
      <c r="U170" s="481"/>
      <c r="V170" s="481" t="s">
        <v>410</v>
      </c>
      <c r="W170" s="493"/>
      <c r="Y170" s="503"/>
      <c r="Z170" s="503"/>
      <c r="AA170" s="503"/>
      <c r="AB170" s="503"/>
      <c r="AC170" s="503"/>
      <c r="AD170" s="503"/>
      <c r="AE170" s="503"/>
      <c r="AF170" s="503"/>
      <c r="AG170" s="503"/>
      <c r="AH170" s="503"/>
      <c r="AI170" s="503"/>
      <c r="AJ170" s="503"/>
      <c r="AK170" s="503"/>
    </row>
    <row r="171" ht="17.25" customHeight="1" spans="7:9">
      <c r="G171" s="452"/>
      <c r="H171" s="452"/>
      <c r="I171" s="452"/>
    </row>
    <row r="172" s="36" customFormat="1" ht="17.25" customHeight="1" spans="1:43">
      <c r="A172" s="453"/>
      <c r="C172" s="217"/>
      <c r="D172" s="314"/>
      <c r="E172" s="463"/>
      <c r="F172" s="458"/>
      <c r="G172" s="464"/>
      <c r="H172" s="465"/>
      <c r="I172" s="465"/>
      <c r="J172" s="485"/>
      <c r="K172" s="464"/>
      <c r="L172" s="465"/>
      <c r="M172" s="465"/>
      <c r="N172" s="464"/>
      <c r="O172" s="464"/>
      <c r="P172" s="465"/>
      <c r="Q172" s="465"/>
      <c r="R172" s="495"/>
      <c r="S172" s="464"/>
      <c r="T172" s="232"/>
      <c r="U172" s="232" t="s">
        <v>107</v>
      </c>
      <c r="V172" s="253" t="s">
        <v>22</v>
      </c>
      <c r="W172" s="215"/>
      <c r="Y172" s="502"/>
      <c r="Z172" s="502"/>
      <c r="AA172" s="502"/>
      <c r="AB172" s="502"/>
      <c r="AC172" s="502"/>
      <c r="AD172" s="502"/>
      <c r="AE172" s="502"/>
      <c r="AF172" s="502"/>
      <c r="AG172" s="502"/>
      <c r="AH172" s="502"/>
      <c r="AI172" s="502"/>
      <c r="AJ172" s="502"/>
      <c r="AK172" s="502"/>
      <c r="AL172" s="504"/>
      <c r="AM172" s="504"/>
      <c r="AN172" s="502"/>
      <c r="AO172" s="502"/>
      <c r="AP172" s="502"/>
      <c r="AQ172" s="502"/>
    </row>
    <row r="174" s="204" customFormat="1" ht="17.25" customHeight="1" spans="1:1">
      <c r="A174" s="204" t="s">
        <v>2107</v>
      </c>
    </row>
    <row r="175" ht="17.25" customHeight="1" spans="7:9">
      <c r="G175" s="452"/>
      <c r="H175" s="452"/>
      <c r="I175" s="452"/>
    </row>
    <row r="176" s="36" customFormat="1" ht="17.25" customHeight="1" spans="1:43">
      <c r="A176" s="453"/>
      <c r="C176" s="217"/>
      <c r="D176" s="454"/>
      <c r="E176" s="455"/>
      <c r="F176" s="456"/>
      <c r="G176" s="457"/>
      <c r="H176" s="454"/>
      <c r="I176" s="454">
        <v>1</v>
      </c>
      <c r="J176" s="215"/>
      <c r="K176" s="475" t="s">
        <v>66</v>
      </c>
      <c r="L176" s="232"/>
      <c r="M176" s="232" t="s">
        <v>107</v>
      </c>
      <c r="N176" s="476" t="str">
        <f>IF(Z176="","",INDEX(TERRITORY_MR_LIST,MATCH(Z176,TERRITORY_LIST_ID,0)))</f>
        <v/>
      </c>
      <c r="O176" s="475" t="s">
        <v>66</v>
      </c>
      <c r="P176" s="232"/>
      <c r="Q176" s="232" t="s">
        <v>107</v>
      </c>
      <c r="R176" s="253" t="s">
        <v>22</v>
      </c>
      <c r="S176" s="496" t="s">
        <v>19</v>
      </c>
      <c r="T176" s="496"/>
      <c r="U176" s="496" t="s">
        <v>107</v>
      </c>
      <c r="V176" s="497"/>
      <c r="W176" s="215"/>
      <c r="Y176" s="502"/>
      <c r="Z176" s="502"/>
      <c r="AA176" s="502"/>
      <c r="AB176" s="502"/>
      <c r="AC176" s="502"/>
      <c r="AD176" s="502"/>
      <c r="AE176" s="502"/>
      <c r="AF176" s="502"/>
      <c r="AG176" s="502"/>
      <c r="AH176" s="502"/>
      <c r="AI176" s="502"/>
      <c r="AJ176" s="502"/>
      <c r="AK176" s="502"/>
      <c r="AL176" s="504"/>
      <c r="AM176" s="504"/>
      <c r="AN176" s="502"/>
      <c r="AO176" s="502"/>
      <c r="AP176" s="502"/>
      <c r="AQ176" s="502"/>
    </row>
    <row r="177" s="36" customFormat="1" ht="17.25" customHeight="1" spans="1:37">
      <c r="A177" s="453"/>
      <c r="D177" s="454"/>
      <c r="E177" s="455"/>
      <c r="F177" s="458"/>
      <c r="G177" s="457"/>
      <c r="H177" s="454"/>
      <c r="I177" s="454"/>
      <c r="J177" s="215"/>
      <c r="K177" s="477"/>
      <c r="L177" s="232"/>
      <c r="M177" s="232"/>
      <c r="N177" s="476"/>
      <c r="O177" s="477"/>
      <c r="P177" s="232"/>
      <c r="Q177" s="232"/>
      <c r="R177" s="253"/>
      <c r="S177" s="496"/>
      <c r="T177" s="498"/>
      <c r="U177" s="499"/>
      <c r="V177" s="499"/>
      <c r="W177" s="215"/>
      <c r="Y177" s="503"/>
      <c r="Z177" s="503"/>
      <c r="AA177" s="503"/>
      <c r="AB177" s="503"/>
      <c r="AC177" s="503"/>
      <c r="AD177" s="503"/>
      <c r="AE177" s="503"/>
      <c r="AF177" s="503"/>
      <c r="AG177" s="503"/>
      <c r="AH177" s="503"/>
      <c r="AI177" s="503"/>
      <c r="AJ177" s="503"/>
      <c r="AK177" s="503"/>
    </row>
    <row r="178" s="36" customFormat="1" ht="17.25" customHeight="1" spans="1:37">
      <c r="A178" s="453"/>
      <c r="D178" s="22"/>
      <c r="E178" s="459"/>
      <c r="F178" s="458"/>
      <c r="G178" s="460"/>
      <c r="H178" s="22"/>
      <c r="I178" s="22"/>
      <c r="J178" s="478"/>
      <c r="K178" s="477"/>
      <c r="L178" s="22"/>
      <c r="M178" s="22"/>
      <c r="N178" s="479"/>
      <c r="O178" s="480"/>
      <c r="P178" s="462"/>
      <c r="Q178" s="481"/>
      <c r="R178" s="481" t="s">
        <v>411</v>
      </c>
      <c r="S178" s="494"/>
      <c r="T178" s="494"/>
      <c r="U178" s="494"/>
      <c r="V178" s="494"/>
      <c r="W178" s="500"/>
      <c r="Y178" s="503"/>
      <c r="Z178" s="503"/>
      <c r="AA178" s="503"/>
      <c r="AB178" s="503"/>
      <c r="AC178" s="503"/>
      <c r="AD178" s="503"/>
      <c r="AE178" s="503"/>
      <c r="AF178" s="503"/>
      <c r="AG178" s="503"/>
      <c r="AH178" s="503"/>
      <c r="AI178" s="503"/>
      <c r="AJ178" s="503"/>
      <c r="AK178" s="503"/>
    </row>
    <row r="179" s="36" customFormat="1" ht="17.25" customHeight="1" spans="1:37">
      <c r="A179" s="453"/>
      <c r="D179" s="22"/>
      <c r="E179" s="459"/>
      <c r="F179" s="458"/>
      <c r="G179" s="460"/>
      <c r="H179" s="22"/>
      <c r="I179" s="22"/>
      <c r="J179" s="478"/>
      <c r="K179" s="480"/>
      <c r="L179" s="462"/>
      <c r="M179" s="481"/>
      <c r="N179" s="481" t="s">
        <v>412</v>
      </c>
      <c r="O179" s="481"/>
      <c r="P179" s="481"/>
      <c r="Q179" s="481"/>
      <c r="R179" s="481"/>
      <c r="S179" s="494"/>
      <c r="T179" s="494"/>
      <c r="U179" s="494"/>
      <c r="V179" s="494"/>
      <c r="W179" s="493"/>
      <c r="Y179" s="503"/>
      <c r="Z179" s="503"/>
      <c r="AA179" s="503"/>
      <c r="AB179" s="503"/>
      <c r="AC179" s="503"/>
      <c r="AD179" s="503"/>
      <c r="AE179" s="503"/>
      <c r="AF179" s="503"/>
      <c r="AG179" s="503"/>
      <c r="AH179" s="503"/>
      <c r="AI179" s="503"/>
      <c r="AJ179" s="503"/>
      <c r="AK179" s="503"/>
    </row>
    <row r="180" s="36" customFormat="1" ht="17.25" customHeight="1" spans="1:37">
      <c r="A180" s="453"/>
      <c r="D180" s="22"/>
      <c r="E180" s="459"/>
      <c r="F180" s="461"/>
      <c r="G180" s="460"/>
      <c r="H180" s="462"/>
      <c r="I180" s="481"/>
      <c r="J180" s="481" t="s">
        <v>440</v>
      </c>
      <c r="K180" s="481"/>
      <c r="L180" s="481"/>
      <c r="M180" s="481"/>
      <c r="N180" s="481"/>
      <c r="O180" s="481"/>
      <c r="P180" s="481"/>
      <c r="Q180" s="481"/>
      <c r="R180" s="481"/>
      <c r="S180" s="494"/>
      <c r="T180" s="494"/>
      <c r="U180" s="494"/>
      <c r="V180" s="494"/>
      <c r="W180" s="493"/>
      <c r="Y180" s="503"/>
      <c r="Z180" s="503"/>
      <c r="AA180" s="503"/>
      <c r="AB180" s="503"/>
      <c r="AC180" s="503"/>
      <c r="AD180" s="503"/>
      <c r="AE180" s="503"/>
      <c r="AF180" s="503"/>
      <c r="AG180" s="503"/>
      <c r="AH180" s="503"/>
      <c r="AI180" s="503"/>
      <c r="AJ180" s="503"/>
      <c r="AK180" s="503"/>
    </row>
    <row r="181" ht="17.25" customHeight="1"/>
    <row r="182" s="36" customFormat="1" ht="17.25" customHeight="1" spans="1:43">
      <c r="A182" s="453"/>
      <c r="C182" s="217"/>
      <c r="D182" s="314"/>
      <c r="E182" s="463"/>
      <c r="F182" s="458"/>
      <c r="G182" s="464"/>
      <c r="H182" s="454"/>
      <c r="I182" s="454">
        <v>1</v>
      </c>
      <c r="J182" s="215"/>
      <c r="K182" s="475" t="s">
        <v>66</v>
      </c>
      <c r="L182" s="232"/>
      <c r="M182" s="232" t="s">
        <v>107</v>
      </c>
      <c r="N182" s="476" t="str">
        <f>IF(Z182="","",INDEX(TERRITORY_MR_LIST,MATCH(Z182,TERRITORY_LIST_ID,0)))</f>
        <v/>
      </c>
      <c r="O182" s="475" t="s">
        <v>66</v>
      </c>
      <c r="P182" s="232"/>
      <c r="Q182" s="232" t="s">
        <v>107</v>
      </c>
      <c r="R182" s="253" t="s">
        <v>22</v>
      </c>
      <c r="S182" s="496" t="s">
        <v>19</v>
      </c>
      <c r="T182" s="496"/>
      <c r="U182" s="496" t="s">
        <v>107</v>
      </c>
      <c r="V182" s="497"/>
      <c r="W182" s="215"/>
      <c r="Y182" s="502"/>
      <c r="Z182" s="502"/>
      <c r="AA182" s="502"/>
      <c r="AB182" s="502"/>
      <c r="AC182" s="502"/>
      <c r="AD182" s="502"/>
      <c r="AE182" s="502"/>
      <c r="AF182" s="502"/>
      <c r="AG182" s="502"/>
      <c r="AH182" s="502"/>
      <c r="AI182" s="502"/>
      <c r="AJ182" s="502"/>
      <c r="AK182" s="502"/>
      <c r="AL182" s="504"/>
      <c r="AM182" s="504"/>
      <c r="AN182" s="502"/>
      <c r="AO182" s="502"/>
      <c r="AP182" s="502"/>
      <c r="AQ182" s="502"/>
    </row>
    <row r="183" s="36" customFormat="1" ht="17.25" customHeight="1" spans="1:37">
      <c r="A183" s="453"/>
      <c r="D183" s="314"/>
      <c r="E183" s="463"/>
      <c r="F183" s="458"/>
      <c r="G183" s="464"/>
      <c r="H183" s="454"/>
      <c r="I183" s="454"/>
      <c r="J183" s="215"/>
      <c r="K183" s="477"/>
      <c r="L183" s="232"/>
      <c r="M183" s="232"/>
      <c r="N183" s="476"/>
      <c r="O183" s="477"/>
      <c r="P183" s="232"/>
      <c r="Q183" s="232"/>
      <c r="R183" s="253"/>
      <c r="S183" s="496"/>
      <c r="T183" s="498"/>
      <c r="U183" s="499"/>
      <c r="V183" s="499"/>
      <c r="W183" s="215"/>
      <c r="Y183" s="503"/>
      <c r="Z183" s="503"/>
      <c r="AA183" s="503"/>
      <c r="AB183" s="503"/>
      <c r="AC183" s="503"/>
      <c r="AD183" s="503"/>
      <c r="AE183" s="503"/>
      <c r="AF183" s="503"/>
      <c r="AG183" s="503"/>
      <c r="AH183" s="503"/>
      <c r="AI183" s="503"/>
      <c r="AJ183" s="503"/>
      <c r="AK183" s="503"/>
    </row>
    <row r="184" s="36" customFormat="1" ht="17.25" customHeight="1" spans="1:37">
      <c r="A184" s="453"/>
      <c r="D184" s="314"/>
      <c r="E184" s="463"/>
      <c r="F184" s="458"/>
      <c r="G184" s="464"/>
      <c r="H184" s="22"/>
      <c r="I184" s="22"/>
      <c r="J184" s="478"/>
      <c r="K184" s="477"/>
      <c r="L184" s="22"/>
      <c r="M184" s="22"/>
      <c r="N184" s="479"/>
      <c r="O184" s="480"/>
      <c r="P184" s="462"/>
      <c r="Q184" s="481"/>
      <c r="R184" s="481" t="s">
        <v>411</v>
      </c>
      <c r="S184" s="494"/>
      <c r="T184" s="494"/>
      <c r="U184" s="494"/>
      <c r="V184" s="494"/>
      <c r="W184" s="500"/>
      <c r="Y184" s="503"/>
      <c r="Z184" s="503"/>
      <c r="AA184" s="503"/>
      <c r="AB184" s="503"/>
      <c r="AC184" s="503"/>
      <c r="AD184" s="503"/>
      <c r="AE184" s="503"/>
      <c r="AF184" s="503"/>
      <c r="AG184" s="503"/>
      <c r="AH184" s="503"/>
      <c r="AI184" s="503"/>
      <c r="AJ184" s="503"/>
      <c r="AK184" s="503"/>
    </row>
    <row r="185" s="36" customFormat="1" ht="17.25" customHeight="1" spans="1:37">
      <c r="A185" s="453"/>
      <c r="D185" s="314"/>
      <c r="E185" s="463"/>
      <c r="F185" s="458"/>
      <c r="G185" s="464"/>
      <c r="H185" s="22"/>
      <c r="I185" s="22"/>
      <c r="J185" s="478"/>
      <c r="K185" s="480"/>
      <c r="L185" s="462"/>
      <c r="M185" s="481"/>
      <c r="N185" s="481" t="s">
        <v>412</v>
      </c>
      <c r="O185" s="481"/>
      <c r="P185" s="481"/>
      <c r="Q185" s="481"/>
      <c r="R185" s="481"/>
      <c r="S185" s="494"/>
      <c r="T185" s="494"/>
      <c r="U185" s="494"/>
      <c r="V185" s="494"/>
      <c r="W185" s="493"/>
      <c r="Y185" s="503"/>
      <c r="Z185" s="503"/>
      <c r="AA185" s="503"/>
      <c r="AB185" s="503"/>
      <c r="AC185" s="503"/>
      <c r="AD185" s="503"/>
      <c r="AE185" s="503"/>
      <c r="AF185" s="503"/>
      <c r="AG185" s="503"/>
      <c r="AH185" s="503"/>
      <c r="AI185" s="503"/>
      <c r="AJ185" s="503"/>
      <c r="AK185" s="503"/>
    </row>
    <row r="186" ht="17.25" customHeight="1"/>
    <row r="187" s="36" customFormat="1" ht="17.25" customHeight="1" spans="1:43">
      <c r="A187" s="453"/>
      <c r="C187" s="217"/>
      <c r="D187" s="314"/>
      <c r="E187" s="463"/>
      <c r="F187" s="458"/>
      <c r="G187" s="464"/>
      <c r="H187" s="314"/>
      <c r="I187" s="314"/>
      <c r="J187" s="486"/>
      <c r="K187" s="464"/>
      <c r="L187" s="232"/>
      <c r="M187" s="232" t="s">
        <v>107</v>
      </c>
      <c r="N187" s="476" t="str">
        <f>IF(Z187="","",INDEX(TERRITORY_MR_LIST,MATCH(Z187,TERRITORY_LIST_ID,0)))</f>
        <v/>
      </c>
      <c r="O187" s="475" t="s">
        <v>66</v>
      </c>
      <c r="P187" s="232"/>
      <c r="Q187" s="232" t="s">
        <v>107</v>
      </c>
      <c r="R187" s="253" t="s">
        <v>22</v>
      </c>
      <c r="S187" s="496" t="s">
        <v>19</v>
      </c>
      <c r="T187" s="496"/>
      <c r="U187" s="496" t="s">
        <v>107</v>
      </c>
      <c r="V187" s="497"/>
      <c r="W187" s="215"/>
      <c r="Y187" s="502"/>
      <c r="Z187" s="502"/>
      <c r="AA187" s="502"/>
      <c r="AB187" s="502"/>
      <c r="AC187" s="502"/>
      <c r="AD187" s="502"/>
      <c r="AE187" s="502"/>
      <c r="AF187" s="502"/>
      <c r="AG187" s="502"/>
      <c r="AH187" s="502"/>
      <c r="AI187" s="502"/>
      <c r="AJ187" s="502"/>
      <c r="AK187" s="502"/>
      <c r="AL187" s="504"/>
      <c r="AM187" s="504"/>
      <c r="AN187" s="502"/>
      <c r="AO187" s="502"/>
      <c r="AP187" s="502"/>
      <c r="AQ187" s="502"/>
    </row>
    <row r="188" s="36" customFormat="1" ht="17.25" customHeight="1" spans="1:37">
      <c r="A188" s="453"/>
      <c r="D188" s="314"/>
      <c r="E188" s="463"/>
      <c r="F188" s="458"/>
      <c r="G188" s="464"/>
      <c r="H188" s="314"/>
      <c r="I188" s="314"/>
      <c r="J188" s="486"/>
      <c r="K188" s="464"/>
      <c r="L188" s="232"/>
      <c r="M188" s="232"/>
      <c r="N188" s="476"/>
      <c r="O188" s="477"/>
      <c r="P188" s="232"/>
      <c r="Q188" s="232"/>
      <c r="R188" s="253"/>
      <c r="S188" s="496"/>
      <c r="T188" s="498"/>
      <c r="U188" s="499"/>
      <c r="V188" s="499"/>
      <c r="W188" s="215"/>
      <c r="Y188" s="503"/>
      <c r="Z188" s="503"/>
      <c r="AA188" s="503"/>
      <c r="AB188" s="503"/>
      <c r="AC188" s="503"/>
      <c r="AD188" s="503"/>
      <c r="AE188" s="503"/>
      <c r="AF188" s="503"/>
      <c r="AG188" s="503"/>
      <c r="AH188" s="503"/>
      <c r="AI188" s="503"/>
      <c r="AJ188" s="503"/>
      <c r="AK188" s="503"/>
    </row>
    <row r="189" s="36" customFormat="1" ht="17.25" customHeight="1" spans="1:37">
      <c r="A189" s="453"/>
      <c r="D189" s="314"/>
      <c r="E189" s="463"/>
      <c r="F189" s="458"/>
      <c r="G189" s="464"/>
      <c r="H189" s="314"/>
      <c r="I189" s="314"/>
      <c r="J189" s="486"/>
      <c r="K189" s="464"/>
      <c r="L189" s="22"/>
      <c r="M189" s="22"/>
      <c r="N189" s="479"/>
      <c r="O189" s="480"/>
      <c r="P189" s="462"/>
      <c r="Q189" s="481"/>
      <c r="R189" s="481" t="s">
        <v>411</v>
      </c>
      <c r="S189" s="494"/>
      <c r="T189" s="494"/>
      <c r="U189" s="494"/>
      <c r="V189" s="494"/>
      <c r="W189" s="500"/>
      <c r="Y189" s="503"/>
      <c r="Z189" s="503"/>
      <c r="AA189" s="503"/>
      <c r="AB189" s="503"/>
      <c r="AC189" s="503"/>
      <c r="AD189" s="503"/>
      <c r="AE189" s="503"/>
      <c r="AF189" s="503"/>
      <c r="AG189" s="503"/>
      <c r="AH189" s="503"/>
      <c r="AI189" s="503"/>
      <c r="AJ189" s="503"/>
      <c r="AK189" s="503"/>
    </row>
    <row r="190" ht="17.25" customHeight="1"/>
    <row r="191" s="36" customFormat="1" ht="17.25" customHeight="1" spans="1:43">
      <c r="A191" s="453"/>
      <c r="C191" s="217"/>
      <c r="D191" s="314"/>
      <c r="E191" s="463"/>
      <c r="F191" s="458"/>
      <c r="G191" s="464"/>
      <c r="H191" s="314"/>
      <c r="I191" s="314"/>
      <c r="J191" s="486"/>
      <c r="K191" s="464"/>
      <c r="L191" s="314"/>
      <c r="M191" s="314"/>
      <c r="N191" s="484"/>
      <c r="O191" s="477"/>
      <c r="P191" s="232"/>
      <c r="Q191" s="232" t="s">
        <v>107</v>
      </c>
      <c r="R191" s="253" t="s">
        <v>22</v>
      </c>
      <c r="S191" s="496" t="s">
        <v>19</v>
      </c>
      <c r="T191" s="496"/>
      <c r="U191" s="496" t="s">
        <v>107</v>
      </c>
      <c r="V191" s="497"/>
      <c r="W191" s="215"/>
      <c r="Y191" s="502"/>
      <c r="Z191" s="502"/>
      <c r="AA191" s="502"/>
      <c r="AB191" s="502"/>
      <c r="AC191" s="502"/>
      <c r="AD191" s="502"/>
      <c r="AE191" s="502"/>
      <c r="AF191" s="502"/>
      <c r="AG191" s="502"/>
      <c r="AH191" s="502"/>
      <c r="AI191" s="502"/>
      <c r="AJ191" s="502"/>
      <c r="AK191" s="502"/>
      <c r="AL191" s="504"/>
      <c r="AM191" s="504"/>
      <c r="AN191" s="502"/>
      <c r="AO191" s="502"/>
      <c r="AP191" s="502"/>
      <c r="AQ191" s="502"/>
    </row>
    <row r="192" s="36" customFormat="1" ht="17.25" customHeight="1" spans="1:37">
      <c r="A192" s="453"/>
      <c r="D192" s="314"/>
      <c r="E192" s="463"/>
      <c r="F192" s="458"/>
      <c r="G192" s="464"/>
      <c r="H192" s="314"/>
      <c r="I192" s="314"/>
      <c r="J192" s="486"/>
      <c r="K192" s="464"/>
      <c r="L192" s="314"/>
      <c r="M192" s="314"/>
      <c r="N192" s="484"/>
      <c r="O192" s="477"/>
      <c r="P192" s="232"/>
      <c r="Q192" s="232"/>
      <c r="R192" s="253"/>
      <c r="S192" s="496"/>
      <c r="T192" s="498"/>
      <c r="U192" s="499"/>
      <c r="V192" s="499"/>
      <c r="W192" s="215"/>
      <c r="Y192" s="503"/>
      <c r="Z192" s="503"/>
      <c r="AA192" s="503"/>
      <c r="AB192" s="503"/>
      <c r="AC192" s="503"/>
      <c r="AD192" s="503"/>
      <c r="AE192" s="503"/>
      <c r="AF192" s="503"/>
      <c r="AG192" s="503"/>
      <c r="AH192" s="503"/>
      <c r="AI192" s="503"/>
      <c r="AJ192" s="503"/>
      <c r="AK192" s="503"/>
    </row>
    <row r="193" ht="17.25" customHeight="1"/>
    <row r="194" ht="16.5" customHeight="1" spans="1:23">
      <c r="A194" s="453"/>
      <c r="B194" s="36"/>
      <c r="C194" s="36"/>
      <c r="D194" s="454"/>
      <c r="E194" s="393"/>
      <c r="F194" s="393"/>
      <c r="G194" s="64"/>
      <c r="H194" s="505"/>
      <c r="I194" s="516"/>
      <c r="J194" s="517"/>
      <c r="K194" s="518"/>
      <c r="L194" s="518"/>
      <c r="M194" s="518"/>
      <c r="N194" s="519"/>
      <c r="O194" s="518"/>
      <c r="P194" s="518"/>
      <c r="Q194" s="518"/>
      <c r="R194" s="538"/>
      <c r="S194" s="518"/>
      <c r="T194" s="518"/>
      <c r="U194" s="518"/>
      <c r="V194" s="538"/>
      <c r="W194" s="539"/>
    </row>
    <row r="195" ht="16.5" customHeight="1" spans="1:23">
      <c r="A195" s="453"/>
      <c r="B195" s="36"/>
      <c r="C195" s="36"/>
      <c r="D195" s="454"/>
      <c r="E195" s="393"/>
      <c r="F195" s="393"/>
      <c r="G195" s="64"/>
      <c r="H195" s="506"/>
      <c r="I195" s="520"/>
      <c r="J195" s="521"/>
      <c r="K195" s="522"/>
      <c r="L195" s="522"/>
      <c r="M195" s="522"/>
      <c r="N195" s="523"/>
      <c r="O195" s="522"/>
      <c r="P195" s="522"/>
      <c r="Q195" s="522"/>
      <c r="R195" s="524"/>
      <c r="S195" s="522"/>
      <c r="T195" s="525"/>
      <c r="U195" s="525"/>
      <c r="V195" s="525"/>
      <c r="W195" s="540"/>
    </row>
    <row r="196" ht="17.25" customHeight="1" spans="1:23">
      <c r="A196" s="453"/>
      <c r="B196" s="36"/>
      <c r="C196" s="36"/>
      <c r="D196" s="454"/>
      <c r="E196" s="393"/>
      <c r="F196" s="393"/>
      <c r="G196" s="64"/>
      <c r="H196" s="506"/>
      <c r="I196" s="520"/>
      <c r="J196" s="452"/>
      <c r="K196" s="522"/>
      <c r="L196" s="522"/>
      <c r="M196" s="522"/>
      <c r="N196" s="524"/>
      <c r="O196" s="522"/>
      <c r="P196" s="522"/>
      <c r="Q196" s="525"/>
      <c r="R196" s="525"/>
      <c r="S196" s="36"/>
      <c r="T196" s="36"/>
      <c r="U196" s="36"/>
      <c r="V196" s="36"/>
      <c r="W196" s="540"/>
    </row>
    <row r="197" ht="17.25" customHeight="1" spans="1:23">
      <c r="A197" s="453"/>
      <c r="B197" s="36"/>
      <c r="C197" s="36"/>
      <c r="D197" s="454"/>
      <c r="E197" s="393"/>
      <c r="F197" s="393"/>
      <c r="G197" s="64"/>
      <c r="H197" s="506"/>
      <c r="I197" s="520"/>
      <c r="J197" s="452"/>
      <c r="K197" s="522"/>
      <c r="L197" s="525"/>
      <c r="M197" s="525"/>
      <c r="N197" s="525"/>
      <c r="O197" s="525"/>
      <c r="P197" s="525"/>
      <c r="Q197" s="525"/>
      <c r="R197" s="525"/>
      <c r="S197" s="36"/>
      <c r="T197" s="36"/>
      <c r="U197" s="36"/>
      <c r="V197" s="36"/>
      <c r="W197" s="540"/>
    </row>
    <row r="198" ht="17.25" customHeight="1" spans="1:23">
      <c r="A198" s="453"/>
      <c r="B198" s="36"/>
      <c r="C198" s="36"/>
      <c r="D198" s="454"/>
      <c r="E198" s="393"/>
      <c r="F198" s="393"/>
      <c r="G198" s="64"/>
      <c r="H198" s="507"/>
      <c r="I198" s="526"/>
      <c r="J198" s="526"/>
      <c r="K198" s="526"/>
      <c r="L198" s="526"/>
      <c r="M198" s="526"/>
      <c r="N198" s="526"/>
      <c r="O198" s="526"/>
      <c r="P198" s="526"/>
      <c r="Q198" s="526"/>
      <c r="R198" s="526"/>
      <c r="S198" s="541"/>
      <c r="T198" s="541"/>
      <c r="U198" s="541"/>
      <c r="V198" s="541"/>
      <c r="W198" s="542"/>
    </row>
    <row r="200" s="204" customFormat="1" ht="17.25" customHeight="1" spans="1:1">
      <c r="A200" s="204" t="s">
        <v>2108</v>
      </c>
    </row>
    <row r="201" ht="17.25" customHeight="1" spans="7:9">
      <c r="G201" s="452"/>
      <c r="H201" s="452"/>
      <c r="I201" s="452"/>
    </row>
    <row r="202" customFormat="1" ht="15" customHeight="1" spans="4:35">
      <c r="D202" s="508"/>
      <c r="E202" s="398"/>
      <c r="F202" s="398"/>
      <c r="G202" s="475"/>
      <c r="H202" s="509"/>
      <c r="I202" s="527">
        <v>1</v>
      </c>
      <c r="J202" s="215"/>
      <c r="K202" s="528"/>
      <c r="L202" s="475" t="s">
        <v>66</v>
      </c>
      <c r="M202" s="475" t="s">
        <v>66</v>
      </c>
      <c r="N202" s="509"/>
      <c r="O202" s="232" t="s">
        <v>107</v>
      </c>
      <c r="P202" s="213"/>
      <c r="Q202" s="528"/>
      <c r="R202" s="475" t="s">
        <v>66</v>
      </c>
      <c r="S202" s="475" t="s">
        <v>66</v>
      </c>
      <c r="T202" s="543"/>
      <c r="U202" s="232" t="s">
        <v>107</v>
      </c>
      <c r="V202" s="544" t="str">
        <f>IF(AK202="","",INDEX(TERRITORY_MR_LIST,MATCH(AK202,TERRITORY_LIST_ID,0)))</f>
        <v/>
      </c>
      <c r="W202" s="323"/>
      <c r="X202" s="475" t="s">
        <v>66</v>
      </c>
      <c r="Y202" s="475" t="s">
        <v>19</v>
      </c>
      <c r="Z202" s="509"/>
      <c r="AA202" s="232" t="s">
        <v>107</v>
      </c>
      <c r="AB202" s="552"/>
      <c r="AC202" s="553"/>
      <c r="AD202" s="475" t="s">
        <v>66</v>
      </c>
      <c r="AE202" s="475" t="s">
        <v>19</v>
      </c>
      <c r="AF202" s="323"/>
      <c r="AG202" s="232" t="s">
        <v>107</v>
      </c>
      <c r="AH202" s="365"/>
      <c r="AI202" s="215"/>
    </row>
    <row r="203" customFormat="1" ht="15" customHeight="1" spans="4:35">
      <c r="D203" s="508"/>
      <c r="E203" s="398"/>
      <c r="F203" s="398"/>
      <c r="G203" s="477"/>
      <c r="H203" s="509"/>
      <c r="I203" s="527"/>
      <c r="J203" s="215"/>
      <c r="K203" s="529"/>
      <c r="L203" s="477"/>
      <c r="M203" s="477"/>
      <c r="N203" s="509"/>
      <c r="O203" s="232"/>
      <c r="P203" s="213"/>
      <c r="Q203" s="545"/>
      <c r="R203" s="477"/>
      <c r="S203" s="477"/>
      <c r="T203" s="543"/>
      <c r="U203" s="232"/>
      <c r="V203" s="546"/>
      <c r="W203" s="328"/>
      <c r="X203" s="477"/>
      <c r="Y203" s="477"/>
      <c r="Z203" s="509"/>
      <c r="AA203" s="232"/>
      <c r="AB203" s="554"/>
      <c r="AC203" s="329"/>
      <c r="AD203" s="480"/>
      <c r="AE203" s="480"/>
      <c r="AF203" s="555"/>
      <c r="AG203" s="462"/>
      <c r="AH203" s="481" t="s">
        <v>2109</v>
      </c>
      <c r="AI203" s="493"/>
    </row>
    <row r="204" customFormat="1" ht="15" customHeight="1" spans="4:35">
      <c r="D204" s="508"/>
      <c r="E204" s="398"/>
      <c r="F204" s="398"/>
      <c r="G204" s="477"/>
      <c r="H204" s="509"/>
      <c r="I204" s="527"/>
      <c r="J204" s="215"/>
      <c r="K204" s="529"/>
      <c r="L204" s="477"/>
      <c r="M204" s="477"/>
      <c r="N204" s="509"/>
      <c r="O204" s="232"/>
      <c r="P204" s="213"/>
      <c r="Q204" s="545"/>
      <c r="R204" s="477"/>
      <c r="S204" s="477"/>
      <c r="T204" s="543"/>
      <c r="U204" s="232"/>
      <c r="V204" s="546"/>
      <c r="W204" s="328"/>
      <c r="X204" s="477"/>
      <c r="Y204" s="477"/>
      <c r="Z204" s="328"/>
      <c r="AA204" s="532"/>
      <c r="AB204" s="556" t="s">
        <v>2110</v>
      </c>
      <c r="AC204" s="556"/>
      <c r="AD204" s="556"/>
      <c r="AE204" s="556"/>
      <c r="AF204" s="556"/>
      <c r="AG204" s="556"/>
      <c r="AH204" s="556"/>
      <c r="AI204" s="558"/>
    </row>
    <row r="205" customFormat="1" ht="15" customHeight="1" spans="4:35">
      <c r="D205" s="508"/>
      <c r="E205" s="398"/>
      <c r="F205" s="398"/>
      <c r="G205" s="477"/>
      <c r="H205" s="509"/>
      <c r="I205" s="527"/>
      <c r="J205" s="215"/>
      <c r="K205" s="529"/>
      <c r="L205" s="477"/>
      <c r="M205" s="477"/>
      <c r="N205" s="509"/>
      <c r="O205" s="232"/>
      <c r="P205" s="530"/>
      <c r="Q205" s="545"/>
      <c r="R205" s="477"/>
      <c r="S205" s="477"/>
      <c r="T205" s="547"/>
      <c r="U205" s="548"/>
      <c r="V205" s="481" t="s">
        <v>101</v>
      </c>
      <c r="W205" s="481"/>
      <c r="X205" s="481"/>
      <c r="Y205" s="481"/>
      <c r="Z205" s="481"/>
      <c r="AA205" s="481"/>
      <c r="AB205" s="481"/>
      <c r="AC205" s="481"/>
      <c r="AD205" s="481"/>
      <c r="AE205" s="481"/>
      <c r="AF205" s="481"/>
      <c r="AG205" s="481"/>
      <c r="AH205" s="481"/>
      <c r="AI205" s="493"/>
    </row>
    <row r="206" customFormat="1" ht="11.25" customHeight="1" spans="4:35">
      <c r="D206" s="508"/>
      <c r="E206" s="398"/>
      <c r="F206" s="398"/>
      <c r="G206" s="477"/>
      <c r="H206" s="465"/>
      <c r="I206" s="527"/>
      <c r="J206" s="531"/>
      <c r="K206" s="529"/>
      <c r="L206" s="477"/>
      <c r="M206" s="477"/>
      <c r="N206" s="465"/>
      <c r="O206" s="532"/>
      <c r="P206" s="481" t="s">
        <v>2111</v>
      </c>
      <c r="Q206" s="481"/>
      <c r="R206" s="481"/>
      <c r="S206" s="481"/>
      <c r="T206" s="481"/>
      <c r="U206" s="481"/>
      <c r="V206" s="481"/>
      <c r="W206" s="481"/>
      <c r="X206" s="481"/>
      <c r="Y206" s="481"/>
      <c r="Z206" s="481"/>
      <c r="AA206" s="481"/>
      <c r="AB206" s="481"/>
      <c r="AC206" s="481"/>
      <c r="AD206" s="481"/>
      <c r="AE206" s="481"/>
      <c r="AF206" s="481"/>
      <c r="AG206" s="481"/>
      <c r="AH206" s="481"/>
      <c r="AI206" s="493"/>
    </row>
    <row r="207" s="210" customFormat="1" ht="11.25" customHeight="1" spans="4:63">
      <c r="D207" s="508"/>
      <c r="E207" s="398"/>
      <c r="F207" s="398"/>
      <c r="G207" s="480"/>
      <c r="H207" s="510"/>
      <c r="I207" s="533"/>
      <c r="J207" s="481" t="s">
        <v>440</v>
      </c>
      <c r="K207" s="481"/>
      <c r="L207" s="481"/>
      <c r="M207" s="481"/>
      <c r="N207" s="481"/>
      <c r="O207" s="481"/>
      <c r="P207" s="481"/>
      <c r="Q207" s="481"/>
      <c r="R207" s="481"/>
      <c r="S207" s="481"/>
      <c r="T207" s="481"/>
      <c r="U207" s="481"/>
      <c r="V207" s="481"/>
      <c r="W207" s="481"/>
      <c r="X207" s="481"/>
      <c r="Y207" s="481"/>
      <c r="Z207" s="481"/>
      <c r="AA207" s="481"/>
      <c r="AB207" s="481"/>
      <c r="AC207" s="481"/>
      <c r="AD207" s="481"/>
      <c r="AE207" s="481"/>
      <c r="AF207" s="481"/>
      <c r="AG207" s="481"/>
      <c r="AH207" s="481"/>
      <c r="AI207" s="493"/>
      <c r="BK207"/>
    </row>
    <row r="208" ht="17.25" customHeight="1" spans="7:10">
      <c r="G208" s="452"/>
      <c r="I208" s="452"/>
      <c r="J208" s="452"/>
    </row>
    <row r="209" customFormat="1" ht="15" customHeight="1" spans="4:35">
      <c r="D209" s="508"/>
      <c r="E209" s="398"/>
      <c r="F209" s="398"/>
      <c r="G209" s="393"/>
      <c r="H209" s="511"/>
      <c r="I209" s="534"/>
      <c r="J209" s="517"/>
      <c r="K209" s="517"/>
      <c r="L209" s="518"/>
      <c r="M209" s="518"/>
      <c r="N209" s="535"/>
      <c r="O209" s="518"/>
      <c r="P209" s="517"/>
      <c r="Q209" s="517"/>
      <c r="R209" s="518"/>
      <c r="S209" s="518"/>
      <c r="T209" s="549"/>
      <c r="U209" s="518"/>
      <c r="V209" s="517"/>
      <c r="W209" s="518"/>
      <c r="X209" s="518"/>
      <c r="Y209" s="518"/>
      <c r="Z209" s="535"/>
      <c r="AA209" s="518"/>
      <c r="AB209" s="517"/>
      <c r="AC209" s="557"/>
      <c r="AD209" s="518"/>
      <c r="AE209" s="518"/>
      <c r="AF209" s="518"/>
      <c r="AG209" s="518"/>
      <c r="AH209" s="535"/>
      <c r="AI209" s="539"/>
    </row>
    <row r="210" customFormat="1" ht="15" customHeight="1" spans="4:35">
      <c r="D210" s="508"/>
      <c r="E210" s="398"/>
      <c r="F210" s="398"/>
      <c r="G210" s="393"/>
      <c r="H210" s="512"/>
      <c r="I210" s="536"/>
      <c r="J210" s="521"/>
      <c r="K210" s="42"/>
      <c r="L210" s="522"/>
      <c r="M210" s="522"/>
      <c r="N210" s="40"/>
      <c r="O210" s="522"/>
      <c r="P210" s="521"/>
      <c r="Q210" s="521"/>
      <c r="R210" s="522"/>
      <c r="S210" s="522"/>
      <c r="T210" s="550"/>
      <c r="U210" s="522"/>
      <c r="V210" s="521"/>
      <c r="W210" s="522"/>
      <c r="X210" s="522"/>
      <c r="Y210" s="522"/>
      <c r="Z210" s="40"/>
      <c r="AA210" s="522"/>
      <c r="AB210" s="521"/>
      <c r="AC210" s="42"/>
      <c r="AD210" s="522"/>
      <c r="AE210" s="522"/>
      <c r="AF210" s="525"/>
      <c r="AG210" s="525"/>
      <c r="AH210" s="525"/>
      <c r="AI210" s="540"/>
    </row>
    <row r="211" customFormat="1" ht="15" customHeight="1" spans="4:35">
      <c r="D211" s="508"/>
      <c r="E211" s="398"/>
      <c r="F211" s="398"/>
      <c r="G211" s="393"/>
      <c r="H211" s="512"/>
      <c r="I211" s="536"/>
      <c r="J211" s="521"/>
      <c r="K211" s="42"/>
      <c r="L211" s="522"/>
      <c r="M211" s="522"/>
      <c r="N211" s="40"/>
      <c r="O211" s="522"/>
      <c r="P211" s="521"/>
      <c r="Q211" s="521"/>
      <c r="R211" s="522"/>
      <c r="S211" s="522"/>
      <c r="T211" s="550"/>
      <c r="U211" s="522"/>
      <c r="V211" s="521"/>
      <c r="W211" s="522"/>
      <c r="X211" s="522"/>
      <c r="Y211" s="522"/>
      <c r="Z211" s="522"/>
      <c r="AA211" s="525"/>
      <c r="AB211" s="525"/>
      <c r="AC211" s="525"/>
      <c r="AD211" s="525"/>
      <c r="AE211" s="525"/>
      <c r="AF211" s="525"/>
      <c r="AG211" s="525"/>
      <c r="AH211" s="525"/>
      <c r="AI211" s="540"/>
    </row>
    <row r="212" customFormat="1" ht="15" customHeight="1" spans="4:35">
      <c r="D212" s="508"/>
      <c r="E212" s="398"/>
      <c r="F212" s="398"/>
      <c r="G212" s="393"/>
      <c r="H212" s="512"/>
      <c r="I212" s="536"/>
      <c r="J212" s="521"/>
      <c r="K212" s="42"/>
      <c r="L212" s="522"/>
      <c r="M212" s="522"/>
      <c r="N212" s="40"/>
      <c r="O212" s="522"/>
      <c r="P212" s="521"/>
      <c r="Q212" s="521"/>
      <c r="R212" s="522"/>
      <c r="S212" s="522"/>
      <c r="T212" s="265"/>
      <c r="U212" s="551"/>
      <c r="V212" s="525"/>
      <c r="W212" s="525"/>
      <c r="X212" s="525"/>
      <c r="Y212" s="525"/>
      <c r="Z212" s="525"/>
      <c r="AA212" s="525"/>
      <c r="AB212" s="525"/>
      <c r="AC212" s="525"/>
      <c r="AD212" s="525"/>
      <c r="AE212" s="525"/>
      <c r="AF212" s="525"/>
      <c r="AG212" s="525"/>
      <c r="AH212" s="525"/>
      <c r="AI212" s="540"/>
    </row>
    <row r="213" customFormat="1" ht="11.25" customHeight="1" spans="4:35">
      <c r="D213" s="508"/>
      <c r="E213" s="398"/>
      <c r="F213" s="398"/>
      <c r="G213" s="393"/>
      <c r="H213" s="513"/>
      <c r="I213" s="536"/>
      <c r="J213" s="521"/>
      <c r="K213" s="42"/>
      <c r="L213" s="522"/>
      <c r="M213" s="522"/>
      <c r="N213" s="525"/>
      <c r="O213" s="525"/>
      <c r="P213" s="525"/>
      <c r="Q213" s="525"/>
      <c r="R213" s="525"/>
      <c r="S213" s="525"/>
      <c r="T213" s="525"/>
      <c r="U213" s="525"/>
      <c r="V213" s="525"/>
      <c r="W213" s="525"/>
      <c r="X213" s="525"/>
      <c r="Y213" s="525"/>
      <c r="Z213" s="525"/>
      <c r="AA213" s="525"/>
      <c r="AB213" s="525"/>
      <c r="AC213" s="525"/>
      <c r="AD213" s="525"/>
      <c r="AE213" s="525"/>
      <c r="AF213" s="525"/>
      <c r="AG213" s="525"/>
      <c r="AH213" s="525"/>
      <c r="AI213" s="540"/>
    </row>
    <row r="214" s="210" customFormat="1" ht="11.25" customHeight="1" spans="4:63">
      <c r="D214" s="508"/>
      <c r="E214" s="398"/>
      <c r="F214" s="398"/>
      <c r="G214" s="514"/>
      <c r="H214" s="515"/>
      <c r="I214" s="537"/>
      <c r="J214" s="526"/>
      <c r="K214" s="526"/>
      <c r="L214" s="526"/>
      <c r="M214" s="526"/>
      <c r="N214" s="526"/>
      <c r="O214" s="526"/>
      <c r="P214" s="526"/>
      <c r="Q214" s="526"/>
      <c r="R214" s="526"/>
      <c r="S214" s="526"/>
      <c r="T214" s="526"/>
      <c r="U214" s="526"/>
      <c r="V214" s="526"/>
      <c r="W214" s="526"/>
      <c r="X214" s="526"/>
      <c r="Y214" s="526"/>
      <c r="Z214" s="526"/>
      <c r="AA214" s="526"/>
      <c r="AB214" s="526"/>
      <c r="AC214" s="526"/>
      <c r="AD214" s="526"/>
      <c r="AE214" s="526"/>
      <c r="AF214" s="526"/>
      <c r="AG214" s="526"/>
      <c r="AH214" s="526"/>
      <c r="AI214" s="542"/>
      <c r="BK214"/>
    </row>
    <row r="215" ht="17.25" customHeight="1"/>
  </sheetData>
  <sheetProtection formatColumns="0" formatRows="0" insertRows="0" deleteColumns="0" deleteRows="0" sort="0" autoFilter="0"/>
  <mergeCells count="287">
    <mergeCell ref="I87:K87"/>
    <mergeCell ref="E115:G115"/>
    <mergeCell ref="H115:R115"/>
    <mergeCell ref="E116:G116"/>
    <mergeCell ref="H116:R116"/>
    <mergeCell ref="E117:G117"/>
    <mergeCell ref="H117:R117"/>
    <mergeCell ref="E118:P118"/>
    <mergeCell ref="E121:P121"/>
    <mergeCell ref="E127:G127"/>
    <mergeCell ref="H127:R127"/>
    <mergeCell ref="E128:G128"/>
    <mergeCell ref="H128:R128"/>
    <mergeCell ref="E129:G129"/>
    <mergeCell ref="H129:R129"/>
    <mergeCell ref="E130:P130"/>
    <mergeCell ref="L139:M139"/>
    <mergeCell ref="AH203:AI203"/>
    <mergeCell ref="AB204:AI204"/>
    <mergeCell ref="V205:AI205"/>
    <mergeCell ref="P206:AI206"/>
    <mergeCell ref="J207:AI207"/>
    <mergeCell ref="AH210:AI210"/>
    <mergeCell ref="AB211:AI211"/>
    <mergeCell ref="V212:AI212"/>
    <mergeCell ref="P213:AI213"/>
    <mergeCell ref="J214:AI214"/>
    <mergeCell ref="A13:A15"/>
    <mergeCell ref="A47:A51"/>
    <mergeCell ref="C47:C51"/>
    <mergeCell ref="D23:D25"/>
    <mergeCell ref="D115:D123"/>
    <mergeCell ref="D127:D135"/>
    <mergeCell ref="D154:D158"/>
    <mergeCell ref="D176:D180"/>
    <mergeCell ref="D194:D198"/>
    <mergeCell ref="D202:D207"/>
    <mergeCell ref="D209:D214"/>
    <mergeCell ref="E23:E25"/>
    <mergeCell ref="E139:E142"/>
    <mergeCell ref="E154:E158"/>
    <mergeCell ref="E176:E180"/>
    <mergeCell ref="E194:E198"/>
    <mergeCell ref="E202:E207"/>
    <mergeCell ref="E209:E214"/>
    <mergeCell ref="F23:F25"/>
    <mergeCell ref="F72:F73"/>
    <mergeCell ref="F82:F87"/>
    <mergeCell ref="F139:F142"/>
    <mergeCell ref="F154:F158"/>
    <mergeCell ref="F176:F180"/>
    <mergeCell ref="F194:F198"/>
    <mergeCell ref="F202:F207"/>
    <mergeCell ref="F209:F214"/>
    <mergeCell ref="G23:G24"/>
    <mergeCell ref="G29:G30"/>
    <mergeCell ref="G72:G73"/>
    <mergeCell ref="G82:G86"/>
    <mergeCell ref="G139:G142"/>
    <mergeCell ref="G154:G158"/>
    <mergeCell ref="G176:G180"/>
    <mergeCell ref="G194:G198"/>
    <mergeCell ref="G202:G207"/>
    <mergeCell ref="G209:G214"/>
    <mergeCell ref="H23:H24"/>
    <mergeCell ref="H29:H30"/>
    <mergeCell ref="H72:H73"/>
    <mergeCell ref="H82:H86"/>
    <mergeCell ref="H101:H105"/>
    <mergeCell ref="H140:H141"/>
    <mergeCell ref="H147:H148"/>
    <mergeCell ref="H154:H157"/>
    <mergeCell ref="H160:H163"/>
    <mergeCell ref="H176:H179"/>
    <mergeCell ref="H182:H185"/>
    <mergeCell ref="H194:H197"/>
    <mergeCell ref="I23:I24"/>
    <mergeCell ref="I29:I30"/>
    <mergeCell ref="I72:I73"/>
    <mergeCell ref="I82:I86"/>
    <mergeCell ref="I101:I105"/>
    <mergeCell ref="I140:I141"/>
    <mergeCell ref="I147:I148"/>
    <mergeCell ref="I154:I157"/>
    <mergeCell ref="I160:I163"/>
    <mergeCell ref="I176:I179"/>
    <mergeCell ref="I182:I185"/>
    <mergeCell ref="I194:I197"/>
    <mergeCell ref="I202:I206"/>
    <mergeCell ref="I209:I213"/>
    <mergeCell ref="J23:J24"/>
    <mergeCell ref="J29:J30"/>
    <mergeCell ref="J72:J73"/>
    <mergeCell ref="J82:J86"/>
    <mergeCell ref="J101:J105"/>
    <mergeCell ref="J140:J141"/>
    <mergeCell ref="J147:J148"/>
    <mergeCell ref="J154:J157"/>
    <mergeCell ref="J160:J163"/>
    <mergeCell ref="J176:J179"/>
    <mergeCell ref="J182:J185"/>
    <mergeCell ref="J194:J197"/>
    <mergeCell ref="J202:J206"/>
    <mergeCell ref="J209:J213"/>
    <mergeCell ref="K72:K73"/>
    <mergeCell ref="K82:K86"/>
    <mergeCell ref="K101:K105"/>
    <mergeCell ref="K140:K141"/>
    <mergeCell ref="K147:K148"/>
    <mergeCell ref="K154:K157"/>
    <mergeCell ref="K160:K163"/>
    <mergeCell ref="K176:K179"/>
    <mergeCell ref="K182:K185"/>
    <mergeCell ref="K194:K197"/>
    <mergeCell ref="L72:L73"/>
    <mergeCell ref="L82:L86"/>
    <mergeCell ref="L101:L105"/>
    <mergeCell ref="L154:L156"/>
    <mergeCell ref="L160:L162"/>
    <mergeCell ref="L165:L167"/>
    <mergeCell ref="L176:L178"/>
    <mergeCell ref="L182:L184"/>
    <mergeCell ref="L187:L189"/>
    <mergeCell ref="L194:L196"/>
    <mergeCell ref="L202:L206"/>
    <mergeCell ref="L209:L213"/>
    <mergeCell ref="M72:M73"/>
    <mergeCell ref="M82:M86"/>
    <mergeCell ref="M101:M105"/>
    <mergeCell ref="M154:M156"/>
    <mergeCell ref="M160:M162"/>
    <mergeCell ref="M165:M167"/>
    <mergeCell ref="M176:M178"/>
    <mergeCell ref="M182:M184"/>
    <mergeCell ref="M187:M189"/>
    <mergeCell ref="M194:M196"/>
    <mergeCell ref="M202:M206"/>
    <mergeCell ref="M209:M213"/>
    <mergeCell ref="N72:N73"/>
    <mergeCell ref="N83:N85"/>
    <mergeCell ref="N91:N93"/>
    <mergeCell ref="N102:N104"/>
    <mergeCell ref="N154:N156"/>
    <mergeCell ref="N160:N162"/>
    <mergeCell ref="N165:N167"/>
    <mergeCell ref="N176:N178"/>
    <mergeCell ref="N182:N184"/>
    <mergeCell ref="N187:N189"/>
    <mergeCell ref="N194:N196"/>
    <mergeCell ref="O72:O73"/>
    <mergeCell ref="O83:O85"/>
    <mergeCell ref="O91:O93"/>
    <mergeCell ref="O102:O104"/>
    <mergeCell ref="O154:O156"/>
    <mergeCell ref="O160:O162"/>
    <mergeCell ref="O165:O167"/>
    <mergeCell ref="O176:O178"/>
    <mergeCell ref="O182:O184"/>
    <mergeCell ref="O187:O189"/>
    <mergeCell ref="O194:O196"/>
    <mergeCell ref="O202:O205"/>
    <mergeCell ref="O209:O212"/>
    <mergeCell ref="P72:P73"/>
    <mergeCell ref="P83:P85"/>
    <mergeCell ref="P91:P93"/>
    <mergeCell ref="P102:P104"/>
    <mergeCell ref="P154:P155"/>
    <mergeCell ref="P160:P161"/>
    <mergeCell ref="P165:P166"/>
    <mergeCell ref="P169:P170"/>
    <mergeCell ref="P176:P177"/>
    <mergeCell ref="P182:P183"/>
    <mergeCell ref="P187:P188"/>
    <mergeCell ref="P191:P192"/>
    <mergeCell ref="P194:P195"/>
    <mergeCell ref="P202:P205"/>
    <mergeCell ref="P209:P212"/>
    <mergeCell ref="Q72:Q73"/>
    <mergeCell ref="Q83:Q85"/>
    <mergeCell ref="Q91:Q93"/>
    <mergeCell ref="Q102:Q104"/>
    <mergeCell ref="Q154:Q155"/>
    <mergeCell ref="Q160:Q161"/>
    <mergeCell ref="Q165:Q166"/>
    <mergeCell ref="Q169:Q170"/>
    <mergeCell ref="Q176:Q177"/>
    <mergeCell ref="Q182:Q183"/>
    <mergeCell ref="Q187:Q188"/>
    <mergeCell ref="Q191:Q192"/>
    <mergeCell ref="Q194:Q195"/>
    <mergeCell ref="R72:R73"/>
    <mergeCell ref="R83:R85"/>
    <mergeCell ref="R91:R93"/>
    <mergeCell ref="R102:R104"/>
    <mergeCell ref="R154:R155"/>
    <mergeCell ref="R160:R161"/>
    <mergeCell ref="R165:R166"/>
    <mergeCell ref="R169:R170"/>
    <mergeCell ref="R176:R177"/>
    <mergeCell ref="R182:R183"/>
    <mergeCell ref="R187:R188"/>
    <mergeCell ref="R191:R192"/>
    <mergeCell ref="R194:R195"/>
    <mergeCell ref="R202:R205"/>
    <mergeCell ref="R209:R212"/>
    <mergeCell ref="S72:S73"/>
    <mergeCell ref="S83:S85"/>
    <mergeCell ref="S91:S93"/>
    <mergeCell ref="S102:S104"/>
    <mergeCell ref="S139:S142"/>
    <mergeCell ref="S154:S155"/>
    <mergeCell ref="S160:S161"/>
    <mergeCell ref="S165:S166"/>
    <mergeCell ref="S169:S170"/>
    <mergeCell ref="S176:S177"/>
    <mergeCell ref="S182:S183"/>
    <mergeCell ref="S187:S188"/>
    <mergeCell ref="S191:S192"/>
    <mergeCell ref="S194:S195"/>
    <mergeCell ref="S202:S205"/>
    <mergeCell ref="S209:S212"/>
    <mergeCell ref="T72:T73"/>
    <mergeCell ref="T83:T85"/>
    <mergeCell ref="T91:T93"/>
    <mergeCell ref="T102:T104"/>
    <mergeCell ref="U72:U73"/>
    <mergeCell ref="U83:U85"/>
    <mergeCell ref="U91:U93"/>
    <mergeCell ref="U102:U104"/>
    <mergeCell ref="U118:U120"/>
    <mergeCell ref="U121:U123"/>
    <mergeCell ref="U130:U132"/>
    <mergeCell ref="U133:U135"/>
    <mergeCell ref="U202:U204"/>
    <mergeCell ref="U209:U211"/>
    <mergeCell ref="V72:V73"/>
    <mergeCell ref="V83:V85"/>
    <mergeCell ref="V91:V93"/>
    <mergeCell ref="V102:V104"/>
    <mergeCell ref="V118:V120"/>
    <mergeCell ref="V121:V123"/>
    <mergeCell ref="V130:V132"/>
    <mergeCell ref="V133:V135"/>
    <mergeCell ref="V202:V204"/>
    <mergeCell ref="V209:V211"/>
    <mergeCell ref="W72:W73"/>
    <mergeCell ref="W83:W85"/>
    <mergeCell ref="W91:W93"/>
    <mergeCell ref="W102:W104"/>
    <mergeCell ref="W176:W177"/>
    <mergeCell ref="W182:W183"/>
    <mergeCell ref="W187:W188"/>
    <mergeCell ref="W191:W192"/>
    <mergeCell ref="X72:X73"/>
    <mergeCell ref="X83:X85"/>
    <mergeCell ref="X91:X93"/>
    <mergeCell ref="X102:X104"/>
    <mergeCell ref="X202:X204"/>
    <mergeCell ref="X209:X211"/>
    <mergeCell ref="Y72:Y73"/>
    <mergeCell ref="Y83:Y85"/>
    <mergeCell ref="Y91:Y93"/>
    <mergeCell ref="Y102:Y104"/>
    <mergeCell ref="Y202:Y204"/>
    <mergeCell ref="Y209:Y211"/>
    <mergeCell ref="AA202:AA203"/>
    <mergeCell ref="AA209:AA210"/>
    <mergeCell ref="AB202:AB203"/>
    <mergeCell ref="AB209:AB210"/>
    <mergeCell ref="AC115:AC120"/>
    <mergeCell ref="AC127:AC132"/>
    <mergeCell ref="AD202:AD203"/>
    <mergeCell ref="AD209:AD210"/>
    <mergeCell ref="AE202:AE203"/>
    <mergeCell ref="AE209:AE210"/>
    <mergeCell ref="AF82:AF86"/>
    <mergeCell ref="AF101:AF105"/>
    <mergeCell ref="AG82:AG86"/>
    <mergeCell ref="AG101:AG105"/>
    <mergeCell ref="AH82:AH86"/>
    <mergeCell ref="AH101:AH105"/>
    <mergeCell ref="AI82:AI86"/>
    <mergeCell ref="AI101:AI105"/>
    <mergeCell ref="AJ82:AJ86"/>
    <mergeCell ref="AJ101:AJ105"/>
    <mergeCell ref="AK82:AK86"/>
    <mergeCell ref="AK101:AK105"/>
  </mergeCells>
  <dataValidations count="20">
    <dataValidation type="textLength" operator="lessThanOrEqual" allowBlank="1" showInputMessage="1" showErrorMessage="1" errorTitle="Ошибка" error="Допускается ввод не более 900 символов!" sqref="E4 E8 G13 M34 E39 E43:F43 F48 E60 E64:F64 E68 G68 L72:M72 Q72:S72 U72:W72 AB72 L77:M77 Q77:S77 U77:W77 AB77 M82 K97 M101 I110 V154:W154 V160:W160 V165:W165 V169:W169 J172 R172 V172:W172 V176:W176 V182:W182 V187:W187 V191:W191 V194:W194 AI202 AI209 F50:F51 J154:J155 J160:J161 J165:J166 J169:J170 J176:J177 J182:J183 J187:J188 J191:J192 J194:J195 J202:J206 J209:J213 K82:K85 K91:K93 K101:K104 P202:P205 P209:P212 R154:R155 R160:R161 R165:R166 R169:R170 R176:R177 R182:R183 R187:R188 R191:R192 R194:R195">
      <formula1>900</formula1>
    </dataValidation>
    <dataValidation type="textLength" operator="lessThan" allowBlank="1" showInputMessage="1" showErrorMessage="1" error="Допускается ввод не более 900 символов!" sqref="M23 M29">
      <formula1>900</formula1>
    </dataValidation>
    <dataValidation type="list" allowBlank="1" showInputMessage="1" showErrorMessage="1" sqref="I34">
      <formula1>DESCRIPTION_TERRITORY</formula1>
    </dataValidation>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K72 K77 I97:J97 I82:J85 I101:J104" showDropDown="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49 G64 I72:J72 T72 X72 I77:J77 T77 X77"/>
    <dataValidation allowBlank="1" showInputMessage="1" showErrorMessage="1" prompt="Изменение значения по двойному щелчоку левой кнопки мыши" sqref="J5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56 H64 F68">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decimal" operator="between" allowBlank="1" showErrorMessage="1" errorTitle="Ошибка" error="Допускается ввод только неотрицательных чисел!" sqref="H60:I60 K60 M60 O60 Q60 T60 X60 AB60 AC84 AE84 AC92 AE92 AC97 AE97 AC103 AE103 O140 Q140 O147 Q147 O150 Q150">
      <formula1>0</formula1>
      <formula2>9.99999999999999E+23</formula2>
    </dataValidation>
    <dataValidation type="whole" operator="between" allowBlank="1" showErrorMessage="1" errorTitle="Ошибка" error="Допускается ввод только неотрицательных целых чисел!" sqref="J60 N60 P60 R60:S60 U60:V60 Y60:Z60 AC60 AF97 AI97 AF82:AF86 AF91:AF93 AF101:AF105 AI82:AI86 AI91:AI93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decimal" operator="between" allowBlank="1" showErrorMessage="1" errorTitle="Ошибка" error="Допускается ввод только действительных чисел!" sqref="O110:AB110 BT110:CK110 CY110:DJ110">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J150 J140:J141 J147:J148">
      <formula1>kind_of_purchase_method</formula1>
    </dataValidation>
    <dataValidation allowBlank="1" showInputMessage="1" showErrorMessage="1" prompt="Для выбора выполните двойной щелчок левой клавиши мыши по соответствующей ячейке." sqref="K154 O154 K160 O160 K165 O165 K169 O169 F172 K176 O176 K182 O182 O187 O191 F154:F158 F160:F163 F165:F167 F169:F170 F176:F180 F182:F185 F187:F189 F191:F192 K194:K195 O194:O195 S154:S155 S160:S161 S165:S166 S169:S170 S176:S177 S182:S183 S187:S188 S191:S192 S194:S195"/>
    <dataValidation allowBlank="1" showInputMessage="1" showErrorMessage="1" prompt="Выберите виды деятельности, выполнив двойной щелчок левой кнопки мыши по ячейке." sqref="G172 G154:G158 G160:G163 G165:G167 G169:G170 G176:G180 G182:G185 G187:G189 G191:G192"/>
    <dataValidation type="list" allowBlank="1" showInputMessage="1" errorTitle="Ошибка" error="Выберите значение из списка" prompt="Выберите значение из списка или укажите свой вид твердых коммунальных отходов" sqref="AC202 AC209" errorStyle="warning">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60:N162 N165:N167 N169:N170 N176:N178 N182:N184 N187:N189 N191:N19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s>
  <pageMargins left="0.75" right="0.75" top="1" bottom="1" header="0.5" footer="0.5"/>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H34"/>
  <sheetViews>
    <sheetView showGridLines="0" workbookViewId="0">
      <selection activeCell="A1" sqref="A1"/>
    </sheetView>
  </sheetViews>
  <sheetFormatPr defaultColWidth="43.1428571428571" defaultRowHeight="9" customHeight="1" outlineLevelCol="7"/>
  <cols>
    <col min="1" max="1" width="43.1428571428571" style="154"/>
    <col min="2" max="2" width="43.1428571428571" style="154" hidden="1"/>
    <col min="3" max="3" width="43.1428571428571" style="154"/>
    <col min="4" max="5" width="36.4190476190476" style="154" customWidth="1"/>
    <col min="6" max="8" width="36.4190476190476" style="197" customWidth="1"/>
  </cols>
  <sheetData>
    <row r="1" customHeight="1" spans="1:8">
      <c r="A1" s="159" t="s">
        <v>2112</v>
      </c>
      <c r="B1" s="159"/>
      <c r="C1" s="198" t="s">
        <v>2113</v>
      </c>
      <c r="D1" s="199" t="s">
        <v>820</v>
      </c>
      <c r="E1" s="199" t="s">
        <v>866</v>
      </c>
      <c r="F1" s="199" t="s">
        <v>919</v>
      </c>
      <c r="G1" s="199" t="s">
        <v>906</v>
      </c>
      <c r="H1" s="199" t="s">
        <v>1805</v>
      </c>
    </row>
    <row r="2" customHeight="1" spans="1:8">
      <c r="A2" s="200" t="s">
        <v>2114</v>
      </c>
      <c r="B2" s="200"/>
      <c r="C2" s="201" t="str">
        <f>INDEX(TEMPLATE_NUMBER_FORM_LIST,MATCH(TEMPLATE_SPHERE,TEMPLATE_SPHERE_LIST,0))</f>
        <v>16</v>
      </c>
      <c r="D2" s="200" t="s">
        <v>1102</v>
      </c>
      <c r="E2" s="200" t="s">
        <v>147</v>
      </c>
      <c r="F2" s="202" t="s">
        <v>147</v>
      </c>
      <c r="G2" s="200" t="s">
        <v>147</v>
      </c>
      <c r="H2" s="203"/>
    </row>
    <row r="3" ht="63" customHeight="1" spans="1:8">
      <c r="A3" s="159"/>
      <c r="B3" s="159" t="s">
        <v>107</v>
      </c>
      <c r="C3" s="20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201" t="s">
        <v>2115</v>
      </c>
      <c r="E3" s="20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202"/>
      <c r="G3" s="203"/>
      <c r="H3" s="159"/>
    </row>
    <row r="4" ht="243" customHeight="1" spans="1:8">
      <c r="A4" s="159" t="s">
        <v>2116</v>
      </c>
      <c r="B4" s="159" t="s">
        <v>108</v>
      </c>
      <c r="C4" s="20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200" t="s">
        <v>2117</v>
      </c>
      <c r="E4" s="20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200"/>
      <c r="G4" s="200"/>
      <c r="H4" s="159" t="s">
        <v>2118</v>
      </c>
    </row>
    <row r="5" ht="117" customHeight="1" spans="1:8">
      <c r="A5" s="159" t="s">
        <v>2119</v>
      </c>
      <c r="B5" s="159" t="s">
        <v>91</v>
      </c>
      <c r="C5" s="20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59" t="s">
        <v>2120</v>
      </c>
      <c r="E5" s="1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203"/>
      <c r="G5" s="203"/>
      <c r="H5" s="159" t="s">
        <v>2121</v>
      </c>
    </row>
    <row r="6" ht="90" customHeight="1" spans="1:8">
      <c r="A6" s="159" t="s">
        <v>2122</v>
      </c>
      <c r="B6" s="159" t="s">
        <v>92</v>
      </c>
      <c r="C6" s="20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59"/>
      <c r="G6" s="159"/>
      <c r="H6" s="203"/>
    </row>
    <row r="7" ht="45" customHeight="1" spans="1:8">
      <c r="A7" s="159" t="s">
        <v>2123</v>
      </c>
      <c r="B7" s="159" t="s">
        <v>109</v>
      </c>
      <c r="C7" s="201" t="str">
        <f>IF(TEMPLATE_SPHERE="HEAT",D7,E7)</f>
        <v>Форма 11. Информация о расходах на капитальный и текущий ремонт основных средств</v>
      </c>
      <c r="D7" s="159" t="s">
        <v>2124</v>
      </c>
      <c r="E7" s="159" t="s">
        <v>2125</v>
      </c>
      <c r="F7" s="203"/>
      <c r="G7" s="203"/>
      <c r="H7" s="203"/>
    </row>
    <row r="8" ht="108" customHeight="1" spans="1:8">
      <c r="A8" s="159" t="s">
        <v>2126</v>
      </c>
      <c r="B8" s="159" t="s">
        <v>93</v>
      </c>
      <c r="C8" s="20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59" t="s">
        <v>1363</v>
      </c>
      <c r="E8" s="159" t="s">
        <v>2127</v>
      </c>
      <c r="F8" s="203"/>
      <c r="G8" s="203"/>
      <c r="H8" s="203"/>
    </row>
    <row r="9" ht="99" customHeight="1" spans="1:8">
      <c r="A9" s="159" t="s">
        <v>2128</v>
      </c>
      <c r="B9" s="159"/>
      <c r="C9" s="159" t="s">
        <v>2129</v>
      </c>
      <c r="D9" s="159"/>
      <c r="E9" s="159"/>
      <c r="F9" s="203"/>
      <c r="G9" s="203"/>
      <c r="H9" s="203"/>
    </row>
    <row r="10" ht="126" customHeight="1" spans="1:8">
      <c r="A10" s="159" t="s">
        <v>2130</v>
      </c>
      <c r="B10" s="159"/>
      <c r="C10" s="159" t="s">
        <v>2131</v>
      </c>
      <c r="D10" s="159"/>
      <c r="E10" s="159"/>
      <c r="F10" s="203"/>
      <c r="G10" s="203"/>
      <c r="H10" s="203"/>
    </row>
    <row r="11" ht="108" customHeight="1" spans="1:8">
      <c r="A11" s="159" t="s">
        <v>2132</v>
      </c>
      <c r="B11" s="159"/>
      <c r="C11" s="159" t="s">
        <v>2133</v>
      </c>
      <c r="D11" s="159"/>
      <c r="E11" s="159"/>
      <c r="F11" s="203"/>
      <c r="G11" s="203"/>
      <c r="H11" s="203"/>
    </row>
    <row r="12" ht="54" customHeight="1" spans="1:8">
      <c r="A12" s="159" t="s">
        <v>2134</v>
      </c>
      <c r="B12" s="159"/>
      <c r="C12" s="159" t="s">
        <v>2135</v>
      </c>
      <c r="D12" s="159"/>
      <c r="E12" s="159"/>
      <c r="F12" s="203"/>
      <c r="G12" s="203"/>
      <c r="H12" s="203"/>
    </row>
    <row r="13" ht="45" customHeight="1" spans="1:8">
      <c r="A13" s="159" t="s">
        <v>2136</v>
      </c>
      <c r="B13" s="159"/>
      <c r="C13" s="159" t="s">
        <v>2137</v>
      </c>
      <c r="D13" s="159"/>
      <c r="E13" s="159"/>
      <c r="F13" s="203"/>
      <c r="G13" s="203"/>
      <c r="H13" s="203"/>
    </row>
    <row r="14" ht="117" customHeight="1" spans="1:8">
      <c r="A14" s="159" t="s">
        <v>2138</v>
      </c>
      <c r="B14" s="159"/>
      <c r="C14" s="159" t="s">
        <v>2139</v>
      </c>
      <c r="D14" s="159"/>
      <c r="E14" s="159"/>
      <c r="F14" s="203"/>
      <c r="G14" s="203"/>
      <c r="H14" s="203"/>
    </row>
    <row r="15" ht="117" customHeight="1" spans="1:8">
      <c r="A15" s="159" t="s">
        <v>2140</v>
      </c>
      <c r="B15" s="159"/>
      <c r="C15" s="159" t="s">
        <v>2141</v>
      </c>
      <c r="D15" s="159"/>
      <c r="E15" s="159"/>
      <c r="F15" s="203"/>
      <c r="G15" s="203"/>
      <c r="H15" s="203"/>
    </row>
    <row r="16" ht="63" customHeight="1" spans="1:8">
      <c r="A16" s="159" t="s">
        <v>2142</v>
      </c>
      <c r="B16" s="159"/>
      <c r="C16" s="159" t="s">
        <v>2143</v>
      </c>
      <c r="D16" s="159"/>
      <c r="E16" s="159"/>
      <c r="F16" s="203"/>
      <c r="G16" s="203"/>
      <c r="H16" s="203"/>
    </row>
    <row r="17" ht="54" customHeight="1" spans="1:8">
      <c r="A17" s="159" t="s">
        <v>2144</v>
      </c>
      <c r="B17" s="159"/>
      <c r="C17" s="201" t="s">
        <v>2145</v>
      </c>
      <c r="D17" s="159"/>
      <c r="E17" s="159"/>
      <c r="F17" s="203"/>
      <c r="G17" s="203"/>
      <c r="H17" s="203"/>
    </row>
    <row r="18" ht="27" customHeight="1" spans="1:8">
      <c r="A18" s="159" t="s">
        <v>2146</v>
      </c>
      <c r="B18" s="159"/>
      <c r="C18" s="201" t="s">
        <v>2147</v>
      </c>
      <c r="D18" s="159"/>
      <c r="E18" s="159"/>
      <c r="F18" s="203"/>
      <c r="G18" s="203"/>
      <c r="H18" s="203"/>
    </row>
    <row r="19" ht="54" customHeight="1" spans="1:8">
      <c r="A19" s="159" t="s">
        <v>2148</v>
      </c>
      <c r="B19" s="159"/>
      <c r="C19" s="201" t="s">
        <v>2149</v>
      </c>
      <c r="D19" s="159"/>
      <c r="E19" s="159"/>
      <c r="F19" s="203"/>
      <c r="G19" s="203"/>
      <c r="H19" s="203"/>
    </row>
    <row r="20" ht="36" customHeight="1" spans="1:8">
      <c r="A20" s="159" t="s">
        <v>2150</v>
      </c>
      <c r="B20" s="159"/>
      <c r="C20" s="201" t="s">
        <v>2151</v>
      </c>
      <c r="D20" s="159"/>
      <c r="E20" s="159"/>
      <c r="F20" s="203"/>
      <c r="G20" s="203"/>
      <c r="H20" s="203"/>
    </row>
    <row r="21" ht="36" customHeight="1" spans="1:8">
      <c r="A21" s="159" t="s">
        <v>2152</v>
      </c>
      <c r="B21" s="159"/>
      <c r="C21" s="201" t="s">
        <v>2153</v>
      </c>
      <c r="D21" s="159"/>
      <c r="E21" s="159"/>
      <c r="F21" s="203"/>
      <c r="G21" s="203"/>
      <c r="H21" s="203"/>
    </row>
    <row r="22" ht="27" customHeight="1" spans="1:8">
      <c r="A22" s="159" t="s">
        <v>2154</v>
      </c>
      <c r="B22" s="159"/>
      <c r="C22" s="201" t="s">
        <v>2155</v>
      </c>
      <c r="D22" s="159"/>
      <c r="E22" s="159"/>
      <c r="F22" s="203"/>
      <c r="G22" s="203"/>
      <c r="H22" s="203"/>
    </row>
    <row r="23" ht="36" customHeight="1" spans="1:8">
      <c r="A23" s="159" t="s">
        <v>2156</v>
      </c>
      <c r="B23" s="159"/>
      <c r="C23" s="201" t="s">
        <v>2157</v>
      </c>
      <c r="D23" s="159"/>
      <c r="E23" s="159"/>
      <c r="F23" s="203"/>
      <c r="G23" s="203"/>
      <c r="H23" s="203"/>
    </row>
    <row r="24" ht="28.5" customHeight="1" spans="1:8">
      <c r="A24" s="159" t="s">
        <v>2158</v>
      </c>
      <c r="B24" s="159"/>
      <c r="C24" s="201" t="s">
        <v>2159</v>
      </c>
      <c r="D24" s="159"/>
      <c r="E24" s="159"/>
      <c r="F24" s="203"/>
      <c r="G24" s="203"/>
      <c r="H24" s="203"/>
    </row>
    <row r="25" ht="36" customHeight="1" spans="1:8">
      <c r="A25" s="159" t="s">
        <v>2160</v>
      </c>
      <c r="B25" s="159"/>
      <c r="C25" s="201" t="s">
        <v>2161</v>
      </c>
      <c r="D25" s="159"/>
      <c r="E25" s="159"/>
      <c r="F25" s="203"/>
      <c r="G25" s="203"/>
      <c r="H25" s="203"/>
    </row>
    <row r="26" ht="27" customHeight="1" spans="1:8">
      <c r="A26" s="159" t="s">
        <v>2162</v>
      </c>
      <c r="B26" s="159"/>
      <c r="C26" s="201" t="s">
        <v>2163</v>
      </c>
      <c r="D26" s="159"/>
      <c r="E26" s="159"/>
      <c r="F26" s="203"/>
      <c r="G26" s="203"/>
      <c r="H26" s="203"/>
    </row>
    <row r="27" ht="36" customHeight="1" spans="1:8">
      <c r="A27" s="159" t="s">
        <v>2164</v>
      </c>
      <c r="B27" s="159"/>
      <c r="C27" s="201" t="s">
        <v>2165</v>
      </c>
      <c r="D27" s="159"/>
      <c r="E27" s="159"/>
      <c r="F27" s="203"/>
      <c r="G27" s="203"/>
      <c r="H27" s="203"/>
    </row>
    <row r="28" ht="28.5" customHeight="1" spans="1:8">
      <c r="A28" s="159" t="s">
        <v>2166</v>
      </c>
      <c r="B28" s="159"/>
      <c r="C28" s="201" t="s">
        <v>2167</v>
      </c>
      <c r="D28" s="159"/>
      <c r="E28" s="159"/>
      <c r="F28" s="203"/>
      <c r="G28" s="203"/>
      <c r="H28" s="203"/>
    </row>
    <row r="29" ht="126" customHeight="1" spans="1:8">
      <c r="A29" s="159" t="s">
        <v>2168</v>
      </c>
      <c r="B29" s="159" t="s">
        <v>1143</v>
      </c>
      <c r="C29" s="20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59" t="s">
        <v>2169</v>
      </c>
      <c r="E29" s="1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203"/>
      <c r="G29" s="203"/>
      <c r="H29" s="159" t="s">
        <v>2170</v>
      </c>
    </row>
    <row r="30" ht="36" customHeight="1" spans="1:8">
      <c r="A30" s="159" t="s">
        <v>2171</v>
      </c>
      <c r="B30" s="159"/>
      <c r="C30" s="20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59" t="s">
        <v>2172</v>
      </c>
      <c r="E30" s="1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203"/>
      <c r="G30" s="203"/>
      <c r="H30" s="203"/>
    </row>
    <row r="31" ht="54" customHeight="1" spans="1:8">
      <c r="A31" s="159" t="s">
        <v>2173</v>
      </c>
      <c r="B31" s="159"/>
      <c r="C31" s="20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59" t="s">
        <v>2174</v>
      </c>
      <c r="E31" s="1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203"/>
      <c r="G31" s="203"/>
      <c r="H31" s="203"/>
    </row>
    <row r="32" ht="198" customHeight="1" spans="1:8">
      <c r="A32" s="159" t="s">
        <v>2175</v>
      </c>
      <c r="B32" s="159"/>
      <c r="C32" s="20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59" t="s">
        <v>2176</v>
      </c>
      <c r="E32" s="1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203"/>
      <c r="G32" s="203"/>
      <c r="H32" s="159" t="s">
        <v>2177</v>
      </c>
    </row>
    <row r="33" customHeight="1" spans="1:8">
      <c r="A33" s="159"/>
      <c r="B33" s="159"/>
      <c r="C33" s="201"/>
      <c r="D33" s="159"/>
      <c r="E33" s="159"/>
      <c r="F33" s="203"/>
      <c r="G33" s="203"/>
      <c r="H33" s="203"/>
    </row>
    <row r="34" customHeight="1" spans="1:8">
      <c r="A34" s="159"/>
      <c r="B34" s="159" t="s">
        <v>1117</v>
      </c>
      <c r="C34" s="201">
        <f>INDEX(TEMPLATE_NAME_FORM_LIST,B34,MATCH(TEMPLATE_SPHERE,TEMPLATE_SPHERE_LIST,0))</f>
        <v>0</v>
      </c>
      <c r="D34" s="159"/>
      <c r="E34" s="159"/>
      <c r="F34" s="203"/>
      <c r="G34" s="203"/>
      <c r="H34" s="203"/>
    </row>
  </sheetData>
  <sheetProtection insertRows="0" deleteColumns="0" deleteRows="0" sort="0" autoFilter="0"/>
  <pageMargins left="0.7" right="0.7" top="0.75" bottom="0.75" header="0.3" footer="0.3"/>
  <pageSetup paperSize="9"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AH154"/>
  <sheetViews>
    <sheetView showGridLines="0" workbookViewId="0">
      <selection activeCell="A1" sqref="A1"/>
    </sheetView>
  </sheetViews>
  <sheetFormatPr defaultColWidth="9.14285714285714" defaultRowHeight="9" customHeight="1"/>
  <cols>
    <col min="1" max="2" width="9.14285714285714" style="154"/>
    <col min="3" max="7" width="8" style="155" customWidth="1"/>
    <col min="8" max="12" width="8.57142857142857" style="155" customWidth="1"/>
    <col min="13" max="14" width="27.7142857142857" style="155" customWidth="1"/>
    <col min="15" max="19" width="5.14285714285714" style="155" customWidth="1"/>
    <col min="20" max="24" width="27.7142857142857" style="155" customWidth="1"/>
    <col min="25" max="25" width="1.84761904761905" style="156" customWidth="1"/>
    <col min="26" max="26" width="27.7142857142857" style="154" customWidth="1"/>
    <col min="27" max="27" width="27.7142857142857" style="157" customWidth="1"/>
    <col min="28" max="29" width="27.7142857142857" style="154" customWidth="1"/>
    <col min="30" max="30" width="3.84761904761905" style="154" customWidth="1"/>
    <col min="31" max="34" width="9.14285714285714" style="154"/>
  </cols>
  <sheetData>
    <row r="1" s="153" customFormat="1" ht="18" customHeight="1" spans="1:30">
      <c r="A1" s="158"/>
      <c r="B1" s="158"/>
      <c r="C1" s="158" t="s">
        <v>2178</v>
      </c>
      <c r="D1" s="158"/>
      <c r="E1" s="158"/>
      <c r="F1" s="158"/>
      <c r="G1" s="158"/>
      <c r="H1" s="158" t="s">
        <v>2179</v>
      </c>
      <c r="I1" s="158"/>
      <c r="J1" s="158"/>
      <c r="K1" s="158"/>
      <c r="L1" s="158"/>
      <c r="M1" s="158" t="s">
        <v>2180</v>
      </c>
      <c r="N1" s="158" t="s">
        <v>2181</v>
      </c>
      <c r="O1" s="158" t="s">
        <v>2182</v>
      </c>
      <c r="P1" s="158"/>
      <c r="Q1" s="158"/>
      <c r="R1" s="158"/>
      <c r="S1" s="158"/>
      <c r="T1" s="158" t="s">
        <v>2180</v>
      </c>
      <c r="U1" s="158"/>
      <c r="V1" s="158"/>
      <c r="W1" s="158"/>
      <c r="X1" s="158"/>
      <c r="Y1" s="188"/>
      <c r="Z1" s="158" t="s">
        <v>2183</v>
      </c>
      <c r="AA1" s="158"/>
      <c r="AB1" s="158"/>
      <c r="AC1" s="158"/>
      <c r="AD1" s="158"/>
    </row>
    <row r="2" ht="18" customHeight="1" spans="1:30">
      <c r="A2" s="159"/>
      <c r="B2" s="159"/>
      <c r="C2" s="160" t="s">
        <v>820</v>
      </c>
      <c r="D2" s="160" t="s">
        <v>866</v>
      </c>
      <c r="E2" s="160" t="s">
        <v>919</v>
      </c>
      <c r="F2" s="160" t="s">
        <v>906</v>
      </c>
      <c r="G2" s="160" t="s">
        <v>1805</v>
      </c>
      <c r="H2" s="161"/>
      <c r="I2" s="161"/>
      <c r="J2" s="161"/>
      <c r="K2" s="161"/>
      <c r="L2" s="161"/>
      <c r="M2" s="161"/>
      <c r="N2" s="161"/>
      <c r="O2" s="160" t="s">
        <v>820</v>
      </c>
      <c r="P2" s="160" t="s">
        <v>866</v>
      </c>
      <c r="Q2" s="160" t="s">
        <v>906</v>
      </c>
      <c r="R2" s="160" t="s">
        <v>919</v>
      </c>
      <c r="S2" s="160" t="s">
        <v>1805</v>
      </c>
      <c r="T2" s="160" t="s">
        <v>820</v>
      </c>
      <c r="U2" s="160" t="s">
        <v>866</v>
      </c>
      <c r="V2" s="160" t="s">
        <v>906</v>
      </c>
      <c r="W2" s="160" t="s">
        <v>919</v>
      </c>
      <c r="X2" s="160" t="s">
        <v>1805</v>
      </c>
      <c r="Y2" s="160"/>
      <c r="Z2" s="160" t="s">
        <v>820</v>
      </c>
      <c r="AA2" s="189" t="s">
        <v>866</v>
      </c>
      <c r="AB2" s="160" t="s">
        <v>906</v>
      </c>
      <c r="AC2" s="160" t="s">
        <v>919</v>
      </c>
      <c r="AD2" s="160" t="s">
        <v>1805</v>
      </c>
    </row>
    <row r="3" ht="162" customHeight="1" spans="1:34">
      <c r="A3" s="162" t="s">
        <v>27</v>
      </c>
      <c r="B3" s="162"/>
      <c r="C3" s="163" t="s">
        <v>2184</v>
      </c>
      <c r="D3" s="164"/>
      <c r="E3" s="164"/>
      <c r="F3" s="165"/>
      <c r="G3" s="161"/>
      <c r="H3" s="161"/>
      <c r="I3" s="161"/>
      <c r="J3" s="161"/>
      <c r="K3" s="161"/>
      <c r="L3" s="161"/>
      <c r="M3" s="161"/>
      <c r="N3" s="17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61"/>
      <c r="P3" s="161"/>
      <c r="Q3" s="161"/>
      <c r="R3" s="161"/>
      <c r="S3" s="161"/>
      <c r="T3" s="161"/>
      <c r="U3" s="161"/>
      <c r="V3" s="161"/>
      <c r="W3" s="161"/>
      <c r="X3" s="161"/>
      <c r="Y3" s="190"/>
      <c r="Z3" s="159" t="s">
        <v>2185</v>
      </c>
      <c r="AA3" s="161" t="s">
        <v>2186</v>
      </c>
      <c r="AB3" s="159" t="s">
        <v>2187</v>
      </c>
      <c r="AC3" s="159" t="s">
        <v>2188</v>
      </c>
      <c r="AD3" s="159"/>
      <c r="AG3" s="159"/>
      <c r="AH3" s="159"/>
    </row>
    <row r="4" customHeight="1" spans="1:30">
      <c r="A4" s="162"/>
      <c r="B4" s="162"/>
      <c r="C4" s="161"/>
      <c r="D4" s="161"/>
      <c r="E4" s="161"/>
      <c r="F4" s="161"/>
      <c r="G4" s="161"/>
      <c r="H4" s="161"/>
      <c r="I4" s="161"/>
      <c r="J4" s="161"/>
      <c r="K4" s="161"/>
      <c r="L4" s="161"/>
      <c r="M4" s="161"/>
      <c r="N4" s="161"/>
      <c r="O4" s="161"/>
      <c r="P4" s="161"/>
      <c r="Q4" s="161"/>
      <c r="R4" s="161"/>
      <c r="S4" s="161"/>
      <c r="T4" s="161"/>
      <c r="U4" s="161"/>
      <c r="V4" s="161"/>
      <c r="W4" s="161"/>
      <c r="X4" s="161"/>
      <c r="Y4" s="190"/>
      <c r="Z4" s="159"/>
      <c r="AA4" s="179"/>
      <c r="AB4" s="159"/>
      <c r="AC4" s="159"/>
      <c r="AD4" s="159"/>
    </row>
    <row r="5" customHeight="1" spans="1:30">
      <c r="A5" s="162"/>
      <c r="B5" s="162"/>
      <c r="C5" s="161"/>
      <c r="D5" s="161"/>
      <c r="E5" s="161"/>
      <c r="F5" s="161"/>
      <c r="G5" s="161"/>
      <c r="H5" s="161"/>
      <c r="I5" s="161"/>
      <c r="J5" s="161"/>
      <c r="K5" s="161"/>
      <c r="L5" s="161"/>
      <c r="M5" s="161"/>
      <c r="N5" s="161"/>
      <c r="O5" s="161"/>
      <c r="P5" s="161"/>
      <c r="Q5" s="161"/>
      <c r="R5" s="161"/>
      <c r="S5" s="161"/>
      <c r="T5" s="161"/>
      <c r="U5" s="161"/>
      <c r="V5" s="161"/>
      <c r="W5" s="161"/>
      <c r="X5" s="161"/>
      <c r="Y5" s="190"/>
      <c r="Z5" s="159"/>
      <c r="AA5" s="179"/>
      <c r="AB5" s="159"/>
      <c r="AC5" s="159"/>
      <c r="AD5" s="159"/>
    </row>
    <row r="6" customHeight="1" spans="1:30">
      <c r="A6" s="162"/>
      <c r="B6" s="162"/>
      <c r="C6" s="161"/>
      <c r="D6" s="161"/>
      <c r="E6" s="161"/>
      <c r="F6" s="161"/>
      <c r="G6" s="161"/>
      <c r="H6" s="161"/>
      <c r="I6" s="161"/>
      <c r="J6" s="161"/>
      <c r="K6" s="161"/>
      <c r="L6" s="161"/>
      <c r="M6" s="161"/>
      <c r="N6" s="161"/>
      <c r="O6" s="161"/>
      <c r="P6" s="161"/>
      <c r="Q6" s="161"/>
      <c r="R6" s="161"/>
      <c r="S6" s="161"/>
      <c r="T6" s="161"/>
      <c r="U6" s="161"/>
      <c r="V6" s="161"/>
      <c r="W6" s="161"/>
      <c r="X6" s="161"/>
      <c r="Y6" s="190"/>
      <c r="Z6" s="159"/>
      <c r="AA6" s="179"/>
      <c r="AB6" s="159"/>
      <c r="AC6" s="159"/>
      <c r="AD6" s="159"/>
    </row>
    <row r="7" customHeight="1" spans="1:30">
      <c r="A7" s="162"/>
      <c r="B7" s="162"/>
      <c r="C7" s="161"/>
      <c r="D7" s="161"/>
      <c r="E7" s="161"/>
      <c r="F7" s="161"/>
      <c r="G7" s="161"/>
      <c r="H7" s="161"/>
      <c r="I7" s="161"/>
      <c r="J7" s="161"/>
      <c r="K7" s="161"/>
      <c r="L7" s="161"/>
      <c r="M7" s="161"/>
      <c r="N7" s="161"/>
      <c r="O7" s="161"/>
      <c r="P7" s="161"/>
      <c r="Q7" s="161"/>
      <c r="R7" s="161"/>
      <c r="S7" s="161"/>
      <c r="T7" s="161"/>
      <c r="U7" s="161"/>
      <c r="V7" s="161"/>
      <c r="W7" s="161"/>
      <c r="X7" s="161"/>
      <c r="Y7" s="190"/>
      <c r="Z7" s="159"/>
      <c r="AA7" s="179"/>
      <c r="AB7" s="159"/>
      <c r="AC7" s="159"/>
      <c r="AD7" s="159"/>
    </row>
    <row r="8" customHeight="1" spans="1:30">
      <c r="A8" s="162"/>
      <c r="B8" s="162"/>
      <c r="C8" s="161"/>
      <c r="D8" s="161"/>
      <c r="E8" s="161"/>
      <c r="F8" s="161"/>
      <c r="G8" s="161"/>
      <c r="H8" s="161"/>
      <c r="I8" s="161"/>
      <c r="J8" s="161"/>
      <c r="K8" s="161"/>
      <c r="L8" s="161"/>
      <c r="M8" s="161"/>
      <c r="N8" s="161"/>
      <c r="O8" s="161"/>
      <c r="P8" s="161"/>
      <c r="Q8" s="161"/>
      <c r="R8" s="161"/>
      <c r="S8" s="161"/>
      <c r="T8" s="161"/>
      <c r="U8" s="161"/>
      <c r="V8" s="161"/>
      <c r="W8" s="161"/>
      <c r="X8" s="161"/>
      <c r="Y8" s="190"/>
      <c r="Z8" s="159"/>
      <c r="AA8" s="179"/>
      <c r="AB8" s="159"/>
      <c r="AC8" s="159"/>
      <c r="AD8" s="159"/>
    </row>
    <row r="9" customHeight="1" spans="1:30">
      <c r="A9" s="162"/>
      <c r="B9" s="162"/>
      <c r="C9" s="161"/>
      <c r="D9" s="161"/>
      <c r="E9" s="161"/>
      <c r="F9" s="161"/>
      <c r="G9" s="161"/>
      <c r="H9" s="161"/>
      <c r="I9" s="161"/>
      <c r="J9" s="161"/>
      <c r="K9" s="161"/>
      <c r="L9" s="161"/>
      <c r="M9" s="161"/>
      <c r="N9" s="161"/>
      <c r="O9" s="161"/>
      <c r="P9" s="161"/>
      <c r="Q9" s="161"/>
      <c r="R9" s="161"/>
      <c r="S9" s="161"/>
      <c r="T9" s="161"/>
      <c r="U9" s="161"/>
      <c r="V9" s="161"/>
      <c r="W9" s="161"/>
      <c r="X9" s="161"/>
      <c r="Y9" s="190"/>
      <c r="Z9" s="159"/>
      <c r="AA9" s="179"/>
      <c r="AB9" s="159"/>
      <c r="AC9" s="159"/>
      <c r="AD9" s="159"/>
    </row>
    <row r="10" customHeight="1" spans="1:30">
      <c r="A10" s="166"/>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row>
    <row r="11" ht="45" customHeight="1" spans="1:30">
      <c r="A11" s="166" t="s">
        <v>33</v>
      </c>
      <c r="B11" s="166">
        <v>1</v>
      </c>
      <c r="C11" s="167" t="s">
        <v>1133</v>
      </c>
      <c r="D11" s="167" t="s">
        <v>1131</v>
      </c>
      <c r="E11" s="167" t="s">
        <v>1833</v>
      </c>
      <c r="F11" s="167" t="s">
        <v>2189</v>
      </c>
      <c r="G11" s="167"/>
      <c r="H11" s="158" t="s">
        <v>2190</v>
      </c>
      <c r="I11" s="158"/>
      <c r="J11" s="158"/>
      <c r="K11" s="158"/>
      <c r="L11" s="158"/>
      <c r="M11" s="177" t="str">
        <f>IF(TEMPLATE_SPHERE="HEAT",T11,U11)</f>
        <v>Количество поданных заявок</v>
      </c>
      <c r="N11" s="177"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61"/>
      <c r="P11" s="161"/>
      <c r="Q11" s="161"/>
      <c r="R11" s="161"/>
      <c r="S11" s="161"/>
      <c r="T11" s="161" t="s">
        <v>2191</v>
      </c>
      <c r="U11" s="161" t="s">
        <v>2192</v>
      </c>
      <c r="V11" s="161"/>
      <c r="W11" s="161"/>
      <c r="X11" s="161"/>
      <c r="Y11" s="190"/>
      <c r="Z11" s="159" t="s">
        <v>2193</v>
      </c>
      <c r="AA11" s="1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59"/>
      <c r="AC11" s="159"/>
      <c r="AD11" s="159"/>
    </row>
    <row r="12" ht="45" customHeight="1" spans="1:30">
      <c r="A12" s="166"/>
      <c r="B12" s="166">
        <v>2</v>
      </c>
      <c r="C12" s="168"/>
      <c r="D12" s="168"/>
      <c r="E12" s="168"/>
      <c r="F12" s="168"/>
      <c r="G12" s="168"/>
      <c r="H12" s="158" t="s">
        <v>2194</v>
      </c>
      <c r="I12" s="158"/>
      <c r="J12" s="158"/>
      <c r="K12" s="158"/>
      <c r="L12" s="158"/>
      <c r="M12" s="177" t="str">
        <f>IF(TEMPLATE_SPHERE="HEAT",T12,U12)</f>
        <v>Количество рассмотренных заявок</v>
      </c>
      <c r="N12" s="177"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61"/>
      <c r="P12" s="161"/>
      <c r="Q12" s="161"/>
      <c r="R12" s="161"/>
      <c r="S12" s="161"/>
      <c r="T12" s="161" t="s">
        <v>2195</v>
      </c>
      <c r="U12" s="161" t="s">
        <v>2196</v>
      </c>
      <c r="V12" s="161"/>
      <c r="W12" s="161"/>
      <c r="X12" s="161"/>
      <c r="Y12" s="190"/>
      <c r="Z12" s="159" t="s">
        <v>2197</v>
      </c>
      <c r="AA12" s="1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59"/>
      <c r="AC12" s="159"/>
      <c r="AD12" s="159"/>
    </row>
    <row r="13" ht="72" customHeight="1" spans="1:30">
      <c r="A13" s="166"/>
      <c r="B13" s="166">
        <v>3</v>
      </c>
      <c r="C13" s="168"/>
      <c r="D13" s="168"/>
      <c r="E13" s="168"/>
      <c r="F13" s="168"/>
      <c r="G13" s="168"/>
      <c r="H13" s="158" t="s">
        <v>2198</v>
      </c>
      <c r="I13" s="158"/>
      <c r="J13" s="158"/>
      <c r="K13" s="158"/>
      <c r="L13" s="158"/>
      <c r="M13" s="17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77" t="str">
        <f>IF(TEMPLATE_SPHERE="HEAT",Z13,AA13)</f>
        <v>Указывается количество заявок с решением об отказе в течение отчетного квартала.</v>
      </c>
      <c r="O13" s="161"/>
      <c r="P13" s="177"/>
      <c r="Q13" s="177"/>
      <c r="R13" s="177"/>
      <c r="S13" s="161"/>
      <c r="T13" s="161" t="s">
        <v>2199</v>
      </c>
      <c r="U13" s="177" t="s">
        <v>2200</v>
      </c>
      <c r="V13" s="177"/>
      <c r="W13" s="177"/>
      <c r="X13" s="161"/>
      <c r="Y13" s="190"/>
      <c r="Z13" s="159" t="s">
        <v>2201</v>
      </c>
      <c r="AA13" s="1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59"/>
      <c r="AC13" s="159"/>
      <c r="AD13" s="159"/>
    </row>
    <row r="14" ht="45" customHeight="1" spans="1:30">
      <c r="A14" s="166"/>
      <c r="B14" s="166">
        <v>4</v>
      </c>
      <c r="C14" s="168"/>
      <c r="D14" s="168"/>
      <c r="E14" s="168"/>
      <c r="F14" s="168"/>
      <c r="G14" s="168"/>
      <c r="H14" s="158"/>
      <c r="I14" s="167"/>
      <c r="J14" s="167"/>
      <c r="K14" s="167"/>
      <c r="L14" s="167"/>
      <c r="M14" s="178" t="str">
        <f>IF(TEMPLATE_SPHERE="HEAT",T14,U14)</f>
        <v>Причины отказа в заключении договора о подключении (технологическом присоединении) к системе теплоснабжения</v>
      </c>
      <c r="N14" s="17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61"/>
      <c r="P14" s="177"/>
      <c r="Q14" s="177"/>
      <c r="R14" s="177"/>
      <c r="S14" s="161"/>
      <c r="T14" s="161" t="s">
        <v>2202</v>
      </c>
      <c r="U14" s="17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77"/>
      <c r="W14" s="177"/>
      <c r="X14" s="161"/>
      <c r="Y14" s="190"/>
      <c r="Z14" s="159" t="s">
        <v>2203</v>
      </c>
      <c r="AA14" s="179" t="s">
        <v>2203</v>
      </c>
      <c r="AB14" s="159"/>
      <c r="AC14" s="159"/>
      <c r="AD14" s="159"/>
    </row>
    <row r="15" ht="108" customHeight="1" spans="1:30">
      <c r="A15" s="166"/>
      <c r="B15" s="166">
        <v>5</v>
      </c>
      <c r="C15" s="168"/>
      <c r="D15" s="168"/>
      <c r="E15" s="168"/>
      <c r="F15" s="168"/>
      <c r="G15" s="168"/>
      <c r="H15" s="169" t="s">
        <v>2204</v>
      </c>
      <c r="I15" s="169"/>
      <c r="J15" s="169"/>
      <c r="K15" s="169"/>
      <c r="L15" s="169"/>
      <c r="M15" s="179" t="str">
        <f>IF(TEMPLATE_SPHERE="HEAT",T15,U15)</f>
        <v>Резерв мощности источников тепловой энергии, входящих в систему теплоснабжения, в течение одного квартала, в том числе:</v>
      </c>
      <c r="N15" s="180"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61"/>
      <c r="P15" s="177"/>
      <c r="Q15" s="177"/>
      <c r="R15" s="177"/>
      <c r="S15" s="161"/>
      <c r="T15" s="161" t="s">
        <v>2205</v>
      </c>
      <c r="U15" s="17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77"/>
      <c r="W15" s="177"/>
      <c r="X15" s="161"/>
      <c r="Y15" s="190"/>
      <c r="Z15" s="159" t="s">
        <v>2206</v>
      </c>
      <c r="AA15" s="1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59"/>
      <c r="AC15" s="159"/>
      <c r="AD15" s="159"/>
    </row>
    <row r="16" ht="108" customHeight="1" spans="1:30">
      <c r="A16" s="166"/>
      <c r="B16" s="166">
        <v>6</v>
      </c>
      <c r="C16" s="170"/>
      <c r="D16" s="170"/>
      <c r="E16" s="170"/>
      <c r="F16" s="170"/>
      <c r="G16" s="170"/>
      <c r="H16" s="171"/>
      <c r="I16" s="181"/>
      <c r="J16" s="181"/>
      <c r="K16" s="181"/>
      <c r="L16" s="181"/>
      <c r="M16" s="182"/>
      <c r="N16" s="180"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61"/>
      <c r="P16" s="177"/>
      <c r="Q16" s="177"/>
      <c r="R16" s="177"/>
      <c r="S16" s="161"/>
      <c r="T16" s="161"/>
      <c r="U16" s="177"/>
      <c r="V16" s="177"/>
      <c r="W16" s="177"/>
      <c r="X16" s="161"/>
      <c r="Y16" s="190"/>
      <c r="Z16" s="159" t="s">
        <v>2206</v>
      </c>
      <c r="AA16" s="1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59"/>
      <c r="AC16" s="159"/>
      <c r="AD16" s="159"/>
    </row>
    <row r="17" customHeight="1" spans="1:30">
      <c r="A17" s="166"/>
      <c r="B17" s="166"/>
      <c r="C17" s="166">
        <v>22</v>
      </c>
      <c r="D17" s="166">
        <v>21</v>
      </c>
      <c r="E17" s="166">
        <v>42</v>
      </c>
      <c r="F17" s="166">
        <v>63</v>
      </c>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row>
    <row r="18" ht="27" customHeight="1" spans="1:30">
      <c r="A18" s="162" t="s">
        <v>1836</v>
      </c>
      <c r="B18" s="166">
        <v>1</v>
      </c>
      <c r="C18" s="161" t="s">
        <v>2190</v>
      </c>
      <c r="D18" s="172" t="s">
        <v>2190</v>
      </c>
      <c r="E18" s="161" t="s">
        <v>2190</v>
      </c>
      <c r="F18" s="161" t="s">
        <v>2190</v>
      </c>
      <c r="G18" s="161"/>
      <c r="H18" s="173"/>
      <c r="I18" s="183">
        <f>INDEX(TEMPLATE_NUMBER_POINT_FHD,B18,MATCH(TEMPLATE_SPHERE,TEMPLATE_SPHERE_LIST_FOR_NOTE,0))</f>
        <v>1</v>
      </c>
      <c r="J18" s="183" t="str">
        <f>INDEX(TEMPLATE_DATA_POINT_FHD,B18,MATCH(TEMPLATE_SPHERE,TEMPLATE_SPHERE_LIST_FOR_NOTE,0))</f>
        <v>Выручка от регулируемого вида деятельности с распределением по видам деятельности</v>
      </c>
      <c r="K18" s="183"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77">
        <f t="shared" ref="L18:L81" si="0">IF(I18=0,"",I18)</f>
        <v>1</v>
      </c>
      <c r="M18" s="177" t="str">
        <f t="shared" ref="M18:M81" si="1">IF(J18=0,"",J18)</f>
        <v>Выручка от регулируемого вида деятельности с распределением по видам деятельности</v>
      </c>
      <c r="N18" s="177" t="str">
        <f t="shared" ref="N18:N81" si="2">IF(K18=0,"",K18)</f>
        <v>Указывается выручка от регулируемого вида деятельности с распределением по видам деятельности.</v>
      </c>
      <c r="O18" s="184">
        <v>1</v>
      </c>
      <c r="P18" s="184">
        <v>1</v>
      </c>
      <c r="Q18" s="184">
        <v>1</v>
      </c>
      <c r="R18" s="184">
        <v>1</v>
      </c>
      <c r="S18" s="184"/>
      <c r="T18" s="185" t="s">
        <v>2207</v>
      </c>
      <c r="U18" s="159" t="s">
        <v>2208</v>
      </c>
      <c r="V18" s="159" t="s">
        <v>2209</v>
      </c>
      <c r="W18" s="159" t="s">
        <v>2210</v>
      </c>
      <c r="X18" s="161"/>
      <c r="Y18" s="190"/>
      <c r="Z18" s="159" t="s">
        <v>2211</v>
      </c>
      <c r="AA18" s="179" t="s">
        <v>2212</v>
      </c>
      <c r="AB18" s="179" t="s">
        <v>2212</v>
      </c>
      <c r="AC18" s="179" t="s">
        <v>2212</v>
      </c>
      <c r="AD18" s="159"/>
    </row>
    <row r="19" ht="36" customHeight="1" spans="1:30">
      <c r="A19" s="162"/>
      <c r="B19" s="166">
        <v>2</v>
      </c>
      <c r="C19" s="161" t="s">
        <v>2194</v>
      </c>
      <c r="D19" s="172" t="s">
        <v>2194</v>
      </c>
      <c r="E19" s="161" t="s">
        <v>2194</v>
      </c>
      <c r="F19" s="161" t="s">
        <v>2194</v>
      </c>
      <c r="G19" s="161"/>
      <c r="H19" s="173"/>
      <c r="I19" s="183">
        <f>INDEX(TEMPLATE_NUMBER_POINT_FHD,B19,MATCH(TEMPLATE_SPHERE,TEMPLATE_SPHERE_LIST_FOR_NOTE,0))</f>
        <v>2</v>
      </c>
      <c r="J19" s="183"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83" t="str">
        <f>INDEX(TEMPLATE_NOTE_POINT_FHD,B19,MATCH(TEMPLATE_SPHERE,TEMPLATE_SPHERE_LIST_FOR_NOTE,0))</f>
        <v>Указывается суммарная себестоимость производимых товаров.</v>
      </c>
      <c r="L19" s="177">
        <f t="shared" si="0"/>
        <v>2</v>
      </c>
      <c r="M19" s="177" t="str">
        <f t="shared" si="1"/>
        <v>Себестоимость производимых товаров (оказываемых услуг) по регулируемому виду деятельности, включая:</v>
      </c>
      <c r="N19" s="177" t="str">
        <f t="shared" si="2"/>
        <v>Указывается суммарная себестоимость производимых товаров.</v>
      </c>
      <c r="O19" s="184">
        <v>2</v>
      </c>
      <c r="P19" s="184">
        <v>2</v>
      </c>
      <c r="Q19" s="184">
        <v>2</v>
      </c>
      <c r="R19" s="184">
        <v>2</v>
      </c>
      <c r="S19" s="184"/>
      <c r="T19" s="185" t="s">
        <v>2213</v>
      </c>
      <c r="U19" s="159" t="s">
        <v>2214</v>
      </c>
      <c r="V19" s="159" t="s">
        <v>2215</v>
      </c>
      <c r="W19" s="159" t="s">
        <v>2216</v>
      </c>
      <c r="X19" s="161"/>
      <c r="Y19" s="190"/>
      <c r="Z19" s="159" t="s">
        <v>2217</v>
      </c>
      <c r="AA19" s="179" t="s">
        <v>2217</v>
      </c>
      <c r="AB19" s="179" t="s">
        <v>2217</v>
      </c>
      <c r="AC19" s="179" t="s">
        <v>2217</v>
      </c>
      <c r="AD19" s="159"/>
    </row>
    <row r="20" ht="27" customHeight="1" spans="1:30">
      <c r="A20" s="162"/>
      <c r="B20" s="166">
        <v>3</v>
      </c>
      <c r="C20" s="161">
        <v>1</v>
      </c>
      <c r="D20" s="172"/>
      <c r="E20" s="161"/>
      <c r="F20" s="161"/>
      <c r="G20" s="161"/>
      <c r="H20" s="173"/>
      <c r="I20" s="183" t="str">
        <f>INDEX(TEMPLATE_NUMBER_POINT_FHD,B20,MATCH(TEMPLATE_SPHERE,TEMPLATE_SPHERE_LIST_FOR_NOTE,0))</f>
        <v>2.1</v>
      </c>
      <c r="J20" s="183" t="str">
        <f>INDEX(TEMPLATE_DATA_POINT_FHD,B20,MATCH(TEMPLATE_SPHERE,TEMPLATE_SPHERE_LIST_FOR_NOTE,0))</f>
        <v>Расходы на приобретаемую тепловую энергию (мощность), теплоноситель</v>
      </c>
      <c r="K20" s="183">
        <f>INDEX(TEMPLATE_NOTE_POINT_FHD,B20,MATCH(TEMPLATE_SPHERE,TEMPLATE_SPHERE_LIST_FOR_NOTE,0))</f>
        <v>0</v>
      </c>
      <c r="L20" s="177" t="str">
        <f t="shared" si="0"/>
        <v>2.1</v>
      </c>
      <c r="M20" s="177" t="str">
        <f t="shared" si="1"/>
        <v>Расходы на приобретаемую тепловую энергию (мощность), теплоноситель</v>
      </c>
      <c r="N20" s="177" t="str">
        <f t="shared" si="2"/>
        <v/>
      </c>
      <c r="O20" s="184" t="s">
        <v>703</v>
      </c>
      <c r="P20" s="184" t="s">
        <v>703</v>
      </c>
      <c r="Q20" s="184" t="s">
        <v>703</v>
      </c>
      <c r="R20" s="184" t="s">
        <v>703</v>
      </c>
      <c r="S20" s="184"/>
      <c r="T20" s="185" t="s">
        <v>2218</v>
      </c>
      <c r="U20" s="159" t="s">
        <v>2219</v>
      </c>
      <c r="V20" s="159" t="s">
        <v>2220</v>
      </c>
      <c r="W20" s="159" t="s">
        <v>2221</v>
      </c>
      <c r="X20" s="161"/>
      <c r="Y20" s="190"/>
      <c r="Z20" s="159"/>
      <c r="AA20" s="179"/>
      <c r="AB20" s="159"/>
      <c r="AC20" s="159"/>
      <c r="AD20" s="159"/>
    </row>
    <row r="21" ht="36" customHeight="1" spans="1:30">
      <c r="A21" s="162"/>
      <c r="B21" s="166">
        <v>4</v>
      </c>
      <c r="C21" s="161">
        <v>2</v>
      </c>
      <c r="D21" s="172"/>
      <c r="E21" s="161"/>
      <c r="F21" s="161"/>
      <c r="G21" s="161"/>
      <c r="H21" s="173"/>
      <c r="I21" s="183" t="str">
        <f>INDEX(TEMPLATE_NUMBER_POINT_FHD,B21,MATCH(TEMPLATE_SPHERE,TEMPLATE_SPHERE_LIST_FOR_NOTE,0))</f>
        <v>2.2</v>
      </c>
      <c r="J21" s="183"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83" t="str">
        <f>INDEX(TEMPLATE_NOTE_POINT_FHD,B21,MATCH(TEMPLATE_SPHERE,TEMPLATE_SPHERE_LIST_FOR_NOTE,0))</f>
        <v>Указываются суммарные расходы на приобретение топлива всех видов.</v>
      </c>
      <c r="L21" s="177" t="str">
        <f t="shared" si="0"/>
        <v>2.2</v>
      </c>
      <c r="M21" s="177" t="str">
        <f t="shared" si="1"/>
        <v>Расходы на топливо с указанием по каждому виду топлива стоимости (за единицу объема), объема и способа его приобретения, стоимости его доставки</v>
      </c>
      <c r="N21" s="177" t="str">
        <f t="shared" si="2"/>
        <v>Указываются суммарные расходы на приобретение топлива всех видов.</v>
      </c>
      <c r="O21" s="184" t="s">
        <v>303</v>
      </c>
      <c r="P21" s="184"/>
      <c r="Q21" s="184"/>
      <c r="R21" s="184"/>
      <c r="S21" s="184"/>
      <c r="T21" s="185" t="s">
        <v>2222</v>
      </c>
      <c r="U21" s="159"/>
      <c r="V21" s="159"/>
      <c r="W21" s="159"/>
      <c r="X21" s="161"/>
      <c r="Y21" s="190"/>
      <c r="Z21" s="159" t="s">
        <v>2223</v>
      </c>
      <c r="AA21" s="179"/>
      <c r="AB21" s="159"/>
      <c r="AC21" s="159"/>
      <c r="AD21" s="159"/>
    </row>
    <row r="22" ht="36" customHeight="1" spans="1:30">
      <c r="A22" s="162"/>
      <c r="B22" s="166">
        <v>5</v>
      </c>
      <c r="C22" s="161">
        <v>3</v>
      </c>
      <c r="D22" s="172"/>
      <c r="E22" s="161"/>
      <c r="F22" s="161"/>
      <c r="G22" s="174"/>
      <c r="H22" s="175"/>
      <c r="I22" s="183">
        <f>INDEX(TEMPLATE_NUMBER_POINT_FHD,B22,MATCH(TEMPLATE_SPHERE,TEMPLATE_SPHERE_LIST_FOR_NOTE,0))</f>
        <v>0</v>
      </c>
      <c r="J22" s="183">
        <f>INDEX(TEMPLATE_DATA_POINT_FHD,B22,MATCH(TEMPLATE_SPHERE,TEMPLATE_SPHERE_LIST_FOR_NOTE,0))</f>
        <v>0</v>
      </c>
      <c r="K22" s="183">
        <f>INDEX(TEMPLATE_NOTE_POINT_FHD,B22,MATCH(TEMPLATE_SPHERE,TEMPLATE_SPHERE_LIST_FOR_NOTE,0))</f>
        <v>0</v>
      </c>
      <c r="L22" s="177" t="str">
        <f t="shared" si="0"/>
        <v/>
      </c>
      <c r="M22" s="177" t="str">
        <f t="shared" si="1"/>
        <v/>
      </c>
      <c r="N22" s="177" t="str">
        <f t="shared" si="2"/>
        <v/>
      </c>
      <c r="O22" s="184"/>
      <c r="P22" s="184"/>
      <c r="Q22" s="184" t="s">
        <v>303</v>
      </c>
      <c r="R22" s="184"/>
      <c r="S22" s="184"/>
      <c r="T22" s="185"/>
      <c r="U22" s="159"/>
      <c r="V22" s="159" t="s">
        <v>2224</v>
      </c>
      <c r="W22" s="159"/>
      <c r="X22" s="161"/>
      <c r="Y22" s="190"/>
      <c r="Z22" s="159"/>
      <c r="AA22" s="179"/>
      <c r="AB22" s="159"/>
      <c r="AC22" s="159"/>
      <c r="AD22" s="159"/>
    </row>
    <row r="23" ht="27" customHeight="1" spans="1:30">
      <c r="A23" s="162"/>
      <c r="B23" s="166">
        <v>6</v>
      </c>
      <c r="C23" s="161">
        <v>4</v>
      </c>
      <c r="D23" s="172"/>
      <c r="E23" s="161"/>
      <c r="F23" s="161"/>
      <c r="G23" s="174"/>
      <c r="H23" s="175"/>
      <c r="I23" s="183">
        <f>INDEX(TEMPLATE_NUMBER_POINT_FHD,B23,MATCH(TEMPLATE_SPHERE,TEMPLATE_SPHERE_LIST_FOR_NOTE,0))</f>
        <v>0</v>
      </c>
      <c r="J23" s="183">
        <f>INDEX(TEMPLATE_DATA_POINT_FHD,B23,MATCH(TEMPLATE_SPHERE,TEMPLATE_SPHERE_LIST_FOR_NOTE,0))</f>
        <v>0</v>
      </c>
      <c r="K23" s="183">
        <f>INDEX(TEMPLATE_NOTE_POINT_FHD,B23,MATCH(TEMPLATE_SPHERE,TEMPLATE_SPHERE_LIST_FOR_NOTE,0))</f>
        <v>0</v>
      </c>
      <c r="L23" s="177" t="str">
        <f t="shared" si="0"/>
        <v/>
      </c>
      <c r="M23" s="177" t="str">
        <f t="shared" si="1"/>
        <v/>
      </c>
      <c r="N23" s="177" t="str">
        <f t="shared" si="2"/>
        <v/>
      </c>
      <c r="O23" s="184"/>
      <c r="P23" s="184"/>
      <c r="Q23" s="184" t="s">
        <v>306</v>
      </c>
      <c r="R23" s="184"/>
      <c r="S23" s="184"/>
      <c r="T23" s="185"/>
      <c r="U23" s="159"/>
      <c r="V23" s="159" t="s">
        <v>2225</v>
      </c>
      <c r="W23" s="159"/>
      <c r="X23" s="161"/>
      <c r="Y23" s="190"/>
      <c r="Z23" s="159"/>
      <c r="AA23" s="179"/>
      <c r="AB23" s="159"/>
      <c r="AC23" s="159"/>
      <c r="AD23" s="159"/>
    </row>
    <row r="24" ht="36" customHeight="1" spans="1:30">
      <c r="A24" s="162"/>
      <c r="B24" s="166">
        <v>7</v>
      </c>
      <c r="C24" s="161">
        <v>5</v>
      </c>
      <c r="D24" s="172"/>
      <c r="E24" s="161"/>
      <c r="F24" s="161"/>
      <c r="G24" s="174"/>
      <c r="H24" s="175"/>
      <c r="I24" s="183">
        <f>INDEX(TEMPLATE_NUMBER_POINT_FHD,B24,MATCH(TEMPLATE_SPHERE,TEMPLATE_SPHERE_LIST_FOR_NOTE,0))</f>
        <v>0</v>
      </c>
      <c r="J24" s="183">
        <f>INDEX(TEMPLATE_DATA_POINT_FHD,B24,MATCH(TEMPLATE_SPHERE,TEMPLATE_SPHERE_LIST_FOR_NOTE,0))</f>
        <v>0</v>
      </c>
      <c r="K24" s="183">
        <f>INDEX(TEMPLATE_NOTE_POINT_FHD,B24,MATCH(TEMPLATE_SPHERE,TEMPLATE_SPHERE_LIST_FOR_NOTE,0))</f>
        <v>0</v>
      </c>
      <c r="L24" s="177" t="str">
        <f t="shared" si="0"/>
        <v/>
      </c>
      <c r="M24" s="177" t="str">
        <f t="shared" si="1"/>
        <v/>
      </c>
      <c r="N24" s="177" t="str">
        <f t="shared" si="2"/>
        <v/>
      </c>
      <c r="O24" s="184"/>
      <c r="P24" s="184"/>
      <c r="Q24" s="184" t="s">
        <v>723</v>
      </c>
      <c r="R24" s="184"/>
      <c r="S24" s="184"/>
      <c r="T24" s="185"/>
      <c r="U24" s="159"/>
      <c r="V24" s="159" t="s">
        <v>2226</v>
      </c>
      <c r="W24" s="159"/>
      <c r="X24" s="161"/>
      <c r="Y24" s="190"/>
      <c r="Z24" s="159"/>
      <c r="AA24" s="179"/>
      <c r="AB24" s="159"/>
      <c r="AC24" s="159"/>
      <c r="AD24" s="159"/>
    </row>
    <row r="25" ht="36" customHeight="1" spans="1:30">
      <c r="A25" s="162"/>
      <c r="B25" s="166">
        <v>8</v>
      </c>
      <c r="C25" s="161">
        <v>6</v>
      </c>
      <c r="D25" s="172"/>
      <c r="E25" s="161"/>
      <c r="F25" s="161"/>
      <c r="G25" s="174"/>
      <c r="H25" s="175"/>
      <c r="I25" s="183" t="str">
        <f>INDEX(TEMPLATE_NUMBER_POINT_FHD,B25,MATCH(TEMPLATE_SPHERE,TEMPLATE_SPHERE_LIST_FOR_NOTE,0))</f>
        <v>2.3</v>
      </c>
      <c r="J25" s="183"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83">
        <f>INDEX(TEMPLATE_NOTE_POINT_FHD,B25,MATCH(TEMPLATE_SPHERE,TEMPLATE_SPHERE_LIST_FOR_NOTE,0))</f>
        <v>0</v>
      </c>
      <c r="L25" s="177" t="str">
        <f t="shared" si="0"/>
        <v>2.3</v>
      </c>
      <c r="M25" s="177" t="str">
        <f t="shared" si="1"/>
        <v>Расходы на приобретаемую электрическую энергию (мощность), используемую в технологическом процессе</v>
      </c>
      <c r="N25" s="177" t="str">
        <f t="shared" si="2"/>
        <v/>
      </c>
      <c r="O25" s="184" t="s">
        <v>306</v>
      </c>
      <c r="P25" s="184" t="s">
        <v>303</v>
      </c>
      <c r="Q25" s="184" t="s">
        <v>730</v>
      </c>
      <c r="R25" s="184" t="s">
        <v>303</v>
      </c>
      <c r="S25" s="184"/>
      <c r="T25" s="185" t="s">
        <v>2227</v>
      </c>
      <c r="U25" s="159" t="s">
        <v>2227</v>
      </c>
      <c r="V25" s="159" t="s">
        <v>2227</v>
      </c>
      <c r="W25" s="159" t="s">
        <v>2227</v>
      </c>
      <c r="X25" s="161"/>
      <c r="Y25" s="190"/>
      <c r="Z25" s="159"/>
      <c r="AA25" s="179"/>
      <c r="AB25" s="159"/>
      <c r="AC25" s="159"/>
      <c r="AD25" s="159"/>
    </row>
    <row r="26" ht="18" customHeight="1" spans="1:30">
      <c r="A26" s="162"/>
      <c r="B26" s="166">
        <v>9</v>
      </c>
      <c r="C26" s="161" t="s">
        <v>646</v>
      </c>
      <c r="D26" s="172"/>
      <c r="E26" s="161"/>
      <c r="F26" s="161"/>
      <c r="G26" s="174"/>
      <c r="H26" s="175"/>
      <c r="I26" s="183" t="str">
        <f>INDEX(TEMPLATE_NUMBER_POINT_FHD,B26,MATCH(TEMPLATE_SPHERE,TEMPLATE_SPHERE_LIST_FOR_NOTE,0))</f>
        <v>2.3.1</v>
      </c>
      <c r="J26" s="183" t="str">
        <f>INDEX(TEMPLATE_DATA_POINT_FHD,B26,MATCH(TEMPLATE_SPHERE,TEMPLATE_SPHERE_LIST_FOR_NOTE,0))</f>
        <v>Средневзвешенная стоимость 1 кВт.ч (с учетом мощности)</v>
      </c>
      <c r="K26" s="183">
        <f>INDEX(TEMPLATE_NOTE_POINT_FHD,B26,MATCH(TEMPLATE_SPHERE,TEMPLATE_SPHERE_LIST_FOR_NOTE,0))</f>
        <v>0</v>
      </c>
      <c r="L26" s="177" t="str">
        <f t="shared" si="0"/>
        <v>2.3.1</v>
      </c>
      <c r="M26" s="177" t="str">
        <f t="shared" si="1"/>
        <v>Средневзвешенная стоимость 1 кВт.ч (с учетом мощности)</v>
      </c>
      <c r="N26" s="177" t="str">
        <f t="shared" si="2"/>
        <v/>
      </c>
      <c r="O26" s="184" t="s">
        <v>719</v>
      </c>
      <c r="P26" s="184" t="s">
        <v>713</v>
      </c>
      <c r="Q26" s="184" t="s">
        <v>2228</v>
      </c>
      <c r="R26" s="184" t="s">
        <v>713</v>
      </c>
      <c r="S26" s="184"/>
      <c r="T26" s="185" t="str">
        <f>"Средневзвешенная стоимость 1 кВт.ч"&amp;IF(TITLE_TYPE_ORG="Регулируемая организация"," (с учетом мощности)","")</f>
        <v>Средневзвешенная стоимость 1 кВт.ч (с учетом мощности)</v>
      </c>
      <c r="U26" s="185" t="s">
        <v>2229</v>
      </c>
      <c r="V26" s="185" t="s">
        <v>2229</v>
      </c>
      <c r="W26" s="185" t="s">
        <v>2229</v>
      </c>
      <c r="X26" s="161"/>
      <c r="Y26" s="190"/>
      <c r="Z26" s="159"/>
      <c r="AA26" s="179"/>
      <c r="AB26" s="159"/>
      <c r="AC26" s="159"/>
      <c r="AD26" s="159"/>
    </row>
    <row r="27" ht="18" customHeight="1" spans="1:30">
      <c r="A27" s="162"/>
      <c r="B27" s="166">
        <v>10</v>
      </c>
      <c r="C27" s="161" t="s">
        <v>650</v>
      </c>
      <c r="D27" s="172"/>
      <c r="E27" s="161"/>
      <c r="F27" s="161"/>
      <c r="G27" s="174"/>
      <c r="H27" s="175"/>
      <c r="I27" s="183" t="str">
        <f>INDEX(TEMPLATE_NUMBER_POINT_FHD,B27,MATCH(TEMPLATE_SPHERE,TEMPLATE_SPHERE_LIST_FOR_NOTE,0))</f>
        <v>2.3.2</v>
      </c>
      <c r="J27" s="183" t="str">
        <f>INDEX(TEMPLATE_DATA_POINT_FHD,B27,MATCH(TEMPLATE_SPHERE,TEMPLATE_SPHERE_LIST_FOR_NOTE,0))</f>
        <v>Объём приобретения электрической энергии</v>
      </c>
      <c r="K27" s="183">
        <f>INDEX(TEMPLATE_NOTE_POINT_FHD,B27,MATCH(TEMPLATE_SPHERE,TEMPLATE_SPHERE_LIST_FOR_NOTE,0))</f>
        <v>0</v>
      </c>
      <c r="L27" s="177" t="str">
        <f t="shared" si="0"/>
        <v>2.3.2</v>
      </c>
      <c r="M27" s="177" t="str">
        <f t="shared" si="1"/>
        <v>Объём приобретения электрической энергии</v>
      </c>
      <c r="N27" s="177" t="str">
        <f t="shared" si="2"/>
        <v/>
      </c>
      <c r="O27" s="184" t="s">
        <v>721</v>
      </c>
      <c r="P27" s="184" t="s">
        <v>715</v>
      </c>
      <c r="Q27" s="184" t="s">
        <v>2230</v>
      </c>
      <c r="R27" s="184" t="s">
        <v>715</v>
      </c>
      <c r="S27" s="184"/>
      <c r="T27" s="185" t="s">
        <v>2231</v>
      </c>
      <c r="U27" s="185" t="s">
        <v>2231</v>
      </c>
      <c r="V27" s="185" t="s">
        <v>2231</v>
      </c>
      <c r="W27" s="185" t="s">
        <v>2231</v>
      </c>
      <c r="X27" s="161"/>
      <c r="Y27" s="190"/>
      <c r="Z27" s="159"/>
      <c r="AA27" s="179"/>
      <c r="AB27" s="159"/>
      <c r="AC27" s="159"/>
      <c r="AD27" s="159"/>
    </row>
    <row r="28" ht="27" customHeight="1" spans="1:30">
      <c r="A28" s="162"/>
      <c r="B28" s="166">
        <v>11</v>
      </c>
      <c r="C28" s="161">
        <v>7</v>
      </c>
      <c r="D28" s="172"/>
      <c r="E28" s="161"/>
      <c r="F28" s="161"/>
      <c r="G28" s="174"/>
      <c r="H28" s="175"/>
      <c r="I28" s="183" t="str">
        <f>INDEX(TEMPLATE_NUMBER_POINT_FHD,B28,MATCH(TEMPLATE_SPHERE,TEMPLATE_SPHERE_LIST_FOR_NOTE,0))</f>
        <v>2.4</v>
      </c>
      <c r="J28" s="183" t="str">
        <f>INDEX(TEMPLATE_DATA_POINT_FHD,B28,MATCH(TEMPLATE_SPHERE,TEMPLATE_SPHERE_LIST_FOR_NOTE,0))</f>
        <v>Расходы на приобретение холодной воды, используемой в технологическом процессе</v>
      </c>
      <c r="K28" s="183">
        <f>INDEX(TEMPLATE_NOTE_POINT_FHD,B28,MATCH(TEMPLATE_SPHERE,TEMPLATE_SPHERE_LIST_FOR_NOTE,0))</f>
        <v>0</v>
      </c>
      <c r="L28" s="177" t="str">
        <f t="shared" si="0"/>
        <v>2.4</v>
      </c>
      <c r="M28" s="177" t="str">
        <f t="shared" si="1"/>
        <v>Расходы на приобретение холодной воды, используемой в технологическом процессе</v>
      </c>
      <c r="N28" s="177" t="str">
        <f t="shared" si="2"/>
        <v/>
      </c>
      <c r="O28" s="184" t="s">
        <v>723</v>
      </c>
      <c r="P28" s="184"/>
      <c r="Q28" s="184"/>
      <c r="R28" s="184"/>
      <c r="S28" s="184"/>
      <c r="T28" s="185" t="s">
        <v>2232</v>
      </c>
      <c r="U28" s="159"/>
      <c r="V28" s="159"/>
      <c r="W28" s="159"/>
      <c r="X28" s="161"/>
      <c r="Y28" s="190"/>
      <c r="Z28" s="159"/>
      <c r="AA28" s="179"/>
      <c r="AB28" s="159"/>
      <c r="AC28" s="159"/>
      <c r="AD28" s="159"/>
    </row>
    <row r="29" ht="27" customHeight="1" spans="1:30">
      <c r="A29" s="162"/>
      <c r="B29" s="166">
        <v>12</v>
      </c>
      <c r="C29" s="161">
        <v>8</v>
      </c>
      <c r="D29" s="172"/>
      <c r="E29" s="161"/>
      <c r="F29" s="161"/>
      <c r="G29" s="174"/>
      <c r="H29" s="175"/>
      <c r="I29" s="183" t="str">
        <f>INDEX(TEMPLATE_NUMBER_POINT_FHD,B29,MATCH(TEMPLATE_SPHERE,TEMPLATE_SPHERE_LIST_FOR_NOTE,0))</f>
        <v>2.5</v>
      </c>
      <c r="J29" s="183" t="str">
        <f>INDEX(TEMPLATE_DATA_POINT_FHD,B29,MATCH(TEMPLATE_SPHERE,TEMPLATE_SPHERE_LIST_FOR_NOTE,0))</f>
        <v>Расходы на  химические реагенты, используемые в технологическом процессе</v>
      </c>
      <c r="K29" s="183">
        <f>INDEX(TEMPLATE_NOTE_POINT_FHD,B29,MATCH(TEMPLATE_SPHERE,TEMPLATE_SPHERE_LIST_FOR_NOTE,0))</f>
        <v>0</v>
      </c>
      <c r="L29" s="177" t="str">
        <f t="shared" si="0"/>
        <v>2.5</v>
      </c>
      <c r="M29" s="177" t="str">
        <f t="shared" si="1"/>
        <v>Расходы на  химические реагенты, используемые в технологическом процессе</v>
      </c>
      <c r="N29" s="177" t="str">
        <f t="shared" si="2"/>
        <v/>
      </c>
      <c r="O29" s="184" t="s">
        <v>730</v>
      </c>
      <c r="P29" s="184" t="s">
        <v>306</v>
      </c>
      <c r="Q29" s="184"/>
      <c r="R29" s="184" t="s">
        <v>306</v>
      </c>
      <c r="S29" s="184"/>
      <c r="T29" s="185"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59" t="s">
        <v>2233</v>
      </c>
      <c r="V29" s="159"/>
      <c r="W29" s="159" t="s">
        <v>2233</v>
      </c>
      <c r="X29" s="161"/>
      <c r="Y29" s="190"/>
      <c r="Z29" s="159"/>
      <c r="AA29" s="179"/>
      <c r="AB29" s="159"/>
      <c r="AC29" s="159"/>
      <c r="AD29" s="159"/>
    </row>
    <row r="30" ht="54" customHeight="1" spans="1:30">
      <c r="A30" s="162"/>
      <c r="B30" s="166">
        <v>13</v>
      </c>
      <c r="C30" s="161">
        <v>9</v>
      </c>
      <c r="D30" s="172"/>
      <c r="E30" s="161"/>
      <c r="F30" s="161"/>
      <c r="G30" s="174"/>
      <c r="H30" s="175"/>
      <c r="I30" s="183" t="str">
        <f>INDEX(TEMPLATE_NUMBER_POINT_FHD,B30,MATCH(TEMPLATE_SPHERE,TEMPLATE_SPHERE_LIST_FOR_NOTE,0))</f>
        <v>2.6</v>
      </c>
      <c r="J30" s="183"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83">
        <f>INDEX(TEMPLATE_NOTE_POINT_FHD,B30,MATCH(TEMPLATE_SPHERE,TEMPLATE_SPHERE_LIST_FOR_NOTE,0))</f>
        <v>0</v>
      </c>
      <c r="L30" s="177" t="str">
        <f t="shared" si="0"/>
        <v>2.6</v>
      </c>
      <c r="M30" s="177" t="str">
        <f t="shared" si="1"/>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77" t="str">
        <f t="shared" si="2"/>
        <v/>
      </c>
      <c r="O30" s="184" t="s">
        <v>732</v>
      </c>
      <c r="P30" s="184" t="s">
        <v>723</v>
      </c>
      <c r="Q30" s="184" t="s">
        <v>732</v>
      </c>
      <c r="R30" s="184" t="s">
        <v>723</v>
      </c>
      <c r="S30" s="184"/>
      <c r="T30" s="185" t="s">
        <v>2234</v>
      </c>
      <c r="U30" s="159" t="s">
        <v>2234</v>
      </c>
      <c r="V30" s="159" t="s">
        <v>2234</v>
      </c>
      <c r="W30" s="159" t="s">
        <v>2234</v>
      </c>
      <c r="X30" s="161"/>
      <c r="Y30" s="190"/>
      <c r="Z30" s="159"/>
      <c r="AA30" s="179" t="s">
        <v>2235</v>
      </c>
      <c r="AB30" s="179" t="s">
        <v>2235</v>
      </c>
      <c r="AC30" s="179" t="s">
        <v>2235</v>
      </c>
      <c r="AD30" s="159"/>
    </row>
    <row r="31" ht="18" customHeight="1" spans="1:30">
      <c r="A31" s="162"/>
      <c r="B31" s="166">
        <v>14</v>
      </c>
      <c r="C31" s="161" t="s">
        <v>2236</v>
      </c>
      <c r="D31" s="172"/>
      <c r="E31" s="161"/>
      <c r="F31" s="161"/>
      <c r="G31" s="174"/>
      <c r="H31" s="175"/>
      <c r="I31" s="183" t="str">
        <f>INDEX(TEMPLATE_NUMBER_POINT_FHD,B31,MATCH(TEMPLATE_SPHERE,TEMPLATE_SPHERE_LIST_FOR_NOTE,0))</f>
        <v>2.6.1</v>
      </c>
      <c r="J31" s="183" t="str">
        <f>INDEX(TEMPLATE_DATA_POINT_FHD,B31,MATCH(TEMPLATE_SPHERE,TEMPLATE_SPHERE_LIST_FOR_NOTE,0))</f>
        <v>Расходы на оплату труда основного производственного персонала</v>
      </c>
      <c r="K31" s="183">
        <f>INDEX(TEMPLATE_NOTE_POINT_FHD,B31,MATCH(TEMPLATE_SPHERE,TEMPLATE_SPHERE_LIST_FOR_NOTE,0))</f>
        <v>0</v>
      </c>
      <c r="L31" s="177" t="str">
        <f t="shared" si="0"/>
        <v>2.6.1</v>
      </c>
      <c r="M31" s="177" t="str">
        <f t="shared" si="1"/>
        <v>Расходы на оплату труда основного производственного персонала</v>
      </c>
      <c r="N31" s="177" t="str">
        <f t="shared" si="2"/>
        <v/>
      </c>
      <c r="O31" s="184" t="s">
        <v>2237</v>
      </c>
      <c r="P31" s="184" t="s">
        <v>726</v>
      </c>
      <c r="Q31" s="184" t="s">
        <v>2237</v>
      </c>
      <c r="R31" s="184" t="s">
        <v>726</v>
      </c>
      <c r="S31" s="184"/>
      <c r="T31" s="186" t="s">
        <v>2238</v>
      </c>
      <c r="U31" s="159" t="s">
        <v>2238</v>
      </c>
      <c r="V31" s="159" t="s">
        <v>2238</v>
      </c>
      <c r="W31" s="159" t="s">
        <v>2238</v>
      </c>
      <c r="X31" s="161"/>
      <c r="Y31" s="190"/>
      <c r="Z31" s="159"/>
      <c r="AA31" s="179"/>
      <c r="AB31" s="179"/>
      <c r="AC31" s="179"/>
      <c r="AD31" s="159"/>
    </row>
    <row r="32" ht="36" customHeight="1" spans="1:30">
      <c r="A32" s="162"/>
      <c r="B32" s="166">
        <v>15</v>
      </c>
      <c r="C32" s="161" t="s">
        <v>2239</v>
      </c>
      <c r="D32" s="172"/>
      <c r="E32" s="161"/>
      <c r="F32" s="161"/>
      <c r="G32" s="174"/>
      <c r="H32" s="175"/>
      <c r="I32" s="183" t="str">
        <f>INDEX(TEMPLATE_NUMBER_POINT_FHD,B32,MATCH(TEMPLATE_SPHERE,TEMPLATE_SPHERE_LIST_FOR_NOTE,0))</f>
        <v>2.6.2</v>
      </c>
      <c r="J32" s="183"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83">
        <f>INDEX(TEMPLATE_NOTE_POINT_FHD,B32,MATCH(TEMPLATE_SPHERE,TEMPLATE_SPHERE_LIST_FOR_NOTE,0))</f>
        <v>0</v>
      </c>
      <c r="L32" s="177" t="str">
        <f t="shared" si="0"/>
        <v>2.6.2</v>
      </c>
      <c r="M32" s="177" t="str">
        <f t="shared" si="1"/>
        <v>Страховые взносы на обязательное социальное страхование, выплачиваемые из фонда оплаты труда основного производственного персонала</v>
      </c>
      <c r="N32" s="177" t="str">
        <f t="shared" si="2"/>
        <v/>
      </c>
      <c r="O32" s="184" t="s">
        <v>2240</v>
      </c>
      <c r="P32" s="184" t="s">
        <v>728</v>
      </c>
      <c r="Q32" s="184" t="s">
        <v>2240</v>
      </c>
      <c r="R32" s="184" t="s">
        <v>728</v>
      </c>
      <c r="S32" s="184"/>
      <c r="T32" s="18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59" t="s">
        <v>2241</v>
      </c>
      <c r="V32" s="159" t="s">
        <v>2241</v>
      </c>
      <c r="W32" s="159" t="s">
        <v>2241</v>
      </c>
      <c r="X32" s="161"/>
      <c r="Y32" s="190"/>
      <c r="Z32" s="159"/>
      <c r="AA32" s="179"/>
      <c r="AB32" s="179"/>
      <c r="AC32" s="179"/>
      <c r="AD32" s="159"/>
    </row>
    <row r="33" ht="45" customHeight="1" spans="1:30">
      <c r="A33" s="162"/>
      <c r="B33" s="166">
        <v>16</v>
      </c>
      <c r="C33" s="161">
        <v>10</v>
      </c>
      <c r="D33" s="172"/>
      <c r="E33" s="161"/>
      <c r="F33" s="161"/>
      <c r="G33" s="174"/>
      <c r="H33" s="175"/>
      <c r="I33" s="183" t="str">
        <f>INDEX(TEMPLATE_NUMBER_POINT_FHD,B33,MATCH(TEMPLATE_SPHERE,TEMPLATE_SPHERE_LIST_FOR_NOTE,0))</f>
        <v>2.7</v>
      </c>
      <c r="J33" s="183"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83">
        <f>INDEX(TEMPLATE_NOTE_POINT_FHD,B33,MATCH(TEMPLATE_SPHERE,TEMPLATE_SPHERE_LIST_FOR_NOTE,0))</f>
        <v>0</v>
      </c>
      <c r="L33" s="177" t="str">
        <f t="shared" si="0"/>
        <v>2.7</v>
      </c>
      <c r="M33" s="177" t="str">
        <f t="shared" si="1"/>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77" t="str">
        <f t="shared" si="2"/>
        <v/>
      </c>
      <c r="O33" s="184" t="s">
        <v>734</v>
      </c>
      <c r="P33" s="184" t="s">
        <v>730</v>
      </c>
      <c r="Q33" s="184" t="s">
        <v>734</v>
      </c>
      <c r="R33" s="184" t="s">
        <v>730</v>
      </c>
      <c r="S33" s="184"/>
      <c r="T33" s="18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59" t="s">
        <v>2242</v>
      </c>
      <c r="V33" s="159" t="s">
        <v>2242</v>
      </c>
      <c r="W33" s="159" t="s">
        <v>2243</v>
      </c>
      <c r="X33" s="161"/>
      <c r="Y33" s="190"/>
      <c r="Z33" s="159"/>
      <c r="AA33" s="179" t="s">
        <v>2244</v>
      </c>
      <c r="AB33" s="179" t="s">
        <v>2244</v>
      </c>
      <c r="AC33" s="179" t="s">
        <v>2244</v>
      </c>
      <c r="AD33" s="159"/>
    </row>
    <row r="34" ht="27" customHeight="1" spans="1:30">
      <c r="A34" s="162"/>
      <c r="B34" s="166">
        <v>17</v>
      </c>
      <c r="C34" s="161" t="s">
        <v>2245</v>
      </c>
      <c r="D34" s="172"/>
      <c r="E34" s="161"/>
      <c r="F34" s="161"/>
      <c r="G34" s="174"/>
      <c r="H34" s="175"/>
      <c r="I34" s="183" t="str">
        <f>INDEX(TEMPLATE_NUMBER_POINT_FHD,B34,MATCH(TEMPLATE_SPHERE,TEMPLATE_SPHERE_LIST_FOR_NOTE,0))</f>
        <v>2.7.1</v>
      </c>
      <c r="J34" s="183" t="str">
        <f>INDEX(TEMPLATE_DATA_POINT_FHD,B34,MATCH(TEMPLATE_SPHERE,TEMPLATE_SPHERE_LIST_FOR_NOTE,0))</f>
        <v>Расходы на оплату труда административно-управленческого персонала</v>
      </c>
      <c r="K34" s="183">
        <f>INDEX(TEMPLATE_NOTE_POINT_FHD,B34,MATCH(TEMPLATE_SPHERE,TEMPLATE_SPHERE_LIST_FOR_NOTE,0))</f>
        <v>0</v>
      </c>
      <c r="L34" s="177" t="str">
        <f t="shared" si="0"/>
        <v>2.7.1</v>
      </c>
      <c r="M34" s="177" t="str">
        <f t="shared" si="1"/>
        <v>Расходы на оплату труда административно-управленческого персонала</v>
      </c>
      <c r="N34" s="177" t="str">
        <f t="shared" si="2"/>
        <v/>
      </c>
      <c r="O34" s="184" t="s">
        <v>2246</v>
      </c>
      <c r="P34" s="184" t="s">
        <v>2228</v>
      </c>
      <c r="Q34" s="184" t="s">
        <v>2246</v>
      </c>
      <c r="R34" s="184" t="s">
        <v>2228</v>
      </c>
      <c r="S34" s="184"/>
      <c r="T34" s="187" t="s">
        <v>2247</v>
      </c>
      <c r="U34" s="159" t="s">
        <v>2247</v>
      </c>
      <c r="V34" s="159" t="s">
        <v>2247</v>
      </c>
      <c r="W34" s="159" t="s">
        <v>2248</v>
      </c>
      <c r="X34" s="161"/>
      <c r="Y34" s="190"/>
      <c r="Z34" s="159"/>
      <c r="AA34" s="179"/>
      <c r="AB34" s="159"/>
      <c r="AC34" s="159"/>
      <c r="AD34" s="159"/>
    </row>
    <row r="35" ht="45" customHeight="1" spans="1:30">
      <c r="A35" s="162"/>
      <c r="B35" s="166">
        <v>18</v>
      </c>
      <c r="C35" s="161" t="s">
        <v>2249</v>
      </c>
      <c r="D35" s="172"/>
      <c r="E35" s="161"/>
      <c r="F35" s="161"/>
      <c r="G35" s="174"/>
      <c r="H35" s="175"/>
      <c r="I35" s="183" t="str">
        <f>INDEX(TEMPLATE_NUMBER_POINT_FHD,B35,MATCH(TEMPLATE_SPHERE,TEMPLATE_SPHERE_LIST_FOR_NOTE,0))</f>
        <v>2.7.2</v>
      </c>
      <c r="J35" s="183"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83">
        <f>INDEX(TEMPLATE_NOTE_POINT_FHD,B35,MATCH(TEMPLATE_SPHERE,TEMPLATE_SPHERE_LIST_FOR_NOTE,0))</f>
        <v>0</v>
      </c>
      <c r="L35" s="177" t="str">
        <f t="shared" si="0"/>
        <v>2.7.2</v>
      </c>
      <c r="M35" s="177" t="str">
        <f t="shared" si="1"/>
        <v>Страховые взносы на обязательное социальное страхование, выплачиваемые из фонда оплаты труда административно-управленческого персонала</v>
      </c>
      <c r="N35" s="177" t="str">
        <f t="shared" si="2"/>
        <v/>
      </c>
      <c r="O35" s="184" t="s">
        <v>2250</v>
      </c>
      <c r="P35" s="184" t="s">
        <v>2230</v>
      </c>
      <c r="Q35" s="184" t="s">
        <v>2250</v>
      </c>
      <c r="R35" s="184" t="s">
        <v>2230</v>
      </c>
      <c r="S35" s="184"/>
      <c r="T35" s="18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59" t="s">
        <v>2251</v>
      </c>
      <c r="V35" s="159" t="s">
        <v>2251</v>
      </c>
      <c r="W35" s="159" t="s">
        <v>2251</v>
      </c>
      <c r="X35" s="161"/>
      <c r="Y35" s="190"/>
      <c r="Z35" s="159"/>
      <c r="AA35" s="179"/>
      <c r="AB35" s="159"/>
      <c r="AC35" s="159"/>
      <c r="AD35" s="159"/>
    </row>
    <row r="36" ht="18" customHeight="1" spans="1:30">
      <c r="A36" s="162"/>
      <c r="B36" s="166">
        <v>19</v>
      </c>
      <c r="C36" s="161">
        <v>11</v>
      </c>
      <c r="D36" s="172"/>
      <c r="E36" s="161"/>
      <c r="F36" s="161"/>
      <c r="G36" s="174"/>
      <c r="H36" s="175"/>
      <c r="I36" s="183" t="str">
        <f>INDEX(TEMPLATE_NUMBER_POINT_FHD,B36,MATCH(TEMPLATE_SPHERE,TEMPLATE_SPHERE_LIST_FOR_NOTE,0))</f>
        <v>2.8</v>
      </c>
      <c r="J36" s="183" t="str">
        <f>INDEX(TEMPLATE_DATA_POINT_FHD,B36,MATCH(TEMPLATE_SPHERE,TEMPLATE_SPHERE_LIST_FOR_NOTE,0))</f>
        <v>Расходы на амортизацию основных средств и нематериальных активов</v>
      </c>
      <c r="K36" s="183">
        <f>INDEX(TEMPLATE_NOTE_POINT_FHD,B36,MATCH(TEMPLATE_SPHERE,TEMPLATE_SPHERE_LIST_FOR_NOTE,0))</f>
        <v>0</v>
      </c>
      <c r="L36" s="177" t="str">
        <f t="shared" si="0"/>
        <v>2.8</v>
      </c>
      <c r="M36" s="177" t="str">
        <f t="shared" si="1"/>
        <v>Расходы на амортизацию основных средств и нематериальных активов</v>
      </c>
      <c r="N36" s="177" t="str">
        <f t="shared" si="2"/>
        <v/>
      </c>
      <c r="O36" s="184" t="s">
        <v>736</v>
      </c>
      <c r="P36" s="184" t="s">
        <v>732</v>
      </c>
      <c r="Q36" s="184" t="s">
        <v>736</v>
      </c>
      <c r="R36" s="184" t="s">
        <v>732</v>
      </c>
      <c r="S36" s="184"/>
      <c r="T36" s="185" t="s">
        <v>2252</v>
      </c>
      <c r="U36" s="159" t="s">
        <v>2252</v>
      </c>
      <c r="V36" s="159" t="s">
        <v>2252</v>
      </c>
      <c r="W36" s="159" t="s">
        <v>2252</v>
      </c>
      <c r="X36" s="161"/>
      <c r="Y36" s="190"/>
      <c r="Z36" s="159"/>
      <c r="AA36" s="179"/>
      <c r="AB36" s="159"/>
      <c r="AC36" s="159"/>
      <c r="AD36" s="159"/>
    </row>
    <row r="37" ht="18" customHeight="1" spans="1:30">
      <c r="A37" s="162"/>
      <c r="B37" s="166">
        <v>20</v>
      </c>
      <c r="C37" s="161" t="s">
        <v>2253</v>
      </c>
      <c r="D37" s="172"/>
      <c r="E37" s="161"/>
      <c r="F37" s="161"/>
      <c r="G37" s="174"/>
      <c r="H37" s="175"/>
      <c r="I37" s="183" t="str">
        <f>INDEX(TEMPLATE_NUMBER_POINT_FHD,B37,MATCH(TEMPLATE_SPHERE,TEMPLATE_SPHERE_LIST_FOR_NOTE,0))</f>
        <v>2.8.1</v>
      </c>
      <c r="J37" s="183" t="str">
        <f>INDEX(TEMPLATE_DATA_POINT_FHD,B37,MATCH(TEMPLATE_SPHERE,TEMPLATE_SPHERE_LIST_FOR_NOTE,0))</f>
        <v>Расходы на амортизацию основных средств</v>
      </c>
      <c r="K37" s="183">
        <f>INDEX(TEMPLATE_NOTE_POINT_FHD,B37,MATCH(TEMPLATE_SPHERE,TEMPLATE_SPHERE_LIST_FOR_NOTE,0))</f>
        <v>0</v>
      </c>
      <c r="L37" s="177" t="str">
        <f t="shared" si="0"/>
        <v>2.8.1</v>
      </c>
      <c r="M37" s="177" t="str">
        <f t="shared" si="1"/>
        <v>Расходы на амортизацию основных средств</v>
      </c>
      <c r="N37" s="177" t="str">
        <f t="shared" si="2"/>
        <v/>
      </c>
      <c r="O37" s="184" t="s">
        <v>2254</v>
      </c>
      <c r="P37" s="184" t="s">
        <v>2237</v>
      </c>
      <c r="Q37" s="184" t="s">
        <v>2254</v>
      </c>
      <c r="R37" s="184" t="s">
        <v>2237</v>
      </c>
      <c r="S37" s="184"/>
      <c r="T37" s="185" t="s">
        <v>2255</v>
      </c>
      <c r="U37" s="159" t="s">
        <v>2255</v>
      </c>
      <c r="V37" s="159" t="s">
        <v>2255</v>
      </c>
      <c r="W37" s="159" t="s">
        <v>2255</v>
      </c>
      <c r="X37" s="161"/>
      <c r="Y37" s="190"/>
      <c r="Z37" s="159"/>
      <c r="AA37" s="179"/>
      <c r="AB37" s="159"/>
      <c r="AC37" s="159"/>
      <c r="AD37" s="159"/>
    </row>
    <row r="38" ht="18" customHeight="1" spans="1:30">
      <c r="A38" s="162"/>
      <c r="B38" s="166">
        <v>21</v>
      </c>
      <c r="C38" s="161" t="s">
        <v>2256</v>
      </c>
      <c r="D38" s="172"/>
      <c r="E38" s="161"/>
      <c r="F38" s="161"/>
      <c r="G38" s="174"/>
      <c r="H38" s="175"/>
      <c r="I38" s="183" t="str">
        <f>INDEX(TEMPLATE_NUMBER_POINT_FHD,B38,MATCH(TEMPLATE_SPHERE,TEMPLATE_SPHERE_LIST_FOR_NOTE,0))</f>
        <v>2.8.2</v>
      </c>
      <c r="J38" s="183" t="str">
        <f>INDEX(TEMPLATE_DATA_POINT_FHD,B38,MATCH(TEMPLATE_SPHERE,TEMPLATE_SPHERE_LIST_FOR_NOTE,0))</f>
        <v>Расходы на амортизацию нематериальных активов</v>
      </c>
      <c r="K38" s="183">
        <f>INDEX(TEMPLATE_NOTE_POINT_FHD,B38,MATCH(TEMPLATE_SPHERE,TEMPLATE_SPHERE_LIST_FOR_NOTE,0))</f>
        <v>0</v>
      </c>
      <c r="L38" s="177" t="str">
        <f t="shared" si="0"/>
        <v>2.8.2</v>
      </c>
      <c r="M38" s="177" t="str">
        <f t="shared" si="1"/>
        <v>Расходы на амортизацию нематериальных активов</v>
      </c>
      <c r="N38" s="177" t="str">
        <f t="shared" si="2"/>
        <v/>
      </c>
      <c r="O38" s="184" t="s">
        <v>2257</v>
      </c>
      <c r="P38" s="184" t="s">
        <v>2240</v>
      </c>
      <c r="Q38" s="184" t="s">
        <v>2257</v>
      </c>
      <c r="R38" s="184" t="s">
        <v>2240</v>
      </c>
      <c r="S38" s="184"/>
      <c r="T38" s="185" t="s">
        <v>2258</v>
      </c>
      <c r="U38" s="159" t="s">
        <v>2258</v>
      </c>
      <c r="V38" s="159" t="s">
        <v>2258</v>
      </c>
      <c r="W38" s="159" t="s">
        <v>2258</v>
      </c>
      <c r="X38" s="161"/>
      <c r="Y38" s="190"/>
      <c r="Z38" s="159"/>
      <c r="AA38" s="179"/>
      <c r="AB38" s="159"/>
      <c r="AC38" s="159"/>
      <c r="AD38" s="159"/>
    </row>
    <row r="39" ht="36" customHeight="1" spans="1:30">
      <c r="A39" s="162"/>
      <c r="B39" s="166">
        <v>22</v>
      </c>
      <c r="C39" s="161">
        <v>12</v>
      </c>
      <c r="D39" s="172"/>
      <c r="E39" s="161"/>
      <c r="F39" s="161"/>
      <c r="G39" s="174"/>
      <c r="H39" s="175"/>
      <c r="I39" s="183" t="str">
        <f>INDEX(TEMPLATE_NUMBER_POINT_FHD,B39,MATCH(TEMPLATE_SPHERE,TEMPLATE_SPHERE_LIST_FOR_NOTE,0))</f>
        <v>2.9</v>
      </c>
      <c r="J39" s="183" t="str">
        <f>INDEX(TEMPLATE_DATA_POINT_FHD,B39,MATCH(TEMPLATE_SPHERE,TEMPLATE_SPHERE_LIST_FOR_NOTE,0))</f>
        <v>Расходы на аренду имущества, используемого для осуществления регулируемого вида деятельности</v>
      </c>
      <c r="K39" s="183">
        <f>INDEX(TEMPLATE_NOTE_POINT_FHD,B39,MATCH(TEMPLATE_SPHERE,TEMPLATE_SPHERE_LIST_FOR_NOTE,0))</f>
        <v>0</v>
      </c>
      <c r="L39" s="177" t="str">
        <f t="shared" si="0"/>
        <v>2.9</v>
      </c>
      <c r="M39" s="177" t="str">
        <f t="shared" si="1"/>
        <v>Расходы на аренду имущества, используемого для осуществления регулируемого вида деятельности</v>
      </c>
      <c r="N39" s="177" t="str">
        <f t="shared" si="2"/>
        <v/>
      </c>
      <c r="O39" s="184" t="s">
        <v>740</v>
      </c>
      <c r="P39" s="184" t="s">
        <v>734</v>
      </c>
      <c r="Q39" s="184" t="s">
        <v>740</v>
      </c>
      <c r="R39" s="184" t="s">
        <v>734</v>
      </c>
      <c r="S39" s="184"/>
      <c r="T39" s="185" t="s">
        <v>2259</v>
      </c>
      <c r="U39" s="159" t="s">
        <v>2260</v>
      </c>
      <c r="V39" s="159" t="s">
        <v>2261</v>
      </c>
      <c r="W39" s="159" t="s">
        <v>2262</v>
      </c>
      <c r="X39" s="161"/>
      <c r="Y39" s="190"/>
      <c r="Z39" s="159"/>
      <c r="AA39" s="179"/>
      <c r="AB39" s="159"/>
      <c r="AC39" s="159"/>
      <c r="AD39" s="159"/>
    </row>
    <row r="40" ht="18" customHeight="1" spans="1:30">
      <c r="A40" s="162"/>
      <c r="B40" s="166">
        <v>23</v>
      </c>
      <c r="C40" s="161">
        <v>13</v>
      </c>
      <c r="D40" s="172"/>
      <c r="E40" s="161"/>
      <c r="F40" s="161"/>
      <c r="G40" s="161"/>
      <c r="H40" s="176"/>
      <c r="I40" s="183" t="str">
        <f>INDEX(TEMPLATE_NUMBER_POINT_FHD,B40,MATCH(TEMPLATE_SPHERE,TEMPLATE_SPHERE_LIST_FOR_NOTE,0))</f>
        <v>2.10</v>
      </c>
      <c r="J40" s="183" t="str">
        <f>INDEX(TEMPLATE_DATA_POINT_FHD,B40,MATCH(TEMPLATE_SPHERE,TEMPLATE_SPHERE_LIST_FOR_NOTE,0))</f>
        <v>Общепроизводственные расходы, в том числе:</v>
      </c>
      <c r="K40" s="183" t="str">
        <f>INDEX(TEMPLATE_NOTE_POINT_FHD,B40,MATCH(TEMPLATE_SPHERE,TEMPLATE_SPHERE_LIST_FOR_NOTE,0))</f>
        <v>Указывается общая сумма общепроизводственных расходов.</v>
      </c>
      <c r="L40" s="177" t="str">
        <f t="shared" si="0"/>
        <v>2.10</v>
      </c>
      <c r="M40" s="177" t="str">
        <f t="shared" si="1"/>
        <v>Общепроизводственные расходы, в том числе:</v>
      </c>
      <c r="N40" s="177" t="str">
        <f t="shared" si="2"/>
        <v>Указывается общая сумма общепроизводственных расходов.</v>
      </c>
      <c r="O40" s="184" t="s">
        <v>792</v>
      </c>
      <c r="P40" s="184" t="s">
        <v>736</v>
      </c>
      <c r="Q40" s="184" t="s">
        <v>792</v>
      </c>
      <c r="R40" s="184" t="s">
        <v>736</v>
      </c>
      <c r="S40" s="184"/>
      <c r="T40" s="161" t="s">
        <v>2263</v>
      </c>
      <c r="U40" s="161" t="s">
        <v>2263</v>
      </c>
      <c r="V40" s="161" t="s">
        <v>2263</v>
      </c>
      <c r="W40" s="161" t="s">
        <v>2263</v>
      </c>
      <c r="X40" s="161"/>
      <c r="Y40" s="190"/>
      <c r="Z40" s="159" t="s">
        <v>2264</v>
      </c>
      <c r="AA40" s="179" t="s">
        <v>2264</v>
      </c>
      <c r="AB40" s="179" t="s">
        <v>2264</v>
      </c>
      <c r="AC40" s="179" t="s">
        <v>2264</v>
      </c>
      <c r="AD40" s="159"/>
    </row>
    <row r="41" ht="27" customHeight="1" spans="1:30">
      <c r="A41" s="162"/>
      <c r="B41" s="166">
        <v>24</v>
      </c>
      <c r="C41" s="161" t="s">
        <v>2265</v>
      </c>
      <c r="D41" s="172"/>
      <c r="E41" s="161"/>
      <c r="F41" s="161"/>
      <c r="G41" s="161"/>
      <c r="H41" s="174"/>
      <c r="I41" s="183" t="str">
        <f>INDEX(TEMPLATE_NUMBER_POINT_FHD,B41,MATCH(TEMPLATE_SPHERE,TEMPLATE_SPHERE_LIST_FOR_NOTE,0))</f>
        <v>2.10.1</v>
      </c>
      <c r="J41" s="183" t="str">
        <f>INDEX(TEMPLATE_DATA_POINT_FHD,B41,MATCH(TEMPLATE_SPHERE,TEMPLATE_SPHERE_LIST_FOR_NOTE,0))</f>
        <v>Расходы на текущий ремонт</v>
      </c>
      <c r="K41" s="183" t="str">
        <f>INDEX(TEMPLATE_NOTE_POINT_FHD,B41,MATCH(TEMPLATE_SPHERE,TEMPLATE_SPHERE_LIST_FOR_NOTE,0))</f>
        <v>Указываются расходы на текущий ремонт, отнесенные к общепроизводственным расходам.</v>
      </c>
      <c r="L41" s="177" t="str">
        <f t="shared" si="0"/>
        <v>2.10.1</v>
      </c>
      <c r="M41" s="177" t="str">
        <f t="shared" si="1"/>
        <v>Расходы на текущий ремонт</v>
      </c>
      <c r="N41" s="177" t="str">
        <f t="shared" si="2"/>
        <v>Указываются расходы на текущий ремонт, отнесенные к общепроизводственным расходам.</v>
      </c>
      <c r="O41" s="184" t="s">
        <v>2266</v>
      </c>
      <c r="P41" s="184" t="s">
        <v>2254</v>
      </c>
      <c r="Q41" s="184" t="s">
        <v>2266</v>
      </c>
      <c r="R41" s="184" t="s">
        <v>2254</v>
      </c>
      <c r="S41" s="184"/>
      <c r="T41" s="161" t="s">
        <v>2267</v>
      </c>
      <c r="U41" s="161" t="s">
        <v>2267</v>
      </c>
      <c r="V41" s="161" t="s">
        <v>2267</v>
      </c>
      <c r="W41" s="161" t="s">
        <v>2267</v>
      </c>
      <c r="X41" s="161"/>
      <c r="Y41" s="190"/>
      <c r="Z41" s="159" t="s">
        <v>2268</v>
      </c>
      <c r="AA41" s="159" t="s">
        <v>2268</v>
      </c>
      <c r="AB41" s="159" t="s">
        <v>2268</v>
      </c>
      <c r="AC41" s="159" t="s">
        <v>2268</v>
      </c>
      <c r="AD41" s="159"/>
    </row>
    <row r="42" ht="27" customHeight="1" spans="1:30">
      <c r="A42" s="162"/>
      <c r="B42" s="166">
        <v>25</v>
      </c>
      <c r="C42" s="161" t="s">
        <v>2269</v>
      </c>
      <c r="D42" s="172"/>
      <c r="E42" s="161"/>
      <c r="F42" s="161"/>
      <c r="G42" s="161"/>
      <c r="H42" s="174"/>
      <c r="I42" s="183" t="str">
        <f>INDEX(TEMPLATE_NUMBER_POINT_FHD,B42,MATCH(TEMPLATE_SPHERE,TEMPLATE_SPHERE_LIST_FOR_NOTE,0))</f>
        <v>2.10.2</v>
      </c>
      <c r="J42" s="183" t="str">
        <f>INDEX(TEMPLATE_DATA_POINT_FHD,B42,MATCH(TEMPLATE_SPHERE,TEMPLATE_SPHERE_LIST_FOR_NOTE,0))</f>
        <v>Расходы на капитальный ремонт</v>
      </c>
      <c r="K42" s="183" t="str">
        <f>INDEX(TEMPLATE_NOTE_POINT_FHD,B42,MATCH(TEMPLATE_SPHERE,TEMPLATE_SPHERE_LIST_FOR_NOTE,0))</f>
        <v>Указываются расходы на капитальный ремонт, отнесенные к общепроизводственным расходам.</v>
      </c>
      <c r="L42" s="177" t="str">
        <f t="shared" si="0"/>
        <v>2.10.2</v>
      </c>
      <c r="M42" s="177" t="str">
        <f t="shared" si="1"/>
        <v>Расходы на капитальный ремонт</v>
      </c>
      <c r="N42" s="177" t="str">
        <f t="shared" si="2"/>
        <v>Указываются расходы на капитальный ремонт, отнесенные к общепроизводственным расходам.</v>
      </c>
      <c r="O42" s="184" t="s">
        <v>2270</v>
      </c>
      <c r="P42" s="184" t="s">
        <v>2257</v>
      </c>
      <c r="Q42" s="184" t="s">
        <v>2270</v>
      </c>
      <c r="R42" s="184" t="s">
        <v>2257</v>
      </c>
      <c r="S42" s="184"/>
      <c r="T42" s="161" t="s">
        <v>2271</v>
      </c>
      <c r="U42" s="161" t="s">
        <v>2271</v>
      </c>
      <c r="V42" s="161" t="s">
        <v>2271</v>
      </c>
      <c r="W42" s="161" t="s">
        <v>2271</v>
      </c>
      <c r="X42" s="161"/>
      <c r="Y42" s="190"/>
      <c r="Z42" s="159" t="s">
        <v>2272</v>
      </c>
      <c r="AA42" s="159" t="s">
        <v>2272</v>
      </c>
      <c r="AB42" s="159" t="s">
        <v>2272</v>
      </c>
      <c r="AC42" s="159" t="s">
        <v>2272</v>
      </c>
      <c r="AD42" s="159"/>
    </row>
    <row r="43" ht="18" customHeight="1" spans="1:30">
      <c r="A43" s="162"/>
      <c r="B43" s="166">
        <v>26</v>
      </c>
      <c r="C43" s="161">
        <v>14</v>
      </c>
      <c r="D43" s="172"/>
      <c r="E43" s="161"/>
      <c r="F43" s="161"/>
      <c r="G43" s="161"/>
      <c r="H43" s="174"/>
      <c r="I43" s="183" t="str">
        <f>INDEX(TEMPLATE_NUMBER_POINT_FHD,B43,MATCH(TEMPLATE_SPHERE,TEMPLATE_SPHERE_LIST_FOR_NOTE,0))</f>
        <v>2.11</v>
      </c>
      <c r="J43" s="183" t="str">
        <f>INDEX(TEMPLATE_DATA_POINT_FHD,B43,MATCH(TEMPLATE_SPHERE,TEMPLATE_SPHERE_LIST_FOR_NOTE,0))</f>
        <v>Общехозяйственные расходы, в том числе:</v>
      </c>
      <c r="K43" s="183" t="str">
        <f>INDEX(TEMPLATE_NOTE_POINT_FHD,B43,MATCH(TEMPLATE_SPHERE,TEMPLATE_SPHERE_LIST_FOR_NOTE,0))</f>
        <v>Указывается общая сумма общехозяйственных расходов.</v>
      </c>
      <c r="L43" s="177" t="str">
        <f t="shared" si="0"/>
        <v>2.11</v>
      </c>
      <c r="M43" s="177" t="str">
        <f t="shared" si="1"/>
        <v>Общехозяйственные расходы, в том числе:</v>
      </c>
      <c r="N43" s="177" t="str">
        <f t="shared" si="2"/>
        <v>Указывается общая сумма общехозяйственных расходов.</v>
      </c>
      <c r="O43" s="184" t="s">
        <v>2273</v>
      </c>
      <c r="P43" s="184" t="s">
        <v>740</v>
      </c>
      <c r="Q43" s="184" t="s">
        <v>2273</v>
      </c>
      <c r="R43" s="184" t="s">
        <v>740</v>
      </c>
      <c r="S43" s="184"/>
      <c r="T43" s="161" t="s">
        <v>2274</v>
      </c>
      <c r="U43" s="161" t="s">
        <v>2274</v>
      </c>
      <c r="V43" s="161" t="s">
        <v>2274</v>
      </c>
      <c r="W43" s="161" t="s">
        <v>2274</v>
      </c>
      <c r="X43" s="161"/>
      <c r="Y43" s="190"/>
      <c r="Z43" s="159" t="s">
        <v>2275</v>
      </c>
      <c r="AA43" s="159" t="s">
        <v>2275</v>
      </c>
      <c r="AB43" s="159" t="s">
        <v>2275</v>
      </c>
      <c r="AC43" s="159" t="s">
        <v>2275</v>
      </c>
      <c r="AD43" s="159"/>
    </row>
    <row r="44" ht="27" customHeight="1" spans="1:30">
      <c r="A44" s="162"/>
      <c r="B44" s="166">
        <v>27</v>
      </c>
      <c r="C44" s="161" t="s">
        <v>2276</v>
      </c>
      <c r="D44" s="172"/>
      <c r="E44" s="161"/>
      <c r="F44" s="161"/>
      <c r="G44" s="161"/>
      <c r="H44" s="174"/>
      <c r="I44" s="183" t="str">
        <f>INDEX(TEMPLATE_NUMBER_POINT_FHD,B44,MATCH(TEMPLATE_SPHERE,TEMPLATE_SPHERE_LIST_FOR_NOTE,0))</f>
        <v>2.11.1</v>
      </c>
      <c r="J44" s="183" t="str">
        <f>INDEX(TEMPLATE_DATA_POINT_FHD,B44,MATCH(TEMPLATE_SPHERE,TEMPLATE_SPHERE_LIST_FOR_NOTE,0))</f>
        <v>Расходы на текущий ремонт</v>
      </c>
      <c r="K44" s="183" t="str">
        <f>INDEX(TEMPLATE_NOTE_POINT_FHD,B44,MATCH(TEMPLATE_SPHERE,TEMPLATE_SPHERE_LIST_FOR_NOTE,0))</f>
        <v>Указываются расходы на текущий ремонт, отнесенные к общехозяйственным расходам.</v>
      </c>
      <c r="L44" s="177" t="str">
        <f t="shared" si="0"/>
        <v>2.11.1</v>
      </c>
      <c r="M44" s="177" t="str">
        <f t="shared" si="1"/>
        <v>Расходы на текущий ремонт</v>
      </c>
      <c r="N44" s="177" t="str">
        <f t="shared" si="2"/>
        <v>Указываются расходы на текущий ремонт, отнесенные к общехозяйственным расходам.</v>
      </c>
      <c r="O44" s="184" t="s">
        <v>2277</v>
      </c>
      <c r="P44" s="184" t="s">
        <v>743</v>
      </c>
      <c r="Q44" s="184" t="s">
        <v>2277</v>
      </c>
      <c r="R44" s="184" t="s">
        <v>743</v>
      </c>
      <c r="S44" s="184"/>
      <c r="T44" s="161" t="s">
        <v>2267</v>
      </c>
      <c r="U44" s="161" t="s">
        <v>2267</v>
      </c>
      <c r="V44" s="161" t="s">
        <v>2267</v>
      </c>
      <c r="W44" s="161" t="s">
        <v>2267</v>
      </c>
      <c r="X44" s="161"/>
      <c r="Y44" s="190"/>
      <c r="Z44" s="159" t="s">
        <v>2278</v>
      </c>
      <c r="AA44" s="159" t="s">
        <v>2278</v>
      </c>
      <c r="AB44" s="159" t="s">
        <v>2278</v>
      </c>
      <c r="AC44" s="159" t="s">
        <v>2278</v>
      </c>
      <c r="AD44" s="159"/>
    </row>
    <row r="45" ht="27" customHeight="1" spans="1:30">
      <c r="A45" s="162"/>
      <c r="B45" s="166">
        <v>28</v>
      </c>
      <c r="C45" s="161" t="s">
        <v>2279</v>
      </c>
      <c r="D45" s="172"/>
      <c r="E45" s="161"/>
      <c r="F45" s="161"/>
      <c r="G45" s="161"/>
      <c r="H45" s="174"/>
      <c r="I45" s="183" t="str">
        <f>INDEX(TEMPLATE_NUMBER_POINT_FHD,B45,MATCH(TEMPLATE_SPHERE,TEMPLATE_SPHERE_LIST_FOR_NOTE,0))</f>
        <v>2.11.2</v>
      </c>
      <c r="J45" s="183" t="str">
        <f>INDEX(TEMPLATE_DATA_POINT_FHD,B45,MATCH(TEMPLATE_SPHERE,TEMPLATE_SPHERE_LIST_FOR_NOTE,0))</f>
        <v>Расходы на капитальный ремонт</v>
      </c>
      <c r="K45" s="183" t="str">
        <f>INDEX(TEMPLATE_NOTE_POINT_FHD,B45,MATCH(TEMPLATE_SPHERE,TEMPLATE_SPHERE_LIST_FOR_NOTE,0))</f>
        <v>Указываются расходы на капитальный ремонт, отнесенные к общехозяйственным расходам.</v>
      </c>
      <c r="L45" s="177" t="str">
        <f t="shared" si="0"/>
        <v>2.11.2</v>
      </c>
      <c r="M45" s="177" t="str">
        <f t="shared" si="1"/>
        <v>Расходы на капитальный ремонт</v>
      </c>
      <c r="N45" s="177" t="str">
        <f t="shared" si="2"/>
        <v>Указываются расходы на капитальный ремонт, отнесенные к общехозяйственным расходам.</v>
      </c>
      <c r="O45" s="184" t="s">
        <v>2280</v>
      </c>
      <c r="P45" s="184" t="s">
        <v>746</v>
      </c>
      <c r="Q45" s="184" t="s">
        <v>2280</v>
      </c>
      <c r="R45" s="184" t="s">
        <v>746</v>
      </c>
      <c r="S45" s="184"/>
      <c r="T45" s="161" t="s">
        <v>2271</v>
      </c>
      <c r="U45" s="161" t="s">
        <v>2271</v>
      </c>
      <c r="V45" s="161" t="s">
        <v>2271</v>
      </c>
      <c r="W45" s="161" t="s">
        <v>2271</v>
      </c>
      <c r="X45" s="161"/>
      <c r="Y45" s="190"/>
      <c r="Z45" s="159" t="s">
        <v>2281</v>
      </c>
      <c r="AA45" s="159" t="s">
        <v>2281</v>
      </c>
      <c r="AB45" s="159" t="s">
        <v>2281</v>
      </c>
      <c r="AC45" s="159" t="s">
        <v>2281</v>
      </c>
      <c r="AD45" s="159"/>
    </row>
    <row r="46" ht="54" customHeight="1" spans="1:30">
      <c r="A46" s="162"/>
      <c r="B46" s="166">
        <v>29</v>
      </c>
      <c r="C46" s="161">
        <v>15</v>
      </c>
      <c r="D46" s="172"/>
      <c r="E46" s="161"/>
      <c r="F46" s="161"/>
      <c r="G46" s="161"/>
      <c r="H46" s="174"/>
      <c r="I46" s="183" t="str">
        <f>INDEX(TEMPLATE_NUMBER_POINT_FHD,B46,MATCH(TEMPLATE_SPHERE,TEMPLATE_SPHERE_LIST_FOR_NOTE,0))</f>
        <v>2.12</v>
      </c>
      <c r="J46" s="183" t="str">
        <f>INDEX(TEMPLATE_DATA_POINT_FHD,B46,MATCH(TEMPLATE_SPHERE,TEMPLATE_SPHERE_LIST_FOR_NOTE,0))</f>
        <v>Расходы на капитальный и текущий ремонт основных средств</v>
      </c>
      <c r="K46" s="183"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77" t="str">
        <f t="shared" si="0"/>
        <v>2.12</v>
      </c>
      <c r="M46" s="177" t="str">
        <f t="shared" si="1"/>
        <v>Расходы на капитальный и текущий ремонт основных средств</v>
      </c>
      <c r="N46" s="177" t="str">
        <f t="shared" si="2"/>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84" t="s">
        <v>2282</v>
      </c>
      <c r="P46" s="184" t="s">
        <v>792</v>
      </c>
      <c r="Q46" s="184" t="s">
        <v>2282</v>
      </c>
      <c r="R46" s="184" t="s">
        <v>792</v>
      </c>
      <c r="S46" s="184"/>
      <c r="T46" s="17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61" t="s">
        <v>2283</v>
      </c>
      <c r="V46" s="161" t="s">
        <v>2283</v>
      </c>
      <c r="W46" s="161" t="s">
        <v>2283</v>
      </c>
      <c r="X46" s="161"/>
      <c r="Y46" s="190"/>
      <c r="Z46" s="159" t="s">
        <v>2284</v>
      </c>
      <c r="AA46" s="159" t="s">
        <v>2285</v>
      </c>
      <c r="AB46" s="159" t="s">
        <v>2285</v>
      </c>
      <c r="AC46" s="159" t="s">
        <v>2285</v>
      </c>
      <c r="AD46" s="159"/>
    </row>
    <row r="47" ht="54" customHeight="1" spans="1:30">
      <c r="A47" s="162"/>
      <c r="B47" s="166">
        <v>30</v>
      </c>
      <c r="C47" s="161" t="s">
        <v>2286</v>
      </c>
      <c r="D47" s="172"/>
      <c r="E47" s="161"/>
      <c r="F47" s="161"/>
      <c r="G47" s="161"/>
      <c r="H47" s="174"/>
      <c r="I47" s="183" t="str">
        <f>INDEX(TEMPLATE_NUMBER_POINT_FHD,B47,MATCH(TEMPLATE_SPHERE,TEMPLATE_SPHERE_LIST_FOR_NOTE,0))</f>
        <v>2.12.1</v>
      </c>
      <c r="J47" s="183"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83">
        <f>INDEX(TEMPLATE_NOTE_POINT_FHD,B47,MATCH(TEMPLATE_SPHERE,TEMPLATE_SPHERE_LIST_FOR_NOTE,0))</f>
        <v>0</v>
      </c>
      <c r="L47" s="177" t="str">
        <f t="shared" si="0"/>
        <v>2.12.1</v>
      </c>
      <c r="M47" s="177" t="str">
        <f t="shared" si="1"/>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77" t="str">
        <f t="shared" si="2"/>
        <v/>
      </c>
      <c r="O47" s="184" t="s">
        <v>2287</v>
      </c>
      <c r="P47" s="184" t="s">
        <v>2266</v>
      </c>
      <c r="Q47" s="184" t="s">
        <v>2287</v>
      </c>
      <c r="R47" s="184" t="s">
        <v>2266</v>
      </c>
      <c r="S47" s="184"/>
      <c r="T47" s="161" t="s">
        <v>2288</v>
      </c>
      <c r="U47" s="161" t="s">
        <v>2288</v>
      </c>
      <c r="V47" s="161" t="s">
        <v>2288</v>
      </c>
      <c r="W47" s="161" t="s">
        <v>2288</v>
      </c>
      <c r="X47" s="161"/>
      <c r="Y47" s="190"/>
      <c r="Z47" s="159"/>
      <c r="AA47" s="179"/>
      <c r="AB47" s="179"/>
      <c r="AC47" s="179"/>
      <c r="AD47" s="159"/>
    </row>
    <row r="48" ht="54" customHeight="1" spans="1:30">
      <c r="A48" s="162"/>
      <c r="B48" s="166">
        <v>31</v>
      </c>
      <c r="C48" s="161">
        <v>16</v>
      </c>
      <c r="D48" s="172"/>
      <c r="E48" s="161"/>
      <c r="F48" s="161"/>
      <c r="G48" s="161"/>
      <c r="H48" s="174"/>
      <c r="I48" s="183">
        <f>INDEX(TEMPLATE_NUMBER_POINT_FHD,B48,MATCH(TEMPLATE_SPHERE,TEMPLATE_SPHERE_LIST_FOR_NOTE,0))</f>
        <v>0</v>
      </c>
      <c r="J48" s="183">
        <f>INDEX(TEMPLATE_DATA_POINT_FHD,B48,MATCH(TEMPLATE_SPHERE,TEMPLATE_SPHERE_LIST_FOR_NOTE,0))</f>
        <v>0</v>
      </c>
      <c r="K48" s="183">
        <f>INDEX(TEMPLATE_NOTE_POINT_FHD,B48,MATCH(TEMPLATE_SPHERE,TEMPLATE_SPHERE_LIST_FOR_NOTE,0))</f>
        <v>0</v>
      </c>
      <c r="L48" s="177" t="str">
        <f t="shared" si="0"/>
        <v/>
      </c>
      <c r="M48" s="177" t="str">
        <f t="shared" si="1"/>
        <v/>
      </c>
      <c r="N48" s="177" t="str">
        <f t="shared" si="2"/>
        <v/>
      </c>
      <c r="O48" s="184"/>
      <c r="P48" s="184" t="s">
        <v>2273</v>
      </c>
      <c r="Q48" s="184" t="s">
        <v>2289</v>
      </c>
      <c r="R48" s="184" t="s">
        <v>2273</v>
      </c>
      <c r="S48" s="184"/>
      <c r="T48" s="161"/>
      <c r="U48" s="161" t="s">
        <v>2290</v>
      </c>
      <c r="V48" s="161" t="s">
        <v>2291</v>
      </c>
      <c r="W48" s="161" t="s">
        <v>2291</v>
      </c>
      <c r="X48" s="161"/>
      <c r="Y48" s="190"/>
      <c r="Z48" s="159"/>
      <c r="AA48" s="179" t="s">
        <v>2285</v>
      </c>
      <c r="AB48" s="179" t="s">
        <v>2285</v>
      </c>
      <c r="AC48" s="179" t="s">
        <v>2285</v>
      </c>
      <c r="AD48" s="159"/>
    </row>
    <row r="49" ht="54" customHeight="1" spans="1:30">
      <c r="A49" s="162"/>
      <c r="B49" s="166">
        <v>32</v>
      </c>
      <c r="C49" s="161" t="s">
        <v>2292</v>
      </c>
      <c r="D49" s="172"/>
      <c r="E49" s="161"/>
      <c r="F49" s="161"/>
      <c r="G49" s="161"/>
      <c r="H49" s="174"/>
      <c r="I49" s="183">
        <f>INDEX(TEMPLATE_NUMBER_POINT_FHD,B49,MATCH(TEMPLATE_SPHERE,TEMPLATE_SPHERE_LIST_FOR_NOTE,0))</f>
        <v>0</v>
      </c>
      <c r="J49" s="183">
        <f>INDEX(TEMPLATE_DATA_POINT_FHD,B49,MATCH(TEMPLATE_SPHERE,TEMPLATE_SPHERE_LIST_FOR_NOTE,0))</f>
        <v>0</v>
      </c>
      <c r="K49" s="183">
        <f>INDEX(TEMPLATE_NOTE_POINT_FHD,B49,MATCH(TEMPLATE_SPHERE,TEMPLATE_SPHERE_LIST_FOR_NOTE,0))</f>
        <v>0</v>
      </c>
      <c r="L49" s="177" t="str">
        <f t="shared" si="0"/>
        <v/>
      </c>
      <c r="M49" s="177" t="str">
        <f t="shared" si="1"/>
        <v/>
      </c>
      <c r="N49" s="177" t="str">
        <f t="shared" si="2"/>
        <v/>
      </c>
      <c r="O49" s="184"/>
      <c r="P49" s="184" t="s">
        <v>2277</v>
      </c>
      <c r="Q49" s="184" t="s">
        <v>2293</v>
      </c>
      <c r="R49" s="184" t="s">
        <v>2277</v>
      </c>
      <c r="S49" s="184"/>
      <c r="T49" s="161"/>
      <c r="U49" s="161" t="s">
        <v>2288</v>
      </c>
      <c r="V49" s="161" t="s">
        <v>2288</v>
      </c>
      <c r="W49" s="161" t="s">
        <v>2288</v>
      </c>
      <c r="X49" s="161"/>
      <c r="Y49" s="190"/>
      <c r="Z49" s="159"/>
      <c r="AA49" s="179"/>
      <c r="AB49" s="179"/>
      <c r="AC49" s="179"/>
      <c r="AD49" s="159"/>
    </row>
    <row r="50" ht="126" customHeight="1" spans="1:30">
      <c r="A50" s="162"/>
      <c r="B50" s="166">
        <v>33</v>
      </c>
      <c r="C50" s="161">
        <v>17</v>
      </c>
      <c r="D50" s="172"/>
      <c r="E50" s="161"/>
      <c r="F50" s="161"/>
      <c r="G50" s="161"/>
      <c r="H50" s="174"/>
      <c r="I50" s="183" t="str">
        <f>INDEX(TEMPLATE_NUMBER_POINT_FHD,B50,MATCH(TEMPLATE_SPHERE,TEMPLATE_SPHERE_LIST_FOR_NOTE,0))</f>
        <v>2.13</v>
      </c>
      <c r="J50" s="183"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83"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77" t="str">
        <f t="shared" si="0"/>
        <v>2.13</v>
      </c>
      <c r="M50" s="177" t="str">
        <f t="shared" si="1"/>
        <v>Прочие расходы, которые подлежат отнесению на регулируемые виды деятельности в соответствии с законодательством Российской Федерации</v>
      </c>
      <c r="N50" s="177" t="str">
        <f t="shared" si="2"/>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84" t="s">
        <v>2289</v>
      </c>
      <c r="P50" s="184" t="s">
        <v>2282</v>
      </c>
      <c r="Q50" s="184" t="s">
        <v>2294</v>
      </c>
      <c r="R50" s="184" t="s">
        <v>2282</v>
      </c>
      <c r="S50" s="184"/>
      <c r="T50" s="161" t="s">
        <v>2295</v>
      </c>
      <c r="U50" s="161" t="s">
        <v>2296</v>
      </c>
      <c r="V50" s="161" t="s">
        <v>2297</v>
      </c>
      <c r="W50" s="161" t="s">
        <v>2298</v>
      </c>
      <c r="X50" s="161"/>
      <c r="Y50" s="190"/>
      <c r="Z50" s="159" t="s">
        <v>2299</v>
      </c>
      <c r="AA50" s="179" t="s">
        <v>2300</v>
      </c>
      <c r="AB50" s="179" t="s">
        <v>2300</v>
      </c>
      <c r="AC50" s="179" t="s">
        <v>2300</v>
      </c>
      <c r="AD50" s="159"/>
    </row>
    <row r="51" ht="27" customHeight="1" spans="1:30">
      <c r="A51" s="162"/>
      <c r="B51" s="166">
        <v>34</v>
      </c>
      <c r="C51" s="161" t="s">
        <v>2301</v>
      </c>
      <c r="D51" s="172"/>
      <c r="E51" s="161"/>
      <c r="F51" s="161"/>
      <c r="G51" s="161"/>
      <c r="H51" s="174"/>
      <c r="I51" s="183" t="str">
        <f>INDEX(TEMPLATE_NUMBER_POINT_FHD,B51,MATCH(TEMPLATE_SPHERE,TEMPLATE_SPHERE_LIST_FOR_NOTE,0))</f>
        <v>3</v>
      </c>
      <c r="J51" s="183"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83">
        <f>INDEX(TEMPLATE_NOTE_POINT_FHD,B51,MATCH(TEMPLATE_SPHERE,TEMPLATE_SPHERE_LIST_FOR_NOTE,0))</f>
        <v>0</v>
      </c>
      <c r="L51" s="177" t="str">
        <f t="shared" si="0"/>
        <v>3</v>
      </c>
      <c r="M51" s="177" t="str">
        <f t="shared" si="1"/>
        <v>Валовая прибыль (убытки) от реализации товаров и оказания услуг по регулируемому виду деятельности</v>
      </c>
      <c r="N51" s="177" t="str">
        <f t="shared" si="2"/>
        <v/>
      </c>
      <c r="O51" s="184" t="s">
        <v>91</v>
      </c>
      <c r="P51" s="184"/>
      <c r="Q51" s="184"/>
      <c r="R51" s="184"/>
      <c r="S51" s="184"/>
      <c r="T51" s="161" t="s">
        <v>2302</v>
      </c>
      <c r="U51" s="161"/>
      <c r="V51" s="161"/>
      <c r="W51" s="161"/>
      <c r="X51" s="161"/>
      <c r="Y51" s="190"/>
      <c r="Z51" s="159"/>
      <c r="AA51" s="179"/>
      <c r="AB51" s="179"/>
      <c r="AC51" s="179"/>
      <c r="AD51" s="159"/>
    </row>
    <row r="52" ht="36" customHeight="1" spans="1:30">
      <c r="A52" s="162"/>
      <c r="B52" s="166">
        <v>35</v>
      </c>
      <c r="C52" s="161" t="s">
        <v>2198</v>
      </c>
      <c r="D52" s="172" t="s">
        <v>2198</v>
      </c>
      <c r="E52" s="161" t="s">
        <v>2198</v>
      </c>
      <c r="F52" s="161" t="s">
        <v>2198</v>
      </c>
      <c r="G52" s="161"/>
      <c r="H52" s="174"/>
      <c r="I52" s="183" t="str">
        <f>INDEX(TEMPLATE_NUMBER_POINT_FHD,B52,MATCH(TEMPLATE_SPHERE,TEMPLATE_SPHERE_LIST_FOR_NOTE,0))</f>
        <v>4</v>
      </c>
      <c r="J52" s="183" t="str">
        <f>INDEX(TEMPLATE_DATA_POINT_FHD,B52,MATCH(TEMPLATE_SPHERE,TEMPLATE_SPHERE_LIST_FOR_NOTE,0))</f>
        <v>Чистая прибыль, полученная от регулируемого вида деятельности, в том числе:</v>
      </c>
      <c r="K52" s="183" t="str">
        <f>INDEX(TEMPLATE_NOTE_POINT_FHD,B52,MATCH(TEMPLATE_SPHERE,TEMPLATE_SPHERE_LIST_FOR_NOTE,0))</f>
        <v>Указывается общая сумма чистой прибыли, полученной от регулируемого вида деятельности.</v>
      </c>
      <c r="L52" s="177" t="str">
        <f t="shared" si="0"/>
        <v>4</v>
      </c>
      <c r="M52" s="177" t="str">
        <f t="shared" si="1"/>
        <v>Чистая прибыль, полученная от регулируемого вида деятельности, в том числе:</v>
      </c>
      <c r="N52" s="177" t="str">
        <f t="shared" si="2"/>
        <v>Указывается общая сумма чистой прибыли, полученной от регулируемого вида деятельности.</v>
      </c>
      <c r="O52" s="184" t="s">
        <v>92</v>
      </c>
      <c r="P52" s="184" t="s">
        <v>91</v>
      </c>
      <c r="Q52" s="184" t="s">
        <v>91</v>
      </c>
      <c r="R52" s="184" t="s">
        <v>91</v>
      </c>
      <c r="S52" s="184"/>
      <c r="T52" s="161" t="s">
        <v>2303</v>
      </c>
      <c r="U52" s="161" t="s">
        <v>2304</v>
      </c>
      <c r="V52" s="161" t="s">
        <v>2305</v>
      </c>
      <c r="W52" s="161" t="s">
        <v>2306</v>
      </c>
      <c r="X52" s="161"/>
      <c r="Y52" s="190"/>
      <c r="Z52" s="159" t="s">
        <v>750</v>
      </c>
      <c r="AA52" s="179" t="s">
        <v>750</v>
      </c>
      <c r="AB52" s="179" t="s">
        <v>750</v>
      </c>
      <c r="AC52" s="179" t="s">
        <v>750</v>
      </c>
      <c r="AD52" s="159"/>
    </row>
    <row r="53" ht="36" customHeight="1" spans="1:30">
      <c r="A53" s="162"/>
      <c r="B53" s="166">
        <v>36</v>
      </c>
      <c r="C53" s="161">
        <v>1</v>
      </c>
      <c r="D53" s="172"/>
      <c r="E53" s="161"/>
      <c r="F53" s="161"/>
      <c r="G53" s="161"/>
      <c r="H53" s="174"/>
      <c r="I53" s="183" t="str">
        <f>INDEX(TEMPLATE_NUMBER_POINT_FHD,B53,MATCH(TEMPLATE_SPHERE,TEMPLATE_SPHERE_LIST_FOR_NOTE,0))</f>
        <v>4.1</v>
      </c>
      <c r="J53" s="183"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83">
        <f>INDEX(TEMPLATE_NOTE_POINT_FHD,B53,MATCH(TEMPLATE_SPHERE,TEMPLATE_SPHERE_LIST_FOR_NOTE,0))</f>
        <v>0</v>
      </c>
      <c r="L53" s="177" t="str">
        <f t="shared" si="0"/>
        <v>4.1</v>
      </c>
      <c r="M53" s="177" t="str">
        <f t="shared" si="1"/>
        <v>Размер расходования чистой прибыли на финансирование мероприятий, предусмотренных инвестиционной программой регулируемой организации</v>
      </c>
      <c r="N53" s="177" t="str">
        <f t="shared" si="2"/>
        <v/>
      </c>
      <c r="O53" s="184" t="s">
        <v>754</v>
      </c>
      <c r="P53" s="184" t="s">
        <v>320</v>
      </c>
      <c r="Q53" s="184" t="s">
        <v>320</v>
      </c>
      <c r="R53" s="184" t="s">
        <v>320</v>
      </c>
      <c r="S53" s="184"/>
      <c r="T53" s="161" t="s">
        <v>2307</v>
      </c>
      <c r="U53" s="161" t="s">
        <v>2307</v>
      </c>
      <c r="V53" s="161" t="s">
        <v>2307</v>
      </c>
      <c r="W53" s="161" t="s">
        <v>2307</v>
      </c>
      <c r="X53" s="161"/>
      <c r="Y53" s="190"/>
      <c r="Z53" s="159"/>
      <c r="AA53" s="179"/>
      <c r="AB53" s="159"/>
      <c r="AC53" s="159"/>
      <c r="AD53" s="159"/>
    </row>
    <row r="54" ht="18" customHeight="1" spans="1:30">
      <c r="A54" s="162"/>
      <c r="B54" s="166">
        <v>37</v>
      </c>
      <c r="C54" s="161" t="s">
        <v>2204</v>
      </c>
      <c r="D54" s="172" t="s">
        <v>2204</v>
      </c>
      <c r="E54" s="161" t="s">
        <v>2204</v>
      </c>
      <c r="F54" s="161" t="s">
        <v>2204</v>
      </c>
      <c r="G54" s="161"/>
      <c r="H54" s="174"/>
      <c r="I54" s="183" t="str">
        <f>INDEX(TEMPLATE_NUMBER_POINT_FHD,B54,MATCH(TEMPLATE_SPHERE,TEMPLATE_SPHERE_LIST_FOR_NOTE,0))</f>
        <v>5</v>
      </c>
      <c r="J54" s="183" t="str">
        <f>INDEX(TEMPLATE_DATA_POINT_FHD,B54,MATCH(TEMPLATE_SPHERE,TEMPLATE_SPHERE_LIST_FOR_NOTE,0))</f>
        <v>Изменение стоимости основных фондов, в том числе:</v>
      </c>
      <c r="K54" s="183" t="str">
        <f>INDEX(TEMPLATE_NOTE_POINT_FHD,B54,MATCH(TEMPLATE_SPHERE,TEMPLATE_SPHERE_LIST_FOR_NOTE,0))</f>
        <v>Указывается общее изменение стоимости основных фондов.</v>
      </c>
      <c r="L54" s="177" t="str">
        <f t="shared" si="0"/>
        <v>5</v>
      </c>
      <c r="M54" s="177" t="str">
        <f t="shared" si="1"/>
        <v>Изменение стоимости основных фондов, в том числе:</v>
      </c>
      <c r="N54" s="177" t="str">
        <f t="shared" si="2"/>
        <v>Указывается общее изменение стоимости основных фондов.</v>
      </c>
      <c r="O54" s="184" t="s">
        <v>109</v>
      </c>
      <c r="P54" s="184" t="s">
        <v>92</v>
      </c>
      <c r="Q54" s="184" t="s">
        <v>92</v>
      </c>
      <c r="R54" s="184" t="s">
        <v>92</v>
      </c>
      <c r="S54" s="184"/>
      <c r="T54" s="161" t="s">
        <v>752</v>
      </c>
      <c r="U54" s="161" t="s">
        <v>752</v>
      </c>
      <c r="V54" s="161" t="s">
        <v>752</v>
      </c>
      <c r="W54" s="161" t="s">
        <v>752</v>
      </c>
      <c r="X54" s="161"/>
      <c r="Y54" s="190"/>
      <c r="Z54" s="159" t="s">
        <v>753</v>
      </c>
      <c r="AA54" s="159" t="s">
        <v>753</v>
      </c>
      <c r="AB54" s="159" t="s">
        <v>753</v>
      </c>
      <c r="AC54" s="159" t="s">
        <v>753</v>
      </c>
      <c r="AD54" s="159"/>
    </row>
    <row r="55" ht="36" customHeight="1" spans="1:30">
      <c r="A55" s="162"/>
      <c r="B55" s="166">
        <v>38</v>
      </c>
      <c r="C55" s="161">
        <v>1</v>
      </c>
      <c r="D55" s="172"/>
      <c r="E55" s="161"/>
      <c r="F55" s="161"/>
      <c r="G55" s="161"/>
      <c r="H55" s="174"/>
      <c r="I55" s="183" t="str">
        <f>INDEX(TEMPLATE_NUMBER_POINT_FHD,B55,MATCH(TEMPLATE_SPHERE,TEMPLATE_SPHERE_LIST_FOR_NOTE,0))</f>
        <v>5.1</v>
      </c>
      <c r="J55" s="183" t="str">
        <f>INDEX(TEMPLATE_DATA_POINT_FHD,B55,MATCH(TEMPLATE_SPHERE,TEMPLATE_SPHERE_LIST_FOR_NOTE,0))</f>
        <v>Изменение стоимости основных фондов за счет:</v>
      </c>
      <c r="K55" s="183"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77" t="str">
        <f t="shared" si="0"/>
        <v>5.1</v>
      </c>
      <c r="M55" s="177" t="str">
        <f t="shared" si="1"/>
        <v>Изменение стоимости основных фондов за счет:</v>
      </c>
      <c r="N55" s="177" t="str">
        <f t="shared" si="2"/>
        <v>Указываются общее изменение стоимости основных фондов за счет их ввода в эксплуатацию и вывода из эксплуатации.</v>
      </c>
      <c r="O55" s="184" t="s">
        <v>309</v>
      </c>
      <c r="P55" s="184" t="s">
        <v>754</v>
      </c>
      <c r="Q55" s="184" t="s">
        <v>754</v>
      </c>
      <c r="R55" s="184" t="s">
        <v>754</v>
      </c>
      <c r="S55" s="184"/>
      <c r="T55" s="17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61" t="s">
        <v>2308</v>
      </c>
      <c r="V55" s="161" t="s">
        <v>2308</v>
      </c>
      <c r="W55" s="161" t="s">
        <v>2308</v>
      </c>
      <c r="X55" s="161"/>
      <c r="Y55" s="190"/>
      <c r="Z55" s="159" t="s">
        <v>2309</v>
      </c>
      <c r="AA55" s="159" t="s">
        <v>2309</v>
      </c>
      <c r="AB55" s="159" t="s">
        <v>2309</v>
      </c>
      <c r="AC55" s="159" t="s">
        <v>2309</v>
      </c>
      <c r="AD55" s="159"/>
    </row>
    <row r="56" ht="27" customHeight="1" spans="1:30">
      <c r="A56" s="162"/>
      <c r="B56" s="166">
        <v>39</v>
      </c>
      <c r="C56" s="161" t="s">
        <v>1224</v>
      </c>
      <c r="D56" s="172"/>
      <c r="E56" s="161"/>
      <c r="F56" s="161"/>
      <c r="G56" s="161"/>
      <c r="H56" s="174"/>
      <c r="I56" s="183" t="str">
        <f>INDEX(TEMPLATE_NUMBER_POINT_FHD,B56,MATCH(TEMPLATE_SPHERE,TEMPLATE_SPHERE_LIST_FOR_NOTE,0))</f>
        <v>5.1.1</v>
      </c>
      <c r="J56" s="183" t="str">
        <f>INDEX(TEMPLATE_DATA_POINT_FHD,B56,MATCH(TEMPLATE_SPHERE,TEMPLATE_SPHERE_LIST_FOR_NOTE,0))</f>
        <v>Изменения стоимости основных фондов за счет их ввода в эксплуатацию</v>
      </c>
      <c r="K56" s="183" t="str">
        <f>INDEX(TEMPLATE_NOTE_POINT_FHD,B56,MATCH(TEMPLATE_SPHERE,TEMPLATE_SPHERE_LIST_FOR_NOTE,0))</f>
        <v>Указываются изменение стоимости основных фондов за счет их ввода в эксплуатацию.</v>
      </c>
      <c r="L56" s="177" t="str">
        <f t="shared" si="0"/>
        <v>5.1.1</v>
      </c>
      <c r="M56" s="177" t="str">
        <f t="shared" si="1"/>
        <v>Изменения стоимости основных фондов за счет их ввода в эксплуатацию</v>
      </c>
      <c r="N56" s="177" t="str">
        <f t="shared" si="2"/>
        <v>Указываются изменение стоимости основных фондов за счет их ввода в эксплуатацию.</v>
      </c>
      <c r="O56" s="184" t="s">
        <v>1347</v>
      </c>
      <c r="P56" s="184" t="s">
        <v>757</v>
      </c>
      <c r="Q56" s="184" t="s">
        <v>757</v>
      </c>
      <c r="R56" s="184" t="s">
        <v>757</v>
      </c>
      <c r="S56" s="184"/>
      <c r="T56" s="17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61" t="s">
        <v>2310</v>
      </c>
      <c r="V56" s="161" t="s">
        <v>2310</v>
      </c>
      <c r="W56" s="161" t="s">
        <v>2310</v>
      </c>
      <c r="X56" s="161"/>
      <c r="Y56" s="190"/>
      <c r="Z56" s="159" t="s">
        <v>759</v>
      </c>
      <c r="AA56" s="159" t="s">
        <v>759</v>
      </c>
      <c r="AB56" s="159" t="s">
        <v>759</v>
      </c>
      <c r="AC56" s="159" t="s">
        <v>759</v>
      </c>
      <c r="AD56" s="159"/>
    </row>
    <row r="57" ht="27" customHeight="1" spans="1:30">
      <c r="A57" s="162"/>
      <c r="B57" s="166">
        <v>40</v>
      </c>
      <c r="C57" s="161" t="s">
        <v>1226</v>
      </c>
      <c r="D57" s="172"/>
      <c r="E57" s="161"/>
      <c r="F57" s="161"/>
      <c r="G57" s="161"/>
      <c r="H57" s="174"/>
      <c r="I57" s="183" t="str">
        <f>INDEX(TEMPLATE_NUMBER_POINT_FHD,B57,MATCH(TEMPLATE_SPHERE,TEMPLATE_SPHERE_LIST_FOR_NOTE,0))</f>
        <v>5.1.2</v>
      </c>
      <c r="J57" s="183" t="str">
        <f>INDEX(TEMPLATE_DATA_POINT_FHD,B57,MATCH(TEMPLATE_SPHERE,TEMPLATE_SPHERE_LIST_FOR_NOTE,0))</f>
        <v>Изменения стоимости основных фондов за счет их вывода в эксплуатацию</v>
      </c>
      <c r="K57" s="183" t="str">
        <f>INDEX(TEMPLATE_NOTE_POINT_FHD,B57,MATCH(TEMPLATE_SPHERE,TEMPLATE_SPHERE_LIST_FOR_NOTE,0))</f>
        <v>Указываются изменение стоимости основных фондов за счет их вывода из эксплуатации.</v>
      </c>
      <c r="L57" s="177" t="str">
        <f t="shared" si="0"/>
        <v>5.1.2</v>
      </c>
      <c r="M57" s="177" t="str">
        <f t="shared" si="1"/>
        <v>Изменения стоимости основных фондов за счет их вывода в эксплуатацию</v>
      </c>
      <c r="N57" s="177" t="str">
        <f t="shared" si="2"/>
        <v>Указываются изменение стоимости основных фондов за счет их вывода из эксплуатации.</v>
      </c>
      <c r="O57" s="184" t="s">
        <v>2311</v>
      </c>
      <c r="P57" s="184" t="s">
        <v>760</v>
      </c>
      <c r="Q57" s="184" t="s">
        <v>760</v>
      </c>
      <c r="R57" s="184" t="s">
        <v>760</v>
      </c>
      <c r="S57" s="184"/>
      <c r="T57" s="17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61" t="s">
        <v>2312</v>
      </c>
      <c r="V57" s="161" t="s">
        <v>2312</v>
      </c>
      <c r="W57" s="161" t="s">
        <v>2312</v>
      </c>
      <c r="X57" s="161"/>
      <c r="Y57" s="190"/>
      <c r="Z57" s="159" t="s">
        <v>762</v>
      </c>
      <c r="AA57" s="159" t="s">
        <v>762</v>
      </c>
      <c r="AB57" s="159" t="s">
        <v>762</v>
      </c>
      <c r="AC57" s="159" t="s">
        <v>762</v>
      </c>
      <c r="AD57" s="159"/>
    </row>
    <row r="58" ht="18" customHeight="1" spans="1:30">
      <c r="A58" s="162"/>
      <c r="B58" s="166">
        <v>41</v>
      </c>
      <c r="C58" s="161">
        <v>2</v>
      </c>
      <c r="D58" s="172"/>
      <c r="E58" s="161"/>
      <c r="F58" s="161"/>
      <c r="G58" s="161"/>
      <c r="H58" s="174"/>
      <c r="I58" s="183" t="str">
        <f>INDEX(TEMPLATE_NUMBER_POINT_FHD,B58,MATCH(TEMPLATE_SPHERE,TEMPLATE_SPHERE_LIST_FOR_NOTE,0))</f>
        <v>5.2</v>
      </c>
      <c r="J58" s="183" t="str">
        <f>INDEX(TEMPLATE_DATA_POINT_FHD,B58,MATCH(TEMPLATE_SPHERE,TEMPLATE_SPHERE_LIST_FOR_NOTE,0))</f>
        <v>Изменение стоимости основных фондов за счет их переоценки</v>
      </c>
      <c r="K58" s="183">
        <f>INDEX(TEMPLATE_NOTE_POINT_FHD,B58,MATCH(TEMPLATE_SPHERE,TEMPLATE_SPHERE_LIST_FOR_NOTE,0))</f>
        <v>0</v>
      </c>
      <c r="L58" s="177" t="str">
        <f t="shared" si="0"/>
        <v>5.2</v>
      </c>
      <c r="M58" s="177" t="str">
        <f t="shared" si="1"/>
        <v>Изменение стоимости основных фондов за счет их переоценки</v>
      </c>
      <c r="N58" s="177" t="str">
        <f t="shared" si="2"/>
        <v/>
      </c>
      <c r="O58" s="184" t="s">
        <v>894</v>
      </c>
      <c r="P58" s="184" t="s">
        <v>798</v>
      </c>
      <c r="Q58" s="184" t="s">
        <v>798</v>
      </c>
      <c r="R58" s="184" t="s">
        <v>798</v>
      </c>
      <c r="S58" s="184"/>
      <c r="T58" s="17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61" t="s">
        <v>2313</v>
      </c>
      <c r="V58" s="161" t="s">
        <v>2313</v>
      </c>
      <c r="W58" s="161" t="s">
        <v>2313</v>
      </c>
      <c r="X58" s="161"/>
      <c r="Y58" s="190"/>
      <c r="Z58" s="159"/>
      <c r="AA58" s="179"/>
      <c r="AB58" s="159"/>
      <c r="AC58" s="159"/>
      <c r="AD58" s="159"/>
    </row>
    <row r="59" ht="36" customHeight="1" spans="1:30">
      <c r="A59" s="162"/>
      <c r="B59" s="166">
        <v>42</v>
      </c>
      <c r="C59" s="161">
        <v>3</v>
      </c>
      <c r="D59" s="172" t="s">
        <v>2301</v>
      </c>
      <c r="E59" s="161" t="s">
        <v>2301</v>
      </c>
      <c r="F59" s="161" t="s">
        <v>2301</v>
      </c>
      <c r="G59" s="161"/>
      <c r="H59" s="174"/>
      <c r="I59" s="183">
        <f>INDEX(TEMPLATE_NUMBER_POINT_FHD,B59,MATCH(TEMPLATE_SPHERE,TEMPLATE_SPHERE_LIST_FOR_NOTE,0))</f>
        <v>0</v>
      </c>
      <c r="J59" s="183">
        <f>INDEX(TEMPLATE_DATA_POINT_FHD,B59,MATCH(TEMPLATE_SPHERE,TEMPLATE_SPHERE_LIST_FOR_NOTE,0))</f>
        <v>0</v>
      </c>
      <c r="K59" s="183">
        <f>INDEX(TEMPLATE_NOTE_POINT_FHD,B59,MATCH(TEMPLATE_SPHERE,TEMPLATE_SPHERE_LIST_FOR_NOTE,0))</f>
        <v>0</v>
      </c>
      <c r="L59" s="177" t="str">
        <f t="shared" si="0"/>
        <v/>
      </c>
      <c r="M59" s="177" t="str">
        <f t="shared" si="1"/>
        <v/>
      </c>
      <c r="N59" s="177" t="str">
        <f t="shared" si="2"/>
        <v/>
      </c>
      <c r="O59" s="184"/>
      <c r="P59" s="184" t="s">
        <v>109</v>
      </c>
      <c r="Q59" s="184" t="s">
        <v>109</v>
      </c>
      <c r="R59" s="184" t="s">
        <v>109</v>
      </c>
      <c r="S59" s="184"/>
      <c r="T59" s="161"/>
      <c r="U59" s="161" t="s">
        <v>2314</v>
      </c>
      <c r="V59" s="161" t="s">
        <v>2315</v>
      </c>
      <c r="W59" s="161" t="s">
        <v>2316</v>
      </c>
      <c r="X59" s="161"/>
      <c r="Y59" s="190"/>
      <c r="Z59" s="159"/>
      <c r="AA59" s="179"/>
      <c r="AB59" s="159"/>
      <c r="AC59" s="159"/>
      <c r="AD59" s="159"/>
    </row>
    <row r="60" ht="81" customHeight="1" spans="1:30">
      <c r="A60" s="162"/>
      <c r="B60" s="166">
        <v>43</v>
      </c>
      <c r="C60" s="161" t="s">
        <v>2317</v>
      </c>
      <c r="D60" s="172" t="s">
        <v>2317</v>
      </c>
      <c r="E60" s="161" t="s">
        <v>2317</v>
      </c>
      <c r="F60" s="161" t="s">
        <v>2317</v>
      </c>
      <c r="G60" s="161"/>
      <c r="H60" s="174"/>
      <c r="I60" s="183" t="str">
        <f>INDEX(TEMPLATE_NUMBER_POINT_FHD,B60,MATCH(TEMPLATE_SPHERE,TEMPLATE_SPHERE_LIST_FOR_NOTE,0))</f>
        <v>6</v>
      </c>
      <c r="J60" s="183" t="str">
        <f>INDEX(TEMPLATE_DATA_POINT_FHD,B60,MATCH(TEMPLATE_SPHERE,TEMPLATE_SPHERE_LIST_FOR_NOTE,0))</f>
        <v>Годовая бухгалтерская (финансовая) отчетность, включая бухгалтерский баланс и приложения к нему</v>
      </c>
      <c r="K60" s="183"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77" t="str">
        <f t="shared" si="0"/>
        <v>6</v>
      </c>
      <c r="M60" s="177" t="str">
        <f t="shared" si="1"/>
        <v>Годовая бухгалтерская (финансовая) отчетность, включая бухгалтерский баланс и приложения к нему</v>
      </c>
      <c r="N60" s="177" t="str">
        <f t="shared" si="2"/>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84" t="s">
        <v>93</v>
      </c>
      <c r="P60" s="184" t="s">
        <v>93</v>
      </c>
      <c r="Q60" s="184" t="s">
        <v>93</v>
      </c>
      <c r="R60" s="184" t="s">
        <v>93</v>
      </c>
      <c r="S60" s="184"/>
      <c r="T60" s="161" t="s">
        <v>623</v>
      </c>
      <c r="U60" s="161" t="s">
        <v>623</v>
      </c>
      <c r="V60" s="161" t="s">
        <v>623</v>
      </c>
      <c r="W60" s="161" t="s">
        <v>623</v>
      </c>
      <c r="X60" s="161"/>
      <c r="Y60" s="190"/>
      <c r="Z60" s="159" t="s">
        <v>2318</v>
      </c>
      <c r="AA60" s="179" t="s">
        <v>2319</v>
      </c>
      <c r="AB60" s="159" t="s">
        <v>2320</v>
      </c>
      <c r="AC60" s="159" t="s">
        <v>2319</v>
      </c>
      <c r="AD60" s="159"/>
    </row>
    <row r="61" customHeight="1" spans="1:30">
      <c r="A61" s="162"/>
      <c r="B61" s="166">
        <v>44</v>
      </c>
      <c r="C61" s="161"/>
      <c r="D61" s="172" t="s">
        <v>2321</v>
      </c>
      <c r="E61" s="161"/>
      <c r="F61" s="161"/>
      <c r="G61" s="161"/>
      <c r="H61" s="174"/>
      <c r="I61" s="183">
        <f>INDEX(TEMPLATE_NUMBER_POINT_FHD,B61,MATCH(TEMPLATE_SPHERE,TEMPLATE_SPHERE_LIST_FOR_NOTE,0))</f>
        <v>0</v>
      </c>
      <c r="J61" s="183">
        <f>INDEX(TEMPLATE_DATA_POINT_FHD,B61,MATCH(TEMPLATE_SPHERE,TEMPLATE_SPHERE_LIST_FOR_NOTE,0))</f>
        <v>0</v>
      </c>
      <c r="K61" s="183">
        <f>INDEX(TEMPLATE_NOTE_POINT_FHD,B61,MATCH(TEMPLATE_SPHERE,TEMPLATE_SPHERE_LIST_FOR_NOTE,0))</f>
        <v>0</v>
      </c>
      <c r="L61" s="177" t="str">
        <f t="shared" si="0"/>
        <v/>
      </c>
      <c r="M61" s="177" t="str">
        <f t="shared" si="1"/>
        <v/>
      </c>
      <c r="N61" s="177" t="str">
        <f t="shared" si="2"/>
        <v/>
      </c>
      <c r="O61" s="184"/>
      <c r="P61" s="184" t="s">
        <v>94</v>
      </c>
      <c r="Q61" s="184"/>
      <c r="R61" s="184"/>
      <c r="S61" s="184"/>
      <c r="T61" s="161"/>
      <c r="U61" s="161" t="s">
        <v>2322</v>
      </c>
      <c r="V61" s="161"/>
      <c r="W61" s="161"/>
      <c r="X61" s="161"/>
      <c r="Y61" s="190"/>
      <c r="Z61" s="159"/>
      <c r="AA61" s="179"/>
      <c r="AB61" s="159"/>
      <c r="AC61" s="159"/>
      <c r="AD61" s="159"/>
    </row>
    <row r="62" customHeight="1" spans="1:30">
      <c r="A62" s="162"/>
      <c r="B62" s="166">
        <v>45</v>
      </c>
      <c r="C62" s="161"/>
      <c r="D62" s="172" t="s">
        <v>2323</v>
      </c>
      <c r="E62" s="161"/>
      <c r="F62" s="161"/>
      <c r="G62" s="161"/>
      <c r="H62" s="174"/>
      <c r="I62" s="183">
        <f>INDEX(TEMPLATE_NUMBER_POINT_FHD,B62,MATCH(TEMPLATE_SPHERE,TEMPLATE_SPHERE_LIST_FOR_NOTE,0))</f>
        <v>0</v>
      </c>
      <c r="J62" s="183">
        <f>INDEX(TEMPLATE_DATA_POINT_FHD,B62,MATCH(TEMPLATE_SPHERE,TEMPLATE_SPHERE_LIST_FOR_NOTE,0))</f>
        <v>0</v>
      </c>
      <c r="K62" s="183">
        <f>INDEX(TEMPLATE_NOTE_POINT_FHD,B62,MATCH(TEMPLATE_SPHERE,TEMPLATE_SPHERE_LIST_FOR_NOTE,0))</f>
        <v>0</v>
      </c>
      <c r="L62" s="177" t="str">
        <f t="shared" si="0"/>
        <v/>
      </c>
      <c r="M62" s="177" t="str">
        <f t="shared" si="1"/>
        <v/>
      </c>
      <c r="N62" s="177" t="str">
        <f t="shared" si="2"/>
        <v/>
      </c>
      <c r="O62" s="184"/>
      <c r="P62" s="184" t="s">
        <v>110</v>
      </c>
      <c r="Q62" s="184"/>
      <c r="R62" s="184"/>
      <c r="S62" s="184"/>
      <c r="T62" s="161"/>
      <c r="U62" s="161" t="s">
        <v>2324</v>
      </c>
      <c r="V62" s="161"/>
      <c r="W62" s="161"/>
      <c r="X62" s="161"/>
      <c r="Y62" s="190"/>
      <c r="Z62" s="159"/>
      <c r="AA62" s="179"/>
      <c r="AB62" s="159"/>
      <c r="AC62" s="159"/>
      <c r="AD62" s="159"/>
    </row>
    <row r="63" ht="18" customHeight="1" spans="1:30">
      <c r="A63" s="162"/>
      <c r="B63" s="166">
        <v>46</v>
      </c>
      <c r="C63" s="161"/>
      <c r="D63" s="172" t="s">
        <v>2325</v>
      </c>
      <c r="E63" s="161"/>
      <c r="F63" s="161"/>
      <c r="G63" s="161"/>
      <c r="H63" s="174"/>
      <c r="I63" s="183">
        <f>INDEX(TEMPLATE_NUMBER_POINT_FHD,B63,MATCH(TEMPLATE_SPHERE,TEMPLATE_SPHERE_LIST_FOR_NOTE,0))</f>
        <v>0</v>
      </c>
      <c r="J63" s="183">
        <f>INDEX(TEMPLATE_DATA_POINT_FHD,B63,MATCH(TEMPLATE_SPHERE,TEMPLATE_SPHERE_LIST_FOR_NOTE,0))</f>
        <v>0</v>
      </c>
      <c r="K63" s="183">
        <f>INDEX(TEMPLATE_NOTE_POINT_FHD,B63,MATCH(TEMPLATE_SPHERE,TEMPLATE_SPHERE_LIST_FOR_NOTE,0))</f>
        <v>0</v>
      </c>
      <c r="L63" s="177" t="str">
        <f t="shared" si="0"/>
        <v/>
      </c>
      <c r="M63" s="177" t="str">
        <f t="shared" si="1"/>
        <v/>
      </c>
      <c r="N63" s="177" t="str">
        <f t="shared" si="2"/>
        <v/>
      </c>
      <c r="O63" s="184"/>
      <c r="P63" s="184" t="s">
        <v>146</v>
      </c>
      <c r="Q63" s="184"/>
      <c r="R63" s="184"/>
      <c r="S63" s="184"/>
      <c r="T63" s="161"/>
      <c r="U63" s="161" t="s">
        <v>2326</v>
      </c>
      <c r="V63" s="161"/>
      <c r="W63" s="161"/>
      <c r="X63" s="161"/>
      <c r="Y63" s="190"/>
      <c r="Z63" s="159"/>
      <c r="AA63" s="179"/>
      <c r="AB63" s="159"/>
      <c r="AC63" s="159"/>
      <c r="AD63" s="159"/>
    </row>
    <row r="64" ht="18" customHeight="1" spans="1:30">
      <c r="A64" s="162"/>
      <c r="B64" s="166">
        <v>47</v>
      </c>
      <c r="C64" s="161"/>
      <c r="D64" s="172" t="s">
        <v>2327</v>
      </c>
      <c r="E64" s="161"/>
      <c r="F64" s="161"/>
      <c r="G64" s="161"/>
      <c r="H64" s="174"/>
      <c r="I64" s="183">
        <f>INDEX(TEMPLATE_NUMBER_POINT_FHD,B64,MATCH(TEMPLATE_SPHERE,TEMPLATE_SPHERE_LIST_FOR_NOTE,0))</f>
        <v>0</v>
      </c>
      <c r="J64" s="183">
        <f>INDEX(TEMPLATE_DATA_POINT_FHD,B64,MATCH(TEMPLATE_SPHERE,TEMPLATE_SPHERE_LIST_FOR_NOTE,0))</f>
        <v>0</v>
      </c>
      <c r="K64" s="183">
        <f>INDEX(TEMPLATE_NOTE_POINT_FHD,B64,MATCH(TEMPLATE_SPHERE,TEMPLATE_SPHERE_LIST_FOR_NOTE,0))</f>
        <v>0</v>
      </c>
      <c r="L64" s="177" t="str">
        <f t="shared" si="0"/>
        <v/>
      </c>
      <c r="M64" s="177" t="str">
        <f t="shared" si="1"/>
        <v/>
      </c>
      <c r="N64" s="177" t="str">
        <f t="shared" si="2"/>
        <v/>
      </c>
      <c r="O64" s="184"/>
      <c r="P64" s="184" t="s">
        <v>147</v>
      </c>
      <c r="Q64" s="184"/>
      <c r="R64" s="184"/>
      <c r="S64" s="184"/>
      <c r="T64" s="161"/>
      <c r="U64" s="161" t="s">
        <v>2328</v>
      </c>
      <c r="V64" s="161"/>
      <c r="W64" s="161"/>
      <c r="X64" s="161"/>
      <c r="Y64" s="190"/>
      <c r="Z64" s="159"/>
      <c r="AA64" s="179" t="s">
        <v>2329</v>
      </c>
      <c r="AB64" s="159"/>
      <c r="AC64" s="159"/>
      <c r="AD64" s="159"/>
    </row>
    <row r="65" ht="18" customHeight="1" spans="1:30">
      <c r="A65" s="162"/>
      <c r="B65" s="166">
        <v>48</v>
      </c>
      <c r="C65" s="161"/>
      <c r="D65" s="172"/>
      <c r="E65" s="161"/>
      <c r="F65" s="161"/>
      <c r="G65" s="161"/>
      <c r="H65" s="174"/>
      <c r="I65" s="183">
        <f>INDEX(TEMPLATE_NUMBER_POINT_FHD,B65,MATCH(TEMPLATE_SPHERE,TEMPLATE_SPHERE_LIST_FOR_NOTE,0))</f>
        <v>0</v>
      </c>
      <c r="J65" s="183">
        <f>INDEX(TEMPLATE_DATA_POINT_FHD,B65,MATCH(TEMPLATE_SPHERE,TEMPLATE_SPHERE_LIST_FOR_NOTE,0))</f>
        <v>0</v>
      </c>
      <c r="K65" s="183">
        <f>INDEX(TEMPLATE_NOTE_POINT_FHD,B65,MATCH(TEMPLATE_SPHERE,TEMPLATE_SPHERE_LIST_FOR_NOTE,0))</f>
        <v>0</v>
      </c>
      <c r="L65" s="177" t="str">
        <f t="shared" si="0"/>
        <v/>
      </c>
      <c r="M65" s="177" t="str">
        <f t="shared" si="1"/>
        <v/>
      </c>
      <c r="N65" s="177" t="str">
        <f t="shared" si="2"/>
        <v/>
      </c>
      <c r="O65" s="184"/>
      <c r="P65" s="184" t="s">
        <v>2245</v>
      </c>
      <c r="Q65" s="184"/>
      <c r="R65" s="184"/>
      <c r="S65" s="184"/>
      <c r="T65" s="161"/>
      <c r="U65" s="161" t="s">
        <v>2330</v>
      </c>
      <c r="V65" s="161"/>
      <c r="W65" s="161"/>
      <c r="X65" s="161"/>
      <c r="Y65" s="190"/>
      <c r="Z65" s="159"/>
      <c r="AA65" s="179"/>
      <c r="AB65" s="159"/>
      <c r="AC65" s="159"/>
      <c r="AD65" s="159"/>
    </row>
    <row r="66" ht="18" customHeight="1" spans="1:30">
      <c r="A66" s="162"/>
      <c r="B66" s="166">
        <v>49</v>
      </c>
      <c r="C66" s="161"/>
      <c r="D66" s="172"/>
      <c r="E66" s="161"/>
      <c r="F66" s="161"/>
      <c r="G66" s="161"/>
      <c r="H66" s="174"/>
      <c r="I66" s="183">
        <f>INDEX(TEMPLATE_NUMBER_POINT_FHD,B66,MATCH(TEMPLATE_SPHERE,TEMPLATE_SPHERE_LIST_FOR_NOTE,0))</f>
        <v>0</v>
      </c>
      <c r="J66" s="183">
        <f>INDEX(TEMPLATE_DATA_POINT_FHD,B66,MATCH(TEMPLATE_SPHERE,TEMPLATE_SPHERE_LIST_FOR_NOTE,0))</f>
        <v>0</v>
      </c>
      <c r="K66" s="183">
        <f>INDEX(TEMPLATE_NOTE_POINT_FHD,B66,MATCH(TEMPLATE_SPHERE,TEMPLATE_SPHERE_LIST_FOR_NOTE,0))</f>
        <v>0</v>
      </c>
      <c r="L66" s="177" t="str">
        <f t="shared" si="0"/>
        <v/>
      </c>
      <c r="M66" s="177" t="str">
        <f t="shared" si="1"/>
        <v/>
      </c>
      <c r="N66" s="177" t="str">
        <f t="shared" si="2"/>
        <v/>
      </c>
      <c r="O66" s="184"/>
      <c r="P66" s="184" t="s">
        <v>2249</v>
      </c>
      <c r="Q66" s="184"/>
      <c r="R66" s="184"/>
      <c r="S66" s="184"/>
      <c r="T66" s="161"/>
      <c r="U66" s="161" t="s">
        <v>2331</v>
      </c>
      <c r="V66" s="161"/>
      <c r="W66" s="161"/>
      <c r="X66" s="161"/>
      <c r="Y66" s="190"/>
      <c r="Z66" s="159"/>
      <c r="AA66" s="179"/>
      <c r="AB66" s="159"/>
      <c r="AC66" s="159"/>
      <c r="AD66" s="159"/>
    </row>
    <row r="67" ht="27" customHeight="1" spans="1:30">
      <c r="A67" s="162"/>
      <c r="B67" s="166">
        <v>50</v>
      </c>
      <c r="C67" s="161"/>
      <c r="D67" s="172"/>
      <c r="E67" s="161"/>
      <c r="F67" s="161"/>
      <c r="G67" s="161"/>
      <c r="H67" s="174"/>
      <c r="I67" s="183">
        <f>INDEX(TEMPLATE_NUMBER_POINT_FHD,B67,MATCH(TEMPLATE_SPHERE,TEMPLATE_SPHERE_LIST_FOR_NOTE,0))</f>
        <v>0</v>
      </c>
      <c r="J67" s="183">
        <f>INDEX(TEMPLATE_DATA_POINT_FHD,B67,MATCH(TEMPLATE_SPHERE,TEMPLATE_SPHERE_LIST_FOR_NOTE,0))</f>
        <v>0</v>
      </c>
      <c r="K67" s="183">
        <f>INDEX(TEMPLATE_NOTE_POINT_FHD,B67,MATCH(TEMPLATE_SPHERE,TEMPLATE_SPHERE_LIST_FOR_NOTE,0))</f>
        <v>0</v>
      </c>
      <c r="L67" s="177" t="str">
        <f t="shared" si="0"/>
        <v/>
      </c>
      <c r="M67" s="177" t="str">
        <f t="shared" si="1"/>
        <v/>
      </c>
      <c r="N67" s="177" t="str">
        <f t="shared" si="2"/>
        <v/>
      </c>
      <c r="O67" s="184"/>
      <c r="P67" s="184" t="s">
        <v>2332</v>
      </c>
      <c r="Q67" s="184"/>
      <c r="R67" s="184"/>
      <c r="S67" s="184"/>
      <c r="T67" s="161"/>
      <c r="U67" s="161" t="s">
        <v>2333</v>
      </c>
      <c r="V67" s="161"/>
      <c r="W67" s="161"/>
      <c r="X67" s="161"/>
      <c r="Y67" s="190"/>
      <c r="Z67" s="159"/>
      <c r="AA67" s="179"/>
      <c r="AB67" s="159"/>
      <c r="AC67" s="159"/>
      <c r="AD67" s="159"/>
    </row>
    <row r="68" ht="27" customHeight="1" spans="1:30">
      <c r="A68" s="162"/>
      <c r="B68" s="166">
        <v>51</v>
      </c>
      <c r="C68" s="161"/>
      <c r="D68" s="172"/>
      <c r="E68" s="161"/>
      <c r="F68" s="161"/>
      <c r="G68" s="161"/>
      <c r="H68" s="174"/>
      <c r="I68" s="183">
        <f>INDEX(TEMPLATE_NUMBER_POINT_FHD,B68,MATCH(TEMPLATE_SPHERE,TEMPLATE_SPHERE_LIST_FOR_NOTE,0))</f>
        <v>0</v>
      </c>
      <c r="J68" s="183">
        <f>INDEX(TEMPLATE_DATA_POINT_FHD,B68,MATCH(TEMPLATE_SPHERE,TEMPLATE_SPHERE_LIST_FOR_NOTE,0))</f>
        <v>0</v>
      </c>
      <c r="K68" s="183">
        <f>INDEX(TEMPLATE_NOTE_POINT_FHD,B68,MATCH(TEMPLATE_SPHERE,TEMPLATE_SPHERE_LIST_FOR_NOTE,0))</f>
        <v>0</v>
      </c>
      <c r="L68" s="177" t="str">
        <f t="shared" si="0"/>
        <v/>
      </c>
      <c r="M68" s="177" t="str">
        <f t="shared" si="1"/>
        <v/>
      </c>
      <c r="N68" s="177" t="str">
        <f t="shared" si="2"/>
        <v/>
      </c>
      <c r="O68" s="184"/>
      <c r="P68" s="184" t="s">
        <v>2334</v>
      </c>
      <c r="Q68" s="184"/>
      <c r="R68" s="184"/>
      <c r="S68" s="184"/>
      <c r="T68" s="161"/>
      <c r="U68" s="161" t="s">
        <v>2335</v>
      </c>
      <c r="V68" s="161"/>
      <c r="W68" s="161"/>
      <c r="X68" s="161"/>
      <c r="Y68" s="190"/>
      <c r="Z68" s="159"/>
      <c r="AA68" s="179"/>
      <c r="AB68" s="159"/>
      <c r="AC68" s="159"/>
      <c r="AD68" s="159"/>
    </row>
    <row r="69" customHeight="1" spans="1:30">
      <c r="A69" s="162"/>
      <c r="B69" s="166">
        <v>52</v>
      </c>
      <c r="C69" s="161"/>
      <c r="D69" s="172" t="s">
        <v>2336</v>
      </c>
      <c r="E69" s="161"/>
      <c r="F69" s="161"/>
      <c r="G69" s="161"/>
      <c r="H69" s="174"/>
      <c r="I69" s="183">
        <f>INDEX(TEMPLATE_NUMBER_POINT_FHD,B69,MATCH(TEMPLATE_SPHERE,TEMPLATE_SPHERE_LIST_FOR_NOTE,0))</f>
        <v>0</v>
      </c>
      <c r="J69" s="183">
        <f>INDEX(TEMPLATE_DATA_POINT_FHD,B69,MATCH(TEMPLATE_SPHERE,TEMPLATE_SPHERE_LIST_FOR_NOTE,0))</f>
        <v>0</v>
      </c>
      <c r="K69" s="183">
        <f>INDEX(TEMPLATE_NOTE_POINT_FHD,B69,MATCH(TEMPLATE_SPHERE,TEMPLATE_SPHERE_LIST_FOR_NOTE,0))</f>
        <v>0</v>
      </c>
      <c r="L69" s="177" t="str">
        <f t="shared" si="0"/>
        <v/>
      </c>
      <c r="M69" s="177" t="str">
        <f t="shared" si="1"/>
        <v/>
      </c>
      <c r="N69" s="177" t="str">
        <f t="shared" si="2"/>
        <v/>
      </c>
      <c r="O69" s="184"/>
      <c r="P69" s="184" t="s">
        <v>148</v>
      </c>
      <c r="Q69" s="184"/>
      <c r="R69" s="184"/>
      <c r="S69" s="184"/>
      <c r="T69" s="161"/>
      <c r="U69" s="161" t="s">
        <v>2337</v>
      </c>
      <c r="V69" s="161"/>
      <c r="W69" s="161"/>
      <c r="X69" s="161"/>
      <c r="Y69" s="190"/>
      <c r="Z69" s="159"/>
      <c r="AA69" s="179"/>
      <c r="AB69" s="159"/>
      <c r="AC69" s="159"/>
      <c r="AD69" s="159"/>
    </row>
    <row r="70" ht="27" customHeight="1" spans="1:30">
      <c r="A70" s="162"/>
      <c r="B70" s="166">
        <v>53</v>
      </c>
      <c r="C70" s="161"/>
      <c r="D70" s="172"/>
      <c r="E70" s="161" t="s">
        <v>2321</v>
      </c>
      <c r="F70" s="161"/>
      <c r="G70" s="161"/>
      <c r="H70" s="174"/>
      <c r="I70" s="183">
        <f>INDEX(TEMPLATE_NUMBER_POINT_FHD,B70,MATCH(TEMPLATE_SPHERE,TEMPLATE_SPHERE_LIST_FOR_NOTE,0))</f>
        <v>0</v>
      </c>
      <c r="J70" s="183">
        <f>INDEX(TEMPLATE_DATA_POINT_FHD,B70,MATCH(TEMPLATE_SPHERE,TEMPLATE_SPHERE_LIST_FOR_NOTE,0))</f>
        <v>0</v>
      </c>
      <c r="K70" s="183">
        <f>INDEX(TEMPLATE_NOTE_POINT_FHD,B70,MATCH(TEMPLATE_SPHERE,TEMPLATE_SPHERE_LIST_FOR_NOTE,0))</f>
        <v>0</v>
      </c>
      <c r="L70" s="177" t="str">
        <f t="shared" si="0"/>
        <v/>
      </c>
      <c r="M70" s="177" t="str">
        <f t="shared" si="1"/>
        <v/>
      </c>
      <c r="N70" s="177" t="str">
        <f t="shared" si="2"/>
        <v/>
      </c>
      <c r="O70" s="184"/>
      <c r="P70" s="184"/>
      <c r="Q70" s="184" t="s">
        <v>94</v>
      </c>
      <c r="R70" s="184"/>
      <c r="S70" s="184"/>
      <c r="T70" s="161"/>
      <c r="U70" s="161"/>
      <c r="V70" s="161" t="s">
        <v>2338</v>
      </c>
      <c r="W70" s="161"/>
      <c r="X70" s="161"/>
      <c r="Y70" s="190"/>
      <c r="Z70" s="159"/>
      <c r="AA70" s="179"/>
      <c r="AB70" s="159"/>
      <c r="AC70" s="159"/>
      <c r="AD70" s="159"/>
    </row>
    <row r="71" ht="36" customHeight="1" spans="1:30">
      <c r="A71" s="162"/>
      <c r="B71" s="166">
        <v>54</v>
      </c>
      <c r="C71" s="161"/>
      <c r="D71" s="172"/>
      <c r="E71" s="161" t="s">
        <v>2323</v>
      </c>
      <c r="F71" s="161"/>
      <c r="G71" s="161"/>
      <c r="H71" s="174"/>
      <c r="I71" s="183">
        <f>INDEX(TEMPLATE_NUMBER_POINT_FHD,B71,MATCH(TEMPLATE_SPHERE,TEMPLATE_SPHERE_LIST_FOR_NOTE,0))</f>
        <v>0</v>
      </c>
      <c r="J71" s="183">
        <f>INDEX(TEMPLATE_DATA_POINT_FHD,B71,MATCH(TEMPLATE_SPHERE,TEMPLATE_SPHERE_LIST_FOR_NOTE,0))</f>
        <v>0</v>
      </c>
      <c r="K71" s="183">
        <f>INDEX(TEMPLATE_NOTE_POINT_FHD,B71,MATCH(TEMPLATE_SPHERE,TEMPLATE_SPHERE_LIST_FOR_NOTE,0))</f>
        <v>0</v>
      </c>
      <c r="L71" s="177" t="str">
        <f t="shared" si="0"/>
        <v/>
      </c>
      <c r="M71" s="177" t="str">
        <f t="shared" si="1"/>
        <v/>
      </c>
      <c r="N71" s="177" t="str">
        <f t="shared" si="2"/>
        <v/>
      </c>
      <c r="O71" s="184"/>
      <c r="P71" s="184"/>
      <c r="Q71" s="184" t="s">
        <v>110</v>
      </c>
      <c r="R71" s="184"/>
      <c r="S71" s="184"/>
      <c r="T71" s="161"/>
      <c r="U71" s="161"/>
      <c r="V71" s="161" t="s">
        <v>2339</v>
      </c>
      <c r="W71" s="161"/>
      <c r="X71" s="161"/>
      <c r="Y71" s="190"/>
      <c r="Z71" s="159"/>
      <c r="AA71" s="179"/>
      <c r="AB71" s="159"/>
      <c r="AC71" s="159"/>
      <c r="AD71" s="159"/>
    </row>
    <row r="72" ht="27" customHeight="1" spans="1:30">
      <c r="A72" s="162"/>
      <c r="B72" s="166">
        <v>55</v>
      </c>
      <c r="C72" s="161"/>
      <c r="D72" s="172"/>
      <c r="E72" s="161" t="s">
        <v>2325</v>
      </c>
      <c r="F72" s="161"/>
      <c r="G72" s="161"/>
      <c r="H72" s="174"/>
      <c r="I72" s="183">
        <f>INDEX(TEMPLATE_NUMBER_POINT_FHD,B72,MATCH(TEMPLATE_SPHERE,TEMPLATE_SPHERE_LIST_FOR_NOTE,0))</f>
        <v>0</v>
      </c>
      <c r="J72" s="183">
        <f>INDEX(TEMPLATE_DATA_POINT_FHD,B72,MATCH(TEMPLATE_SPHERE,TEMPLATE_SPHERE_LIST_FOR_NOTE,0))</f>
        <v>0</v>
      </c>
      <c r="K72" s="183">
        <f>INDEX(TEMPLATE_NOTE_POINT_FHD,B72,MATCH(TEMPLATE_SPHERE,TEMPLATE_SPHERE_LIST_FOR_NOTE,0))</f>
        <v>0</v>
      </c>
      <c r="L72" s="177" t="str">
        <f t="shared" si="0"/>
        <v/>
      </c>
      <c r="M72" s="177" t="str">
        <f t="shared" si="1"/>
        <v/>
      </c>
      <c r="N72" s="177" t="str">
        <f t="shared" si="2"/>
        <v/>
      </c>
      <c r="O72" s="184"/>
      <c r="P72" s="184"/>
      <c r="Q72" s="184" t="s">
        <v>146</v>
      </c>
      <c r="R72" s="184"/>
      <c r="S72" s="184"/>
      <c r="T72" s="161"/>
      <c r="U72" s="161"/>
      <c r="V72" s="161" t="s">
        <v>2340</v>
      </c>
      <c r="W72" s="161"/>
      <c r="X72" s="161"/>
      <c r="Y72" s="190"/>
      <c r="Z72" s="159"/>
      <c r="AA72" s="179"/>
      <c r="AB72" s="159"/>
      <c r="AC72" s="159"/>
      <c r="AD72" s="159"/>
    </row>
    <row r="73" ht="36" customHeight="1" spans="1:30">
      <c r="A73" s="162"/>
      <c r="B73" s="166">
        <v>56</v>
      </c>
      <c r="C73" s="161"/>
      <c r="D73" s="172"/>
      <c r="E73" s="161" t="s">
        <v>2327</v>
      </c>
      <c r="F73" s="161"/>
      <c r="G73" s="161"/>
      <c r="H73" s="174"/>
      <c r="I73" s="183">
        <f>INDEX(TEMPLATE_NUMBER_POINT_FHD,B73,MATCH(TEMPLATE_SPHERE,TEMPLATE_SPHERE_LIST_FOR_NOTE,0))</f>
        <v>0</v>
      </c>
      <c r="J73" s="183">
        <f>INDEX(TEMPLATE_DATA_POINT_FHD,B73,MATCH(TEMPLATE_SPHERE,TEMPLATE_SPHERE_LIST_FOR_NOTE,0))</f>
        <v>0</v>
      </c>
      <c r="K73" s="183">
        <f>INDEX(TEMPLATE_NOTE_POINT_FHD,B73,MATCH(TEMPLATE_SPHERE,TEMPLATE_SPHERE_LIST_FOR_NOTE,0))</f>
        <v>0</v>
      </c>
      <c r="L73" s="177" t="str">
        <f t="shared" si="0"/>
        <v/>
      </c>
      <c r="M73" s="177" t="str">
        <f t="shared" si="1"/>
        <v/>
      </c>
      <c r="N73" s="177" t="str">
        <f t="shared" si="2"/>
        <v/>
      </c>
      <c r="O73" s="184"/>
      <c r="P73" s="184"/>
      <c r="Q73" s="184" t="s">
        <v>147</v>
      </c>
      <c r="R73" s="184"/>
      <c r="S73" s="184"/>
      <c r="T73" s="161"/>
      <c r="U73" s="161"/>
      <c r="V73" s="161" t="s">
        <v>2341</v>
      </c>
      <c r="W73" s="161"/>
      <c r="X73" s="161"/>
      <c r="Y73" s="190"/>
      <c r="Z73" s="159"/>
      <c r="AA73" s="179"/>
      <c r="AB73" s="159"/>
      <c r="AC73" s="159"/>
      <c r="AD73" s="159"/>
    </row>
    <row r="74" ht="18" customHeight="1" spans="1:30">
      <c r="A74" s="162"/>
      <c r="B74" s="166">
        <v>57</v>
      </c>
      <c r="C74" s="161"/>
      <c r="D74" s="172"/>
      <c r="E74" s="161" t="s">
        <v>2336</v>
      </c>
      <c r="F74" s="161"/>
      <c r="G74" s="161"/>
      <c r="H74" s="174"/>
      <c r="I74" s="183">
        <f>INDEX(TEMPLATE_NUMBER_POINT_FHD,B74,MATCH(TEMPLATE_SPHERE,TEMPLATE_SPHERE_LIST_FOR_NOTE,0))</f>
        <v>0</v>
      </c>
      <c r="J74" s="183">
        <f>INDEX(TEMPLATE_DATA_POINT_FHD,B74,MATCH(TEMPLATE_SPHERE,TEMPLATE_SPHERE_LIST_FOR_NOTE,0))</f>
        <v>0</v>
      </c>
      <c r="K74" s="183">
        <f>INDEX(TEMPLATE_NOTE_POINT_FHD,B74,MATCH(TEMPLATE_SPHERE,TEMPLATE_SPHERE_LIST_FOR_NOTE,0))</f>
        <v>0</v>
      </c>
      <c r="L74" s="177" t="str">
        <f t="shared" si="0"/>
        <v/>
      </c>
      <c r="M74" s="177" t="str">
        <f t="shared" si="1"/>
        <v/>
      </c>
      <c r="N74" s="177" t="str">
        <f t="shared" si="2"/>
        <v/>
      </c>
      <c r="O74" s="184"/>
      <c r="P74" s="184"/>
      <c r="Q74" s="184" t="s">
        <v>148</v>
      </c>
      <c r="R74" s="184"/>
      <c r="S74" s="184"/>
      <c r="T74" s="161"/>
      <c r="U74" s="161"/>
      <c r="V74" s="161" t="s">
        <v>2342</v>
      </c>
      <c r="W74" s="161"/>
      <c r="X74" s="161"/>
      <c r="Y74" s="190"/>
      <c r="Z74" s="159"/>
      <c r="AA74" s="179"/>
      <c r="AB74" s="159"/>
      <c r="AC74" s="159"/>
      <c r="AD74" s="159"/>
    </row>
    <row r="75" ht="18" customHeight="1" spans="1:30">
      <c r="A75" s="162"/>
      <c r="B75" s="166">
        <v>58</v>
      </c>
      <c r="C75" s="161"/>
      <c r="D75" s="172"/>
      <c r="E75" s="161"/>
      <c r="F75" s="161" t="s">
        <v>2321</v>
      </c>
      <c r="G75" s="161"/>
      <c r="H75" s="174"/>
      <c r="I75" s="183">
        <f>INDEX(TEMPLATE_NUMBER_POINT_FHD,B75,MATCH(TEMPLATE_SPHERE,TEMPLATE_SPHERE_LIST_FOR_NOTE,0))</f>
        <v>0</v>
      </c>
      <c r="J75" s="183">
        <f>INDEX(TEMPLATE_DATA_POINT_FHD,B75,MATCH(TEMPLATE_SPHERE,TEMPLATE_SPHERE_LIST_FOR_NOTE,0))</f>
        <v>0</v>
      </c>
      <c r="K75" s="183">
        <f>INDEX(TEMPLATE_NOTE_POINT_FHD,B75,MATCH(TEMPLATE_SPHERE,TEMPLATE_SPHERE_LIST_FOR_NOTE,0))</f>
        <v>0</v>
      </c>
      <c r="L75" s="177" t="str">
        <f t="shared" si="0"/>
        <v/>
      </c>
      <c r="M75" s="177" t="str">
        <f t="shared" si="1"/>
        <v/>
      </c>
      <c r="N75" s="177" t="str">
        <f t="shared" si="2"/>
        <v/>
      </c>
      <c r="O75" s="184"/>
      <c r="P75" s="184"/>
      <c r="Q75" s="184"/>
      <c r="R75" s="184" t="s">
        <v>94</v>
      </c>
      <c r="S75" s="184"/>
      <c r="T75" s="161"/>
      <c r="U75" s="161"/>
      <c r="V75" s="161"/>
      <c r="W75" s="161" t="s">
        <v>2343</v>
      </c>
      <c r="X75" s="161"/>
      <c r="Y75" s="190"/>
      <c r="Z75" s="159"/>
      <c r="AA75" s="179"/>
      <c r="AB75" s="159"/>
      <c r="AC75" s="159"/>
      <c r="AD75" s="159"/>
    </row>
    <row r="76" ht="36" customHeight="1" spans="1:30">
      <c r="A76" s="162"/>
      <c r="B76" s="166">
        <v>59</v>
      </c>
      <c r="C76" s="161"/>
      <c r="D76" s="172"/>
      <c r="E76" s="161"/>
      <c r="F76" s="161" t="s">
        <v>2323</v>
      </c>
      <c r="G76" s="161"/>
      <c r="H76" s="174"/>
      <c r="I76" s="183">
        <f>INDEX(TEMPLATE_NUMBER_POINT_FHD,B76,MATCH(TEMPLATE_SPHERE,TEMPLATE_SPHERE_LIST_FOR_NOTE,0))</f>
        <v>0</v>
      </c>
      <c r="J76" s="183">
        <f>INDEX(TEMPLATE_DATA_POINT_FHD,B76,MATCH(TEMPLATE_SPHERE,TEMPLATE_SPHERE_LIST_FOR_NOTE,0))</f>
        <v>0</v>
      </c>
      <c r="K76" s="183">
        <f>INDEX(TEMPLATE_NOTE_POINT_FHD,B76,MATCH(TEMPLATE_SPHERE,TEMPLATE_SPHERE_LIST_FOR_NOTE,0))</f>
        <v>0</v>
      </c>
      <c r="L76" s="177" t="str">
        <f t="shared" si="0"/>
        <v/>
      </c>
      <c r="M76" s="177" t="str">
        <f t="shared" si="1"/>
        <v/>
      </c>
      <c r="N76" s="177" t="str">
        <f t="shared" si="2"/>
        <v/>
      </c>
      <c r="O76" s="184"/>
      <c r="P76" s="184"/>
      <c r="Q76" s="184"/>
      <c r="R76" s="184" t="s">
        <v>110</v>
      </c>
      <c r="S76" s="184"/>
      <c r="T76" s="161"/>
      <c r="U76" s="161"/>
      <c r="V76" s="161"/>
      <c r="W76" s="161" t="s">
        <v>2344</v>
      </c>
      <c r="X76" s="161"/>
      <c r="Y76" s="190"/>
      <c r="Z76" s="159"/>
      <c r="AA76" s="179"/>
      <c r="AB76" s="159"/>
      <c r="AC76" s="159"/>
      <c r="AD76" s="159"/>
    </row>
    <row r="77" ht="18" customHeight="1" spans="1:30">
      <c r="A77" s="162"/>
      <c r="B77" s="166">
        <v>60</v>
      </c>
      <c r="C77" s="161"/>
      <c r="D77" s="172"/>
      <c r="E77" s="161"/>
      <c r="F77" s="161" t="s">
        <v>2325</v>
      </c>
      <c r="G77" s="161"/>
      <c r="H77" s="174"/>
      <c r="I77" s="183">
        <f>INDEX(TEMPLATE_NUMBER_POINT_FHD,B77,MATCH(TEMPLATE_SPHERE,TEMPLATE_SPHERE_LIST_FOR_NOTE,0))</f>
        <v>0</v>
      </c>
      <c r="J77" s="183">
        <f>INDEX(TEMPLATE_DATA_POINT_FHD,B77,MATCH(TEMPLATE_SPHERE,TEMPLATE_SPHERE_LIST_FOR_NOTE,0))</f>
        <v>0</v>
      </c>
      <c r="K77" s="183">
        <f>INDEX(TEMPLATE_NOTE_POINT_FHD,B77,MATCH(TEMPLATE_SPHERE,TEMPLATE_SPHERE_LIST_FOR_NOTE,0))</f>
        <v>0</v>
      </c>
      <c r="L77" s="177" t="str">
        <f t="shared" si="0"/>
        <v/>
      </c>
      <c r="M77" s="177" t="str">
        <f t="shared" si="1"/>
        <v/>
      </c>
      <c r="N77" s="177" t="str">
        <f t="shared" si="2"/>
        <v/>
      </c>
      <c r="O77" s="184"/>
      <c r="P77" s="184"/>
      <c r="Q77" s="184"/>
      <c r="R77" s="184" t="s">
        <v>146</v>
      </c>
      <c r="S77" s="184"/>
      <c r="T77" s="161"/>
      <c r="U77" s="161"/>
      <c r="V77" s="161"/>
      <c r="W77" s="161" t="s">
        <v>2345</v>
      </c>
      <c r="X77" s="161"/>
      <c r="Y77" s="190"/>
      <c r="Z77" s="159"/>
      <c r="AA77" s="179"/>
      <c r="AB77" s="159"/>
      <c r="AC77" s="159"/>
      <c r="AD77" s="159"/>
    </row>
    <row r="78" ht="72" customHeight="1" spans="1:30">
      <c r="A78" s="162"/>
      <c r="B78" s="166">
        <v>61</v>
      </c>
      <c r="C78" s="161" t="s">
        <v>2321</v>
      </c>
      <c r="D78" s="172"/>
      <c r="E78" s="161"/>
      <c r="F78" s="161"/>
      <c r="G78" s="161"/>
      <c r="H78" s="174"/>
      <c r="I78" s="183" t="str">
        <f>INDEX(TEMPLATE_NUMBER_POINT_FHD,B78,MATCH(TEMPLATE_SPHERE,TEMPLATE_SPHERE_LIST_FOR_NOTE,0))</f>
        <v>7</v>
      </c>
      <c r="J78" s="183"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83"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77" t="str">
        <f t="shared" si="0"/>
        <v>7</v>
      </c>
      <c r="M78" s="177" t="str">
        <f t="shared" si="1"/>
        <v>Установленная тепловая мощность объектов основных фондов, используемых для теплоснабжения, в том числе по каждому источнику тепловой энергии</v>
      </c>
      <c r="N78" s="177" t="str">
        <f t="shared" si="2"/>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84" t="s">
        <v>94</v>
      </c>
      <c r="P78" s="184"/>
      <c r="Q78" s="184"/>
      <c r="R78" s="184"/>
      <c r="S78" s="184"/>
      <c r="T78" s="161" t="s">
        <v>628</v>
      </c>
      <c r="U78" s="161"/>
      <c r="V78" s="161"/>
      <c r="W78" s="161"/>
      <c r="X78" s="161"/>
      <c r="Y78" s="190"/>
      <c r="Z78" s="159" t="s">
        <v>2346</v>
      </c>
      <c r="AA78" s="179"/>
      <c r="AB78" s="159"/>
      <c r="AC78" s="159"/>
      <c r="AD78" s="159"/>
    </row>
    <row r="79" ht="36" customHeight="1" spans="1:30">
      <c r="A79" s="162"/>
      <c r="B79" s="166">
        <v>62</v>
      </c>
      <c r="C79" s="161" t="s">
        <v>2323</v>
      </c>
      <c r="D79" s="172"/>
      <c r="E79" s="161"/>
      <c r="F79" s="161"/>
      <c r="G79" s="161"/>
      <c r="H79" s="174"/>
      <c r="I79" s="183" t="str">
        <f>INDEX(TEMPLATE_NUMBER_POINT_FHD,B79,MATCH(TEMPLATE_SPHERE,TEMPLATE_SPHERE_LIST_FOR_NOTE,0))</f>
        <v>8</v>
      </c>
      <c r="J79" s="183"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83"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77" t="str">
        <f t="shared" si="0"/>
        <v>8</v>
      </c>
      <c r="M79" s="177" t="str">
        <f t="shared" si="1"/>
        <v>Тепловая нагрузка по договорам, заключенным в рамках осуществления регулируемых видов деятельности</v>
      </c>
      <c r="N79" s="177" t="str">
        <f t="shared" si="2"/>
        <v>Регулируемыми организациями указывается информация по договорам, заключенным в рамках осуществления регулируемых видов деятельности</v>
      </c>
      <c r="O79" s="184" t="s">
        <v>110</v>
      </c>
      <c r="P79" s="184"/>
      <c r="Q79" s="184"/>
      <c r="R79" s="184"/>
      <c r="S79" s="184"/>
      <c r="T79" s="161" t="s">
        <v>2347</v>
      </c>
      <c r="U79" s="161"/>
      <c r="V79" s="161"/>
      <c r="W79" s="161"/>
      <c r="X79" s="161"/>
      <c r="Y79" s="190"/>
      <c r="Z79" s="159" t="s">
        <v>2348</v>
      </c>
      <c r="AA79" s="179"/>
      <c r="AB79" s="159"/>
      <c r="AC79" s="159"/>
      <c r="AD79" s="159"/>
    </row>
    <row r="80" ht="45" customHeight="1" spans="1:30">
      <c r="A80" s="162"/>
      <c r="B80" s="166">
        <v>63</v>
      </c>
      <c r="C80" s="161" t="s">
        <v>2325</v>
      </c>
      <c r="D80" s="172"/>
      <c r="E80" s="161"/>
      <c r="F80" s="161"/>
      <c r="G80" s="161"/>
      <c r="H80" s="174"/>
      <c r="I80" s="183" t="str">
        <f>INDEX(TEMPLATE_NUMBER_POINT_FHD,B80,MATCH(TEMPLATE_SPHERE,TEMPLATE_SPHERE_LIST_FOR_NOTE,0))</f>
        <v>9</v>
      </c>
      <c r="J80" s="183"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83"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77" t="str">
        <f t="shared" si="0"/>
        <v>9</v>
      </c>
      <c r="M80" s="177" t="str">
        <f t="shared" si="1"/>
        <v>Объем вырабатываемой регулируемой организацией тепловой энергии в рамках осуществления регулируемых видов деятельности</v>
      </c>
      <c r="N80" s="177" t="str">
        <f t="shared" si="2"/>
        <v>Регулируемыми организациями указывается информация тепловой энергии, выработанной в рамках осуществления регулируемых видов деятельности.</v>
      </c>
      <c r="O80" s="184" t="s">
        <v>146</v>
      </c>
      <c r="P80" s="184"/>
      <c r="Q80" s="184"/>
      <c r="R80" s="184"/>
      <c r="S80" s="184"/>
      <c r="T80" s="161" t="s">
        <v>2349</v>
      </c>
      <c r="U80" s="161"/>
      <c r="V80" s="161"/>
      <c r="W80" s="161"/>
      <c r="X80" s="161"/>
      <c r="Y80" s="190"/>
      <c r="Z80" s="159" t="s">
        <v>2350</v>
      </c>
      <c r="AA80" s="179"/>
      <c r="AB80" s="159"/>
      <c r="AC80" s="159"/>
      <c r="AD80" s="159"/>
    </row>
    <row r="81" ht="36" customHeight="1" spans="1:30">
      <c r="A81" s="162"/>
      <c r="B81" s="166">
        <v>64</v>
      </c>
      <c r="C81" s="161" t="s">
        <v>2327</v>
      </c>
      <c r="D81" s="172"/>
      <c r="E81" s="161"/>
      <c r="F81" s="161"/>
      <c r="G81" s="161"/>
      <c r="H81" s="174"/>
      <c r="I81" s="183" t="str">
        <f>INDEX(TEMPLATE_NUMBER_POINT_FHD,B81,MATCH(TEMPLATE_SPHERE,TEMPLATE_SPHERE_LIST_FOR_NOTE,0))</f>
        <v>9.1</v>
      </c>
      <c r="J81" s="183"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83" t="str">
        <f>INDEX(TEMPLATE_NOTE_POINT_FHD,B81,MATCH(TEMPLATE_SPHERE,TEMPLATE_SPHERE_LIST_FOR_NOTE,0))</f>
        <v>Информация указывается только едиными теплоснабжающими организациями.</v>
      </c>
      <c r="L81" s="177" t="str">
        <f t="shared" si="0"/>
        <v>9.1</v>
      </c>
      <c r="M81" s="177" t="str">
        <f t="shared" si="1"/>
        <v>Объем приобретаемой регулируемой организацией тепловой энергии в рамках осуществления регулируемых видов деятельности</v>
      </c>
      <c r="N81" s="177" t="str">
        <f t="shared" si="2"/>
        <v>Информация указывается только едиными теплоснабжающими организациями.</v>
      </c>
      <c r="O81" s="184" t="s">
        <v>2236</v>
      </c>
      <c r="P81" s="184"/>
      <c r="Q81" s="184"/>
      <c r="R81" s="184"/>
      <c r="S81" s="184"/>
      <c r="T81" s="161" t="s">
        <v>2351</v>
      </c>
      <c r="U81" s="161"/>
      <c r="V81" s="161"/>
      <c r="W81" s="161"/>
      <c r="X81" s="161"/>
      <c r="Y81" s="190"/>
      <c r="Z81" s="159" t="s">
        <v>2352</v>
      </c>
      <c r="AA81" s="179"/>
      <c r="AB81" s="159"/>
      <c r="AC81" s="159"/>
      <c r="AD81" s="159"/>
    </row>
    <row r="82" ht="90" customHeight="1" spans="1:30">
      <c r="A82" s="162"/>
      <c r="B82" s="166">
        <v>65</v>
      </c>
      <c r="C82" s="161" t="s">
        <v>2336</v>
      </c>
      <c r="D82" s="172"/>
      <c r="E82" s="161"/>
      <c r="F82" s="161"/>
      <c r="G82" s="161"/>
      <c r="H82" s="174"/>
      <c r="I82" s="183" t="str">
        <f>INDEX(TEMPLATE_NUMBER_POINT_FHD,B82,MATCH(TEMPLATE_SPHERE,TEMPLATE_SPHERE_LIST_FOR_NOTE,0))</f>
        <v>10</v>
      </c>
      <c r="J82" s="183"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83"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77" t="str">
        <f t="shared" ref="L82:L101" si="3">IF(I82=0,"",I82)</f>
        <v>10</v>
      </c>
      <c r="M82" s="177" t="str">
        <f t="shared" ref="M82:M101" si="4">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77" t="str">
        <f t="shared" ref="N82:N101" si="5">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84" t="s">
        <v>147</v>
      </c>
      <c r="P82" s="184"/>
      <c r="Q82" s="184"/>
      <c r="R82" s="184"/>
      <c r="S82" s="184"/>
      <c r="T82" s="161" t="s">
        <v>2353</v>
      </c>
      <c r="U82" s="161"/>
      <c r="V82" s="161"/>
      <c r="W82" s="161"/>
      <c r="X82" s="161"/>
      <c r="Y82" s="190"/>
      <c r="Z82" s="159" t="s">
        <v>2354</v>
      </c>
      <c r="AA82" s="179"/>
      <c r="AB82" s="159"/>
      <c r="AC82" s="159"/>
      <c r="AD82" s="159"/>
    </row>
    <row r="83" customHeight="1" spans="1:30">
      <c r="A83" s="162"/>
      <c r="B83" s="166">
        <v>66</v>
      </c>
      <c r="C83" s="161"/>
      <c r="D83" s="172"/>
      <c r="E83" s="161"/>
      <c r="F83" s="161"/>
      <c r="G83" s="161"/>
      <c r="H83" s="174"/>
      <c r="I83" s="183" t="str">
        <f>INDEX(TEMPLATE_NUMBER_POINT_FHD,B83,MATCH(TEMPLATE_SPHERE,TEMPLATE_SPHERE_LIST_FOR_NOTE,0))</f>
        <v>10.1</v>
      </c>
      <c r="J83" s="183" t="str">
        <f>INDEX(TEMPLATE_DATA_POINT_FHD,B83,MATCH(TEMPLATE_SPHERE,TEMPLATE_SPHERE_LIST_FOR_NOTE,0))</f>
        <v>По приборам учёта </v>
      </c>
      <c r="K83" s="183">
        <f>INDEX(TEMPLATE_NOTE_POINT_FHD,B83,MATCH(TEMPLATE_SPHERE,TEMPLATE_SPHERE_LIST_FOR_NOTE,0))</f>
        <v>0</v>
      </c>
      <c r="L83" s="177" t="str">
        <f t="shared" si="3"/>
        <v>10.1</v>
      </c>
      <c r="M83" s="177" t="str">
        <f t="shared" si="4"/>
        <v>По приборам учёта </v>
      </c>
      <c r="N83" s="177" t="str">
        <f t="shared" si="5"/>
        <v/>
      </c>
      <c r="O83" s="184" t="s">
        <v>2245</v>
      </c>
      <c r="P83" s="184"/>
      <c r="Q83" s="184"/>
      <c r="R83" s="184"/>
      <c r="S83" s="184"/>
      <c r="T83" s="161" t="s">
        <v>2355</v>
      </c>
      <c r="U83" s="161"/>
      <c r="V83" s="161"/>
      <c r="W83" s="161"/>
      <c r="X83" s="161"/>
      <c r="Y83" s="190"/>
      <c r="Z83" s="159"/>
      <c r="AA83" s="179"/>
      <c r="AB83" s="159"/>
      <c r="AC83" s="159"/>
      <c r="AD83" s="159"/>
    </row>
    <row r="84" ht="54" customHeight="1" spans="1:30">
      <c r="A84" s="162"/>
      <c r="B84" s="166">
        <v>67</v>
      </c>
      <c r="C84" s="161"/>
      <c r="D84" s="172"/>
      <c r="E84" s="161"/>
      <c r="F84" s="161"/>
      <c r="G84" s="161"/>
      <c r="H84" s="174"/>
      <c r="I84" s="183" t="str">
        <f>INDEX(TEMPLATE_NUMBER_POINT_FHD,B84,MATCH(TEMPLATE_SPHERE,TEMPLATE_SPHERE_LIST_FOR_NOTE,0))</f>
        <v>10.1.1</v>
      </c>
      <c r="J84" s="183"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83">
        <f>INDEX(TEMPLATE_NOTE_POINT_FHD,B84,MATCH(TEMPLATE_SPHERE,TEMPLATE_SPHERE_LIST_FOR_NOTE,0))</f>
        <v>0</v>
      </c>
      <c r="L84" s="177" t="str">
        <f t="shared" si="3"/>
        <v>10.1.1</v>
      </c>
      <c r="M84" s="177" t="str">
        <f t="shared" si="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77" t="str">
        <f t="shared" si="5"/>
        <v/>
      </c>
      <c r="O84" s="184" t="s">
        <v>2356</v>
      </c>
      <c r="P84" s="184"/>
      <c r="Q84" s="184"/>
      <c r="R84" s="184"/>
      <c r="S84" s="184"/>
      <c r="T84" s="161" t="s">
        <v>2357</v>
      </c>
      <c r="U84" s="161"/>
      <c r="V84" s="161"/>
      <c r="W84" s="161"/>
      <c r="X84" s="161"/>
      <c r="Y84" s="190"/>
      <c r="Z84" s="159"/>
      <c r="AA84" s="179"/>
      <c r="AB84" s="159"/>
      <c r="AC84" s="159"/>
      <c r="AD84" s="159"/>
    </row>
    <row r="85" customHeight="1" spans="1:30">
      <c r="A85" s="162"/>
      <c r="B85" s="166">
        <v>68</v>
      </c>
      <c r="C85" s="161"/>
      <c r="D85" s="172"/>
      <c r="E85" s="161"/>
      <c r="F85" s="161"/>
      <c r="G85" s="161"/>
      <c r="H85" s="174"/>
      <c r="I85" s="183" t="str">
        <f>INDEX(TEMPLATE_NUMBER_POINT_FHD,B85,MATCH(TEMPLATE_SPHERE,TEMPLATE_SPHERE_LIST_FOR_NOTE,0))</f>
        <v>10.2</v>
      </c>
      <c r="J85" s="183" t="str">
        <f>INDEX(TEMPLATE_DATA_POINT_FHD,B85,MATCH(TEMPLATE_SPHERE,TEMPLATE_SPHERE_LIST_FOR_NOTE,0))</f>
        <v>Расчётным путём</v>
      </c>
      <c r="K85" s="183">
        <f>INDEX(TEMPLATE_NOTE_POINT_FHD,B85,MATCH(TEMPLATE_SPHERE,TEMPLATE_SPHERE_LIST_FOR_NOTE,0))</f>
        <v>0</v>
      </c>
      <c r="L85" s="177" t="str">
        <f t="shared" si="3"/>
        <v>10.2</v>
      </c>
      <c r="M85" s="177" t="str">
        <f t="shared" si="4"/>
        <v>Расчётным путём</v>
      </c>
      <c r="N85" s="177" t="str">
        <f t="shared" si="5"/>
        <v/>
      </c>
      <c r="O85" s="184" t="s">
        <v>2249</v>
      </c>
      <c r="P85" s="184"/>
      <c r="Q85" s="184"/>
      <c r="R85" s="184"/>
      <c r="S85" s="184"/>
      <c r="T85" s="161" t="s">
        <v>2358</v>
      </c>
      <c r="U85" s="161"/>
      <c r="V85" s="161"/>
      <c r="W85" s="161"/>
      <c r="X85" s="161"/>
      <c r="Y85" s="190"/>
      <c r="Z85" s="159"/>
      <c r="AA85" s="179"/>
      <c r="AB85" s="159"/>
      <c r="AC85" s="159"/>
      <c r="AD85" s="159"/>
    </row>
    <row r="86" ht="27" customHeight="1" spans="1:30">
      <c r="A86" s="162"/>
      <c r="B86" s="166">
        <v>69</v>
      </c>
      <c r="C86" s="161"/>
      <c r="D86" s="172"/>
      <c r="E86" s="161"/>
      <c r="F86" s="161"/>
      <c r="G86" s="161"/>
      <c r="H86" s="174"/>
      <c r="I86" s="183" t="str">
        <f>INDEX(TEMPLATE_NUMBER_POINT_FHD,B86,MATCH(TEMPLATE_SPHERE,TEMPLATE_SPHERE_LIST_FOR_NOTE,0))</f>
        <v>10.3</v>
      </c>
      <c r="J86" s="183" t="str">
        <f>INDEX(TEMPLATE_DATA_POINT_FHD,B86,MATCH(TEMPLATE_SPHERE,TEMPLATE_SPHERE_LIST_FOR_NOTE,0))</f>
        <v>По нормативам потребления коммунальных услуг и нормативам потребления коммунальных ресурсов</v>
      </c>
      <c r="K86" s="183">
        <f>INDEX(TEMPLATE_NOTE_POINT_FHD,B86,MATCH(TEMPLATE_SPHERE,TEMPLATE_SPHERE_LIST_FOR_NOTE,0))</f>
        <v>0</v>
      </c>
      <c r="L86" s="177" t="str">
        <f t="shared" si="3"/>
        <v>10.3</v>
      </c>
      <c r="M86" s="177" t="str">
        <f t="shared" si="4"/>
        <v>По нормативам потребления коммунальных услуг и нормативам потребления коммунальных ресурсов</v>
      </c>
      <c r="N86" s="177" t="str">
        <f t="shared" si="5"/>
        <v/>
      </c>
      <c r="O86" s="184" t="s">
        <v>2359</v>
      </c>
      <c r="P86" s="184"/>
      <c r="Q86" s="184"/>
      <c r="R86" s="184"/>
      <c r="S86" s="184"/>
      <c r="T86" s="161" t="s">
        <v>2360</v>
      </c>
      <c r="U86" s="161"/>
      <c r="V86" s="161"/>
      <c r="W86" s="161"/>
      <c r="X86" s="161"/>
      <c r="Y86" s="190"/>
      <c r="Z86" s="159"/>
      <c r="AA86" s="179"/>
      <c r="AB86" s="159"/>
      <c r="AC86" s="159"/>
      <c r="AD86" s="159"/>
    </row>
    <row r="87" ht="36" customHeight="1" spans="1:30">
      <c r="A87" s="162"/>
      <c r="B87" s="166">
        <v>70</v>
      </c>
      <c r="C87" s="161" t="s">
        <v>2361</v>
      </c>
      <c r="D87" s="172"/>
      <c r="E87" s="161"/>
      <c r="F87" s="161"/>
      <c r="G87" s="161"/>
      <c r="H87" s="174"/>
      <c r="I87" s="183" t="str">
        <f>INDEX(TEMPLATE_NUMBER_POINT_FHD,B87,MATCH(TEMPLATE_SPHERE,TEMPLATE_SPHERE_LIST_FOR_NOTE,0))</f>
        <v>11</v>
      </c>
      <c r="J87" s="183"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83">
        <f>INDEX(TEMPLATE_NOTE_POINT_FHD,B87,MATCH(TEMPLATE_SPHERE,TEMPLATE_SPHERE_LIST_FOR_NOTE,0))</f>
        <v>0</v>
      </c>
      <c r="L87" s="177" t="str">
        <f t="shared" si="3"/>
        <v>11</v>
      </c>
      <c r="M87" s="177" t="str">
        <f t="shared" si="4"/>
        <v>Нормативы технологических потерь при передаче тепловой энергии, теплоносителя по тепловым сетям, утвержденные уполномоченным органом</v>
      </c>
      <c r="N87" s="177" t="str">
        <f t="shared" si="5"/>
        <v/>
      </c>
      <c r="O87" s="184" t="s">
        <v>148</v>
      </c>
      <c r="P87" s="184"/>
      <c r="Q87" s="184"/>
      <c r="R87" s="184"/>
      <c r="S87" s="184"/>
      <c r="T87" s="161" t="s">
        <v>2362</v>
      </c>
      <c r="U87" s="161"/>
      <c r="V87" s="161"/>
      <c r="W87" s="161"/>
      <c r="X87" s="161"/>
      <c r="Y87" s="190"/>
      <c r="Z87" s="159"/>
      <c r="AA87" s="179"/>
      <c r="AB87" s="159"/>
      <c r="AC87" s="159"/>
      <c r="AD87" s="159"/>
    </row>
    <row r="88" ht="18" customHeight="1" spans="1:30">
      <c r="A88" s="162"/>
      <c r="B88" s="166">
        <v>71</v>
      </c>
      <c r="C88" s="161" t="s">
        <v>2363</v>
      </c>
      <c r="D88" s="172"/>
      <c r="E88" s="161"/>
      <c r="F88" s="161"/>
      <c r="G88" s="161"/>
      <c r="H88" s="174"/>
      <c r="I88" s="183" t="str">
        <f>INDEX(TEMPLATE_NUMBER_POINT_FHD,B88,MATCH(TEMPLATE_SPHERE,TEMPLATE_SPHERE_LIST_FOR_NOTE,0))</f>
        <v>12</v>
      </c>
      <c r="J88" s="183" t="str">
        <f>INDEX(TEMPLATE_DATA_POINT_FHD,B88,MATCH(TEMPLATE_SPHERE,TEMPLATE_SPHERE_LIST_FOR_NOTE,0))</f>
        <v>Фактический объем потерь при передаче тепловой энергии</v>
      </c>
      <c r="K88" s="183">
        <f>INDEX(TEMPLATE_NOTE_POINT_FHD,B88,MATCH(TEMPLATE_SPHERE,TEMPLATE_SPHERE_LIST_FOR_NOTE,0))</f>
        <v>0</v>
      </c>
      <c r="L88" s="177" t="str">
        <f t="shared" si="3"/>
        <v>12</v>
      </c>
      <c r="M88" s="177" t="str">
        <f t="shared" si="4"/>
        <v>Фактический объем потерь при передаче тепловой энергии</v>
      </c>
      <c r="N88" s="177" t="str">
        <f t="shared" si="5"/>
        <v/>
      </c>
      <c r="O88" s="184" t="s">
        <v>149</v>
      </c>
      <c r="P88" s="184"/>
      <c r="Q88" s="184"/>
      <c r="R88" s="184"/>
      <c r="S88" s="184"/>
      <c r="T88" s="161" t="s">
        <v>660</v>
      </c>
      <c r="U88" s="161"/>
      <c r="V88" s="161"/>
      <c r="W88" s="161"/>
      <c r="X88" s="161"/>
      <c r="Y88" s="190"/>
      <c r="Z88" s="159"/>
      <c r="AA88" s="179"/>
      <c r="AB88" s="159"/>
      <c r="AC88" s="159"/>
      <c r="AD88" s="159"/>
    </row>
    <row r="89" ht="18" customHeight="1" spans="1:30">
      <c r="A89" s="162"/>
      <c r="B89" s="166">
        <v>72</v>
      </c>
      <c r="C89" s="161" t="s">
        <v>2364</v>
      </c>
      <c r="D89" s="172" t="s">
        <v>2361</v>
      </c>
      <c r="E89" s="161" t="s">
        <v>2361</v>
      </c>
      <c r="F89" s="161" t="s">
        <v>2327</v>
      </c>
      <c r="G89" s="161"/>
      <c r="H89" s="174"/>
      <c r="I89" s="183" t="str">
        <f>INDEX(TEMPLATE_NUMBER_POINT_FHD,B89,MATCH(TEMPLATE_SPHERE,TEMPLATE_SPHERE_LIST_FOR_NOTE,0))</f>
        <v>13</v>
      </c>
      <c r="J89" s="183" t="str">
        <f>INDEX(TEMPLATE_DATA_POINT_FHD,B89,MATCH(TEMPLATE_SPHERE,TEMPLATE_SPHERE_LIST_FOR_NOTE,0))</f>
        <v>Среднесписочная численность основного производственного персонала</v>
      </c>
      <c r="K89" s="183">
        <f>INDEX(TEMPLATE_NOTE_POINT_FHD,B89,MATCH(TEMPLATE_SPHERE,TEMPLATE_SPHERE_LIST_FOR_NOTE,0))</f>
        <v>0</v>
      </c>
      <c r="L89" s="177" t="str">
        <f t="shared" si="3"/>
        <v>13</v>
      </c>
      <c r="M89" s="177" t="str">
        <f t="shared" si="4"/>
        <v>Среднесписочная численность основного производственного персонала</v>
      </c>
      <c r="N89" s="177" t="str">
        <f t="shared" si="5"/>
        <v/>
      </c>
      <c r="O89" s="184" t="s">
        <v>150</v>
      </c>
      <c r="P89" s="184" t="s">
        <v>149</v>
      </c>
      <c r="Q89" s="184" t="s">
        <v>149</v>
      </c>
      <c r="R89" s="184" t="s">
        <v>147</v>
      </c>
      <c r="S89" s="184"/>
      <c r="T89" s="161" t="s">
        <v>668</v>
      </c>
      <c r="U89" s="161" t="s">
        <v>668</v>
      </c>
      <c r="V89" s="161" t="s">
        <v>668</v>
      </c>
      <c r="W89" s="161" t="s">
        <v>668</v>
      </c>
      <c r="X89" s="161"/>
      <c r="Y89" s="190"/>
      <c r="Z89" s="159"/>
      <c r="AA89" s="179"/>
      <c r="AB89" s="159"/>
      <c r="AC89" s="159"/>
      <c r="AD89" s="159"/>
    </row>
    <row r="90" ht="27" customHeight="1" spans="1:30">
      <c r="A90" s="162"/>
      <c r="B90" s="166">
        <v>73</v>
      </c>
      <c r="C90" s="161" t="s">
        <v>2365</v>
      </c>
      <c r="D90" s="172"/>
      <c r="E90" s="161"/>
      <c r="F90" s="161"/>
      <c r="G90" s="161"/>
      <c r="H90" s="174"/>
      <c r="I90" s="183" t="str">
        <f>INDEX(TEMPLATE_NUMBER_POINT_FHD,B90,MATCH(TEMPLATE_SPHERE,TEMPLATE_SPHERE_LIST_FOR_NOTE,0))</f>
        <v>14</v>
      </c>
      <c r="J90" s="183" t="str">
        <f>INDEX(TEMPLATE_DATA_POINT_FHD,B90,MATCH(TEMPLATE_SPHERE,TEMPLATE_SPHERE_LIST_FOR_NOTE,0))</f>
        <v>Среднесписочная численность административно-управленческого персонала</v>
      </c>
      <c r="K90" s="183">
        <f>INDEX(TEMPLATE_NOTE_POINT_FHD,B90,MATCH(TEMPLATE_SPHERE,TEMPLATE_SPHERE_LIST_FOR_NOTE,0))</f>
        <v>0</v>
      </c>
      <c r="L90" s="177" t="str">
        <f t="shared" si="3"/>
        <v>14</v>
      </c>
      <c r="M90" s="177" t="str">
        <f t="shared" si="4"/>
        <v>Среднесписочная численность административно-управленческого персонала</v>
      </c>
      <c r="N90" s="177" t="str">
        <f t="shared" si="5"/>
        <v/>
      </c>
      <c r="O90" s="184" t="s">
        <v>151</v>
      </c>
      <c r="P90" s="184"/>
      <c r="Q90" s="184"/>
      <c r="R90" s="184"/>
      <c r="S90" s="184"/>
      <c r="T90" s="161" t="s">
        <v>670</v>
      </c>
      <c r="U90" s="161"/>
      <c r="V90" s="161"/>
      <c r="W90" s="161"/>
      <c r="X90" s="161"/>
      <c r="Y90" s="190"/>
      <c r="Z90" s="159"/>
      <c r="AA90" s="179"/>
      <c r="AB90" s="159"/>
      <c r="AC90" s="159"/>
      <c r="AD90" s="159"/>
    </row>
    <row r="91" ht="18" customHeight="1" spans="1:30">
      <c r="A91" s="162"/>
      <c r="B91" s="166">
        <v>74</v>
      </c>
      <c r="C91" s="161"/>
      <c r="D91" s="172" t="s">
        <v>2363</v>
      </c>
      <c r="E91" s="161" t="s">
        <v>2363</v>
      </c>
      <c r="F91" s="161"/>
      <c r="G91" s="161"/>
      <c r="H91" s="174"/>
      <c r="I91" s="183">
        <f>INDEX(TEMPLATE_NUMBER_POINT_FHD,B91,MATCH(TEMPLATE_SPHERE,TEMPLATE_SPHERE_LIST_FOR_NOTE,0))</f>
        <v>0</v>
      </c>
      <c r="J91" s="183">
        <f>INDEX(TEMPLATE_DATA_POINT_FHD,B91,MATCH(TEMPLATE_SPHERE,TEMPLATE_SPHERE_LIST_FOR_NOTE,0))</f>
        <v>0</v>
      </c>
      <c r="K91" s="183">
        <f>INDEX(TEMPLATE_NOTE_POINT_FHD,B91,MATCH(TEMPLATE_SPHERE,TEMPLATE_SPHERE_LIST_FOR_NOTE,0))</f>
        <v>0</v>
      </c>
      <c r="L91" s="177" t="str">
        <f t="shared" si="3"/>
        <v/>
      </c>
      <c r="M91" s="177" t="str">
        <f t="shared" si="4"/>
        <v/>
      </c>
      <c r="N91" s="177" t="str">
        <f t="shared" si="5"/>
        <v/>
      </c>
      <c r="O91" s="184"/>
      <c r="P91" s="184" t="s">
        <v>150</v>
      </c>
      <c r="Q91" s="184" t="s">
        <v>150</v>
      </c>
      <c r="R91" s="184"/>
      <c r="S91" s="184"/>
      <c r="T91" s="161"/>
      <c r="U91" s="161" t="s">
        <v>2366</v>
      </c>
      <c r="V91" s="161" t="s">
        <v>2366</v>
      </c>
      <c r="W91" s="161"/>
      <c r="X91" s="161"/>
      <c r="Y91" s="190"/>
      <c r="Z91" s="159"/>
      <c r="AA91" s="179"/>
      <c r="AB91" s="159"/>
      <c r="AC91" s="159"/>
      <c r="AD91" s="159"/>
    </row>
    <row r="92" ht="27" customHeight="1" spans="1:30">
      <c r="A92" s="162"/>
      <c r="B92" s="166">
        <v>75</v>
      </c>
      <c r="C92" s="161"/>
      <c r="D92" s="172" t="s">
        <v>2364</v>
      </c>
      <c r="E92" s="161"/>
      <c r="F92" s="161"/>
      <c r="G92" s="161"/>
      <c r="H92" s="174"/>
      <c r="I92" s="183">
        <f>INDEX(TEMPLATE_NUMBER_POINT_FHD,B92,MATCH(TEMPLATE_SPHERE,TEMPLATE_SPHERE_LIST_FOR_NOTE,0))</f>
        <v>0</v>
      </c>
      <c r="J92" s="183">
        <f>INDEX(TEMPLATE_DATA_POINT_FHD,B92,MATCH(TEMPLATE_SPHERE,TEMPLATE_SPHERE_LIST_FOR_NOTE,0))</f>
        <v>0</v>
      </c>
      <c r="K92" s="183">
        <f>INDEX(TEMPLATE_NOTE_POINT_FHD,B92,MATCH(TEMPLATE_SPHERE,TEMPLATE_SPHERE_LIST_FOR_NOTE,0))</f>
        <v>0</v>
      </c>
      <c r="L92" s="177" t="str">
        <f t="shared" si="3"/>
        <v/>
      </c>
      <c r="M92" s="177" t="str">
        <f t="shared" si="4"/>
        <v/>
      </c>
      <c r="N92" s="177" t="str">
        <f t="shared" si="5"/>
        <v/>
      </c>
      <c r="O92" s="184"/>
      <c r="P92" s="184" t="s">
        <v>151</v>
      </c>
      <c r="Q92" s="184"/>
      <c r="R92" s="184"/>
      <c r="S92" s="184"/>
      <c r="T92" s="161"/>
      <c r="U92" s="161" t="s">
        <v>2367</v>
      </c>
      <c r="V92" s="161"/>
      <c r="W92" s="161"/>
      <c r="X92" s="161"/>
      <c r="Y92" s="190"/>
      <c r="Z92" s="159"/>
      <c r="AA92" s="179" t="s">
        <v>2368</v>
      </c>
      <c r="AB92" s="159"/>
      <c r="AC92" s="159"/>
      <c r="AD92" s="159"/>
    </row>
    <row r="93" ht="27" customHeight="1" spans="1:30">
      <c r="A93" s="162"/>
      <c r="B93" s="166">
        <v>76</v>
      </c>
      <c r="C93" s="161"/>
      <c r="D93" s="172"/>
      <c r="E93" s="161"/>
      <c r="F93" s="161"/>
      <c r="G93" s="161"/>
      <c r="H93" s="174"/>
      <c r="I93" s="183">
        <f>INDEX(TEMPLATE_NUMBER_POINT_FHD,B93,MATCH(TEMPLATE_SPHERE,TEMPLATE_SPHERE_LIST_FOR_NOTE,0))</f>
        <v>0</v>
      </c>
      <c r="J93" s="183">
        <f>INDEX(TEMPLATE_DATA_POINT_FHD,B93,MATCH(TEMPLATE_SPHERE,TEMPLATE_SPHERE_LIST_FOR_NOTE,0))</f>
        <v>0</v>
      </c>
      <c r="K93" s="183">
        <f>INDEX(TEMPLATE_NOTE_POINT_FHD,B93,MATCH(TEMPLATE_SPHERE,TEMPLATE_SPHERE_LIST_FOR_NOTE,0))</f>
        <v>0</v>
      </c>
      <c r="L93" s="177" t="str">
        <f t="shared" si="3"/>
        <v/>
      </c>
      <c r="M93" s="177" t="str">
        <f t="shared" si="4"/>
        <v/>
      </c>
      <c r="N93" s="177" t="str">
        <f t="shared" si="5"/>
        <v/>
      </c>
      <c r="O93" s="184"/>
      <c r="P93" s="184" t="s">
        <v>2276</v>
      </c>
      <c r="Q93" s="184"/>
      <c r="R93" s="184"/>
      <c r="S93" s="184"/>
      <c r="T93" s="161"/>
      <c r="U93" s="161" t="s">
        <v>2369</v>
      </c>
      <c r="V93" s="161"/>
      <c r="W93" s="161"/>
      <c r="X93" s="161"/>
      <c r="Y93" s="190"/>
      <c r="Z93" s="159"/>
      <c r="AA93" s="179" t="s">
        <v>2370</v>
      </c>
      <c r="AB93" s="159"/>
      <c r="AC93" s="159"/>
      <c r="AD93" s="159"/>
    </row>
    <row r="94" ht="45" customHeight="1" spans="1:30">
      <c r="A94" s="162"/>
      <c r="B94" s="166">
        <v>77</v>
      </c>
      <c r="C94" s="161"/>
      <c r="D94" s="172" t="s">
        <v>2365</v>
      </c>
      <c r="E94" s="161"/>
      <c r="F94" s="161"/>
      <c r="G94" s="161"/>
      <c r="H94" s="174"/>
      <c r="I94" s="183">
        <f>INDEX(TEMPLATE_NUMBER_POINT_FHD,B94,MATCH(TEMPLATE_SPHERE,TEMPLATE_SPHERE_LIST_FOR_NOTE,0))</f>
        <v>0</v>
      </c>
      <c r="J94" s="183">
        <f>INDEX(TEMPLATE_DATA_POINT_FHD,B94,MATCH(TEMPLATE_SPHERE,TEMPLATE_SPHERE_LIST_FOR_NOTE,0))</f>
        <v>0</v>
      </c>
      <c r="K94" s="183">
        <f>INDEX(TEMPLATE_NOTE_POINT_FHD,B94,MATCH(TEMPLATE_SPHERE,TEMPLATE_SPHERE_LIST_FOR_NOTE,0))</f>
        <v>0</v>
      </c>
      <c r="L94" s="177" t="str">
        <f t="shared" si="3"/>
        <v/>
      </c>
      <c r="M94" s="177" t="str">
        <f t="shared" si="4"/>
        <v/>
      </c>
      <c r="N94" s="177" t="str">
        <f t="shared" si="5"/>
        <v/>
      </c>
      <c r="O94" s="184"/>
      <c r="P94" s="184" t="s">
        <v>1100</v>
      </c>
      <c r="Q94" s="184"/>
      <c r="R94" s="184"/>
      <c r="S94" s="184"/>
      <c r="T94" s="161"/>
      <c r="U94" s="161" t="s">
        <v>2371</v>
      </c>
      <c r="V94" s="161"/>
      <c r="W94" s="161"/>
      <c r="X94" s="161"/>
      <c r="Y94" s="190"/>
      <c r="Z94" s="159"/>
      <c r="AA94" s="179" t="s">
        <v>2372</v>
      </c>
      <c r="AB94" s="159"/>
      <c r="AC94" s="159"/>
      <c r="AD94" s="159"/>
    </row>
    <row r="95" ht="99" customHeight="1" spans="1:30">
      <c r="A95" s="162"/>
      <c r="B95" s="166">
        <v>78</v>
      </c>
      <c r="C95" s="161" t="s">
        <v>2373</v>
      </c>
      <c r="D95" s="172"/>
      <c r="E95" s="161"/>
      <c r="F95" s="161"/>
      <c r="G95" s="161"/>
      <c r="H95" s="174"/>
      <c r="I95" s="183" t="str">
        <f>INDEX(TEMPLATE_NUMBER_POINT_FHD,B95,MATCH(TEMPLATE_SPHERE,TEMPLATE_SPHERE_LIST_FOR_NOTE,0))</f>
        <v>15</v>
      </c>
      <c r="J95" s="183"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83">
        <f>INDEX(TEMPLATE_NOTE_POINT_FHD,B95,MATCH(TEMPLATE_SPHERE,TEMPLATE_SPHERE_LIST_FOR_NOTE,0))</f>
        <v>0</v>
      </c>
      <c r="L95" s="177" t="str">
        <f t="shared" si="3"/>
        <v>15</v>
      </c>
      <c r="M95" s="177" t="str">
        <f t="shared" si="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77" t="str">
        <f t="shared" si="5"/>
        <v/>
      </c>
      <c r="O95" s="184" t="s">
        <v>1100</v>
      </c>
      <c r="P95" s="184"/>
      <c r="Q95" s="184"/>
      <c r="R95" s="184"/>
      <c r="S95" s="184"/>
      <c r="T95" s="161" t="s">
        <v>2374</v>
      </c>
      <c r="U95" s="161"/>
      <c r="V95" s="161"/>
      <c r="W95" s="161"/>
      <c r="X95" s="161"/>
      <c r="Y95" s="190"/>
      <c r="Z95" s="159"/>
      <c r="AA95" s="179"/>
      <c r="AB95" s="159"/>
      <c r="AC95" s="159"/>
      <c r="AD95" s="159"/>
    </row>
    <row r="96" ht="99" customHeight="1" spans="1:30">
      <c r="A96" s="162"/>
      <c r="B96" s="166">
        <v>79</v>
      </c>
      <c r="C96" s="161" t="s">
        <v>1356</v>
      </c>
      <c r="D96" s="172"/>
      <c r="E96" s="161"/>
      <c r="F96" s="161"/>
      <c r="G96" s="161"/>
      <c r="H96" s="174"/>
      <c r="I96" s="183" t="str">
        <f>INDEX(TEMPLATE_NUMBER_POINT_FHD,B96,MATCH(TEMPLATE_SPHERE,TEMPLATE_SPHERE_LIST_FOR_NOTE,0))</f>
        <v>16</v>
      </c>
      <c r="J96" s="183"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83"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77" t="str">
        <f t="shared" si="3"/>
        <v>16</v>
      </c>
      <c r="M96" s="177" t="str">
        <f t="shared" si="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77" t="str">
        <f t="shared" si="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84" t="s">
        <v>1102</v>
      </c>
      <c r="P96" s="184"/>
      <c r="Q96" s="184"/>
      <c r="R96" s="184"/>
      <c r="S96" s="184"/>
      <c r="T96" s="161" t="s">
        <v>2375</v>
      </c>
      <c r="U96" s="161"/>
      <c r="V96" s="161"/>
      <c r="W96" s="161"/>
      <c r="X96" s="161"/>
      <c r="Y96" s="190"/>
      <c r="Z96" s="159" t="s">
        <v>2376</v>
      </c>
      <c r="AA96" s="179"/>
      <c r="AB96" s="159"/>
      <c r="AC96" s="159"/>
      <c r="AD96" s="159"/>
    </row>
    <row r="97" ht="63" customHeight="1" spans="1:30">
      <c r="A97" s="162"/>
      <c r="B97" s="166">
        <v>80</v>
      </c>
      <c r="C97" s="161" t="s">
        <v>2377</v>
      </c>
      <c r="D97" s="172"/>
      <c r="E97" s="161"/>
      <c r="F97" s="161"/>
      <c r="G97" s="161"/>
      <c r="H97" s="174"/>
      <c r="I97" s="183" t="str">
        <f>INDEX(TEMPLATE_NUMBER_POINT_FHD,B97,MATCH(TEMPLATE_SPHERE,TEMPLATE_SPHERE_LIST_FOR_NOTE,0))</f>
        <v>17</v>
      </c>
      <c r="J97" s="183"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83"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77" t="str">
        <f t="shared" si="3"/>
        <v>17</v>
      </c>
      <c r="M97" s="177" t="str">
        <f t="shared" si="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77" t="str">
        <f t="shared" si="5"/>
        <v>Регулируемыми организациями указывается информация с по договорам, заключенным в рамках осуществления регулируемой деятельности.</v>
      </c>
      <c r="O97" s="184" t="s">
        <v>1105</v>
      </c>
      <c r="P97" s="184"/>
      <c r="Q97" s="184"/>
      <c r="R97" s="184"/>
      <c r="S97" s="184"/>
      <c r="T97" s="161" t="s">
        <v>2378</v>
      </c>
      <c r="U97" s="161"/>
      <c r="V97" s="161"/>
      <c r="W97" s="161"/>
      <c r="X97" s="161"/>
      <c r="Y97" s="190"/>
      <c r="Z97" s="159" t="s">
        <v>2379</v>
      </c>
      <c r="AA97" s="179"/>
      <c r="AB97" s="159"/>
      <c r="AC97" s="159"/>
      <c r="AD97" s="159"/>
    </row>
    <row r="98" ht="63" customHeight="1" spans="1:30">
      <c r="A98" s="162"/>
      <c r="B98" s="166">
        <v>81</v>
      </c>
      <c r="C98" s="161" t="s">
        <v>2380</v>
      </c>
      <c r="D98" s="172"/>
      <c r="E98" s="161"/>
      <c r="F98" s="161"/>
      <c r="G98" s="161"/>
      <c r="H98" s="174"/>
      <c r="I98" s="183" t="str">
        <f>INDEX(TEMPLATE_NUMBER_POINT_FHD,B98,MATCH(TEMPLATE_SPHERE,TEMPLATE_SPHERE_LIST_FOR_NOTE,0))</f>
        <v>18</v>
      </c>
      <c r="J98" s="183"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83"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77" t="str">
        <f t="shared" si="3"/>
        <v>18</v>
      </c>
      <c r="M98" s="177" t="str">
        <f t="shared" si="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77" t="str">
        <f t="shared" si="5"/>
        <v>Регулируемыми организациями указывается информация с по договорам, заключенным в рамках осуществления регулируемой деятельности.</v>
      </c>
      <c r="O98" s="184" t="s">
        <v>1112</v>
      </c>
      <c r="P98" s="184"/>
      <c r="Q98" s="184"/>
      <c r="R98" s="184"/>
      <c r="S98" s="184"/>
      <c r="T98" s="161" t="s">
        <v>2381</v>
      </c>
      <c r="U98" s="161"/>
      <c r="V98" s="161"/>
      <c r="W98" s="161"/>
      <c r="X98" s="161"/>
      <c r="Y98" s="190"/>
      <c r="Z98" s="159" t="s">
        <v>2379</v>
      </c>
      <c r="AA98" s="179"/>
      <c r="AB98" s="159"/>
      <c r="AC98" s="159"/>
      <c r="AD98" s="159"/>
    </row>
    <row r="99" ht="90" customHeight="1" spans="1:30">
      <c r="A99" s="162"/>
      <c r="B99" s="166">
        <v>82</v>
      </c>
      <c r="C99" s="161" t="s">
        <v>2382</v>
      </c>
      <c r="D99" s="172"/>
      <c r="E99" s="161"/>
      <c r="F99" s="161"/>
      <c r="G99" s="161"/>
      <c r="H99" s="174"/>
      <c r="I99" s="183" t="str">
        <f>INDEX(TEMPLATE_NUMBER_POINT_FHD,B99,MATCH(TEMPLATE_SPHERE,TEMPLATE_SPHERE_LIST_FOR_NOTE,0))</f>
        <v>19</v>
      </c>
      <c r="J99" s="183"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83" t="str">
        <f>INDEX(TEMPLATE_NOTE_POINT_FHD,B99,MATCH(TEMPLATE_SPHERE,TEMPLATE_SPHERE_LIST_FOR_NOTE,0))</f>
        <v>Указывается ссылка на документ, предварительно загруженный в хранилище файлов ФГИС ЕИАС.</v>
      </c>
      <c r="L99" s="177" t="str">
        <f t="shared" si="3"/>
        <v>19</v>
      </c>
      <c r="M99" s="177" t="str">
        <f t="shared" si="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77" t="str">
        <f t="shared" si="5"/>
        <v>Указывается ссылка на документ, предварительно загруженный в хранилище файлов ФГИС ЕИАС.</v>
      </c>
      <c r="O99" s="184" t="s">
        <v>1117</v>
      </c>
      <c r="P99" s="184"/>
      <c r="Q99" s="184"/>
      <c r="R99" s="184"/>
      <c r="S99" s="184"/>
      <c r="T99" s="161" t="s">
        <v>2383</v>
      </c>
      <c r="U99" s="161"/>
      <c r="V99" s="161"/>
      <c r="W99" s="161"/>
      <c r="X99" s="161"/>
      <c r="Y99" s="190"/>
      <c r="Z99" s="159" t="s">
        <v>625</v>
      </c>
      <c r="AA99" s="179"/>
      <c r="AB99" s="159"/>
      <c r="AC99" s="159"/>
      <c r="AD99" s="159"/>
    </row>
    <row r="100" ht="27" customHeight="1" spans="1:30">
      <c r="A100" s="162"/>
      <c r="B100" s="166">
        <v>83</v>
      </c>
      <c r="C100" s="161"/>
      <c r="D100" s="172"/>
      <c r="E100" s="161"/>
      <c r="F100" s="161"/>
      <c r="G100" s="161"/>
      <c r="H100" s="174"/>
      <c r="I100" s="183" t="str">
        <f>INDEX(TEMPLATE_NUMBER_POINT_FHD,B100,MATCH(TEMPLATE_SPHERE,TEMPLATE_SPHERE_LIST_FOR_NOTE,0))</f>
        <v>19.1</v>
      </c>
      <c r="J100" s="183" t="str">
        <f>INDEX(TEMPLATE_DATA_POINT_FHD,B100,MATCH(TEMPLATE_SPHERE,TEMPLATE_SPHERE_LIST_FOR_NOTE,0))</f>
        <v>Информация о показателях физического износа объектов теплоснабжения</v>
      </c>
      <c r="K100" s="183" t="str">
        <f>INDEX(TEMPLATE_NOTE_POINT_FHD,B100,MATCH(TEMPLATE_SPHERE,TEMPLATE_SPHERE_LIST_FOR_NOTE,0))</f>
        <v>Указывается ссылка на документ, предварительно загруженный в хранилище файлов ФГИС ЕИАС.</v>
      </c>
      <c r="L100" s="177" t="str">
        <f t="shared" si="3"/>
        <v>19.1</v>
      </c>
      <c r="M100" s="177" t="str">
        <f t="shared" si="4"/>
        <v>Информация о показателях физического износа объектов теплоснабжения</v>
      </c>
      <c r="N100" s="177" t="str">
        <f t="shared" si="5"/>
        <v>Указывается ссылка на документ, предварительно загруженный в хранилище файлов ФГИС ЕИАС.</v>
      </c>
      <c r="O100" s="184" t="s">
        <v>2384</v>
      </c>
      <c r="P100" s="184"/>
      <c r="Q100" s="184"/>
      <c r="R100" s="184"/>
      <c r="S100" s="184"/>
      <c r="T100" s="161" t="s">
        <v>2385</v>
      </c>
      <c r="U100" s="161"/>
      <c r="V100" s="161"/>
      <c r="W100" s="161"/>
      <c r="X100" s="161"/>
      <c r="Y100" s="190"/>
      <c r="Z100" s="159" t="s">
        <v>625</v>
      </c>
      <c r="AA100" s="179"/>
      <c r="AB100" s="159"/>
      <c r="AC100" s="159"/>
      <c r="AD100" s="159"/>
    </row>
    <row r="101" ht="27" customHeight="1" spans="1:30">
      <c r="A101" s="162"/>
      <c r="B101" s="166">
        <v>84</v>
      </c>
      <c r="C101" s="161"/>
      <c r="D101" s="172"/>
      <c r="E101" s="161"/>
      <c r="F101" s="161"/>
      <c r="G101" s="161"/>
      <c r="H101" s="174"/>
      <c r="I101" s="183" t="str">
        <f>INDEX(TEMPLATE_NUMBER_POINT_FHD,B101,MATCH(TEMPLATE_SPHERE,TEMPLATE_SPHERE_LIST_FOR_NOTE,0))</f>
        <v>19.2</v>
      </c>
      <c r="J101" s="183" t="str">
        <f>INDEX(TEMPLATE_DATA_POINT_FHD,B101,MATCH(TEMPLATE_SPHERE,TEMPLATE_SPHERE_LIST_FOR_NOTE,0))</f>
        <v>Информация о показателях энергетической эффективности объектов теплоснабжения</v>
      </c>
      <c r="K101" s="183" t="str">
        <f>INDEX(TEMPLATE_NOTE_POINT_FHD,B101,MATCH(TEMPLATE_SPHERE,TEMPLATE_SPHERE_LIST_FOR_NOTE,0))</f>
        <v>Указывается ссылка на документ, предварительно загруженный в хранилище файлов ФГИС ЕИАС.</v>
      </c>
      <c r="L101" s="177" t="str">
        <f t="shared" si="3"/>
        <v>19.2</v>
      </c>
      <c r="M101" s="177" t="str">
        <f t="shared" si="4"/>
        <v>Информация о показателях энергетической эффективности объектов теплоснабжения</v>
      </c>
      <c r="N101" s="177" t="str">
        <f t="shared" si="5"/>
        <v>Указывается ссылка на документ, предварительно загруженный в хранилище файлов ФГИС ЕИАС.</v>
      </c>
      <c r="O101" s="184" t="s">
        <v>2386</v>
      </c>
      <c r="P101" s="184"/>
      <c r="Q101" s="184"/>
      <c r="R101" s="184"/>
      <c r="S101" s="184"/>
      <c r="T101" s="161" t="s">
        <v>2387</v>
      </c>
      <c r="U101" s="161"/>
      <c r="V101" s="161"/>
      <c r="W101" s="161"/>
      <c r="X101" s="161"/>
      <c r="Y101" s="190"/>
      <c r="Z101" s="159" t="s">
        <v>625</v>
      </c>
      <c r="AA101" s="179"/>
      <c r="AB101" s="159"/>
      <c r="AC101" s="159"/>
      <c r="AD101" s="159"/>
    </row>
    <row r="102" customHeight="1" spans="1:30">
      <c r="A102" s="162"/>
      <c r="B102" s="162"/>
      <c r="C102" s="161"/>
      <c r="D102" s="161"/>
      <c r="E102" s="161"/>
      <c r="F102" s="161"/>
      <c r="G102" s="161"/>
      <c r="H102" s="174"/>
      <c r="I102" s="174"/>
      <c r="J102" s="174"/>
      <c r="K102" s="174"/>
      <c r="L102" s="174"/>
      <c r="M102" s="161"/>
      <c r="N102" s="191"/>
      <c r="O102" s="184"/>
      <c r="P102" s="184"/>
      <c r="Q102" s="184"/>
      <c r="R102" s="184"/>
      <c r="S102" s="161"/>
      <c r="T102" s="161"/>
      <c r="U102" s="161"/>
      <c r="V102" s="161"/>
      <c r="W102" s="161"/>
      <c r="X102" s="161"/>
      <c r="Y102" s="190"/>
      <c r="Z102" s="159"/>
      <c r="AA102" s="179"/>
      <c r="AB102" s="159"/>
      <c r="AC102" s="159"/>
      <c r="AD102" s="159"/>
    </row>
    <row r="103" customHeight="1" spans="1:30">
      <c r="A103" s="162"/>
      <c r="B103" s="162"/>
      <c r="C103" s="161"/>
      <c r="D103" s="161"/>
      <c r="E103" s="161"/>
      <c r="F103" s="161"/>
      <c r="G103" s="161"/>
      <c r="H103" s="174"/>
      <c r="I103" s="174"/>
      <c r="J103" s="174"/>
      <c r="K103" s="174"/>
      <c r="L103" s="174"/>
      <c r="M103" s="161"/>
      <c r="N103" s="191"/>
      <c r="O103" s="184"/>
      <c r="P103" s="184"/>
      <c r="Q103" s="184"/>
      <c r="R103" s="184"/>
      <c r="S103" s="161"/>
      <c r="T103" s="161"/>
      <c r="U103" s="161"/>
      <c r="V103" s="161"/>
      <c r="W103" s="161"/>
      <c r="X103" s="161"/>
      <c r="Y103" s="190"/>
      <c r="Z103" s="159"/>
      <c r="AA103" s="179"/>
      <c r="AB103" s="159"/>
      <c r="AC103" s="159"/>
      <c r="AD103" s="159"/>
    </row>
    <row r="104" customHeight="1" spans="1:30">
      <c r="A104" s="162"/>
      <c r="B104" s="162"/>
      <c r="C104" s="161"/>
      <c r="D104" s="161"/>
      <c r="E104" s="161"/>
      <c r="F104" s="161"/>
      <c r="G104" s="161"/>
      <c r="H104" s="174"/>
      <c r="I104" s="174"/>
      <c r="J104" s="174"/>
      <c r="K104" s="174"/>
      <c r="L104" s="174"/>
      <c r="M104" s="161"/>
      <c r="N104" s="191"/>
      <c r="O104" s="184"/>
      <c r="P104" s="184"/>
      <c r="Q104" s="184"/>
      <c r="R104" s="184"/>
      <c r="S104" s="161"/>
      <c r="T104" s="161"/>
      <c r="U104" s="161"/>
      <c r="V104" s="161"/>
      <c r="W104" s="161"/>
      <c r="X104" s="161"/>
      <c r="Y104" s="190"/>
      <c r="Z104" s="159"/>
      <c r="AA104" s="179"/>
      <c r="AB104" s="159"/>
      <c r="AC104" s="159"/>
      <c r="AD104" s="159"/>
    </row>
    <row r="105" customHeight="1" spans="1:30">
      <c r="A105" s="162"/>
      <c r="B105" s="162"/>
      <c r="C105" s="161"/>
      <c r="D105" s="161"/>
      <c r="E105" s="161"/>
      <c r="F105" s="161"/>
      <c r="G105" s="161"/>
      <c r="H105" s="174"/>
      <c r="I105" s="174"/>
      <c r="J105" s="174"/>
      <c r="K105" s="174"/>
      <c r="L105" s="174"/>
      <c r="M105" s="161"/>
      <c r="N105" s="191"/>
      <c r="O105" s="184"/>
      <c r="P105" s="184"/>
      <c r="Q105" s="184"/>
      <c r="R105" s="184"/>
      <c r="S105" s="161"/>
      <c r="T105" s="161"/>
      <c r="U105" s="161"/>
      <c r="V105" s="161"/>
      <c r="W105" s="161"/>
      <c r="X105" s="161"/>
      <c r="Y105" s="190"/>
      <c r="Z105" s="159"/>
      <c r="AA105" s="179"/>
      <c r="AB105" s="159"/>
      <c r="AC105" s="159"/>
      <c r="AD105" s="159"/>
    </row>
    <row r="106" customHeight="1" spans="1:30">
      <c r="A106" s="162"/>
      <c r="B106" s="162"/>
      <c r="C106" s="161"/>
      <c r="D106" s="161"/>
      <c r="E106" s="161"/>
      <c r="F106" s="161"/>
      <c r="G106" s="161"/>
      <c r="H106" s="174"/>
      <c r="I106" s="174"/>
      <c r="J106" s="174"/>
      <c r="K106" s="174"/>
      <c r="L106" s="174"/>
      <c r="M106" s="161"/>
      <c r="N106" s="191"/>
      <c r="O106" s="184"/>
      <c r="P106" s="184"/>
      <c r="Q106" s="184"/>
      <c r="R106" s="184"/>
      <c r="S106" s="161"/>
      <c r="T106" s="161"/>
      <c r="U106" s="161"/>
      <c r="V106" s="161"/>
      <c r="W106" s="161"/>
      <c r="X106" s="161"/>
      <c r="Y106" s="190"/>
      <c r="Z106" s="159"/>
      <c r="AA106" s="179"/>
      <c r="AB106" s="159"/>
      <c r="AC106" s="159"/>
      <c r="AD106" s="159"/>
    </row>
    <row r="107" customHeight="1" spans="1:30">
      <c r="A107" s="162"/>
      <c r="B107" s="162"/>
      <c r="C107" s="161"/>
      <c r="D107" s="161"/>
      <c r="E107" s="161"/>
      <c r="F107" s="161"/>
      <c r="G107" s="161"/>
      <c r="H107" s="174"/>
      <c r="I107" s="174"/>
      <c r="J107" s="174"/>
      <c r="K107" s="174"/>
      <c r="L107" s="174"/>
      <c r="M107" s="161"/>
      <c r="N107" s="191"/>
      <c r="O107" s="184"/>
      <c r="P107" s="184"/>
      <c r="Q107" s="184"/>
      <c r="R107" s="184"/>
      <c r="S107" s="161"/>
      <c r="T107" s="161"/>
      <c r="U107" s="161"/>
      <c r="V107" s="161"/>
      <c r="W107" s="161"/>
      <c r="X107" s="161"/>
      <c r="Y107" s="190"/>
      <c r="Z107" s="159"/>
      <c r="AA107" s="179"/>
      <c r="AB107" s="159"/>
      <c r="AC107" s="159"/>
      <c r="AD107" s="159"/>
    </row>
    <row r="108" customHeight="1" spans="1:30">
      <c r="A108" s="162"/>
      <c r="B108" s="162"/>
      <c r="C108" s="161"/>
      <c r="D108" s="161"/>
      <c r="E108" s="161"/>
      <c r="F108" s="161"/>
      <c r="G108" s="161"/>
      <c r="H108" s="174"/>
      <c r="I108" s="174"/>
      <c r="J108" s="174"/>
      <c r="K108" s="174"/>
      <c r="L108" s="174"/>
      <c r="M108" s="161"/>
      <c r="N108" s="191"/>
      <c r="O108" s="184"/>
      <c r="P108" s="184"/>
      <c r="Q108" s="184"/>
      <c r="R108" s="184"/>
      <c r="S108" s="161"/>
      <c r="T108" s="161"/>
      <c r="U108" s="161"/>
      <c r="V108" s="161"/>
      <c r="W108" s="161"/>
      <c r="X108" s="161"/>
      <c r="Y108" s="190"/>
      <c r="Z108" s="159"/>
      <c r="AA108" s="179"/>
      <c r="AB108" s="159"/>
      <c r="AC108" s="159"/>
      <c r="AD108" s="159"/>
    </row>
    <row r="109" customHeight="1" spans="1:30">
      <c r="A109" s="162"/>
      <c r="B109" s="162"/>
      <c r="C109" s="161"/>
      <c r="D109" s="161"/>
      <c r="E109" s="161"/>
      <c r="F109" s="161"/>
      <c r="G109" s="161"/>
      <c r="H109" s="174"/>
      <c r="I109" s="174"/>
      <c r="J109" s="174"/>
      <c r="K109" s="174"/>
      <c r="L109" s="174"/>
      <c r="M109" s="161"/>
      <c r="N109" s="191"/>
      <c r="O109" s="184"/>
      <c r="P109" s="184"/>
      <c r="Q109" s="184"/>
      <c r="R109" s="184"/>
      <c r="S109" s="161"/>
      <c r="T109" s="161"/>
      <c r="U109" s="161"/>
      <c r="V109" s="161"/>
      <c r="W109" s="161"/>
      <c r="X109" s="161"/>
      <c r="Y109" s="190"/>
      <c r="Z109" s="159"/>
      <c r="AA109" s="179"/>
      <c r="AB109" s="159"/>
      <c r="AC109" s="159"/>
      <c r="AD109" s="159"/>
    </row>
    <row r="110" customHeight="1" spans="1:30">
      <c r="A110" s="162"/>
      <c r="B110" s="162"/>
      <c r="C110" s="161"/>
      <c r="D110" s="161"/>
      <c r="E110" s="161"/>
      <c r="F110" s="161"/>
      <c r="G110" s="161"/>
      <c r="H110" s="174"/>
      <c r="I110" s="174"/>
      <c r="J110" s="174"/>
      <c r="K110" s="174"/>
      <c r="L110" s="174"/>
      <c r="M110" s="161"/>
      <c r="N110" s="191"/>
      <c r="O110" s="184"/>
      <c r="P110" s="184"/>
      <c r="Q110" s="184"/>
      <c r="R110" s="184"/>
      <c r="S110" s="161"/>
      <c r="T110" s="161"/>
      <c r="U110" s="161"/>
      <c r="V110" s="161"/>
      <c r="W110" s="161"/>
      <c r="X110" s="161"/>
      <c r="Y110" s="190"/>
      <c r="Z110" s="159"/>
      <c r="AA110" s="179"/>
      <c r="AB110" s="159"/>
      <c r="AC110" s="159"/>
      <c r="AD110" s="159"/>
    </row>
    <row r="111" customHeight="1" spans="1:30">
      <c r="A111" s="162"/>
      <c r="B111" s="162"/>
      <c r="C111" s="161"/>
      <c r="D111" s="161"/>
      <c r="E111" s="161"/>
      <c r="F111" s="161"/>
      <c r="G111" s="161"/>
      <c r="H111" s="174"/>
      <c r="I111" s="174"/>
      <c r="J111" s="174"/>
      <c r="K111" s="174"/>
      <c r="L111" s="174"/>
      <c r="M111" s="161"/>
      <c r="N111" s="191"/>
      <c r="O111" s="184"/>
      <c r="P111" s="184"/>
      <c r="Q111" s="184"/>
      <c r="R111" s="184"/>
      <c r="S111" s="161"/>
      <c r="T111" s="161"/>
      <c r="U111" s="161"/>
      <c r="V111" s="161"/>
      <c r="W111" s="161"/>
      <c r="X111" s="161"/>
      <c r="Y111" s="190"/>
      <c r="Z111" s="159"/>
      <c r="AA111" s="179"/>
      <c r="AB111" s="159"/>
      <c r="AC111" s="159"/>
      <c r="AD111" s="159"/>
    </row>
    <row r="112" customHeight="1" spans="1:30">
      <c r="A112" s="162"/>
      <c r="B112" s="162"/>
      <c r="C112" s="161"/>
      <c r="D112" s="161"/>
      <c r="E112" s="161"/>
      <c r="F112" s="161"/>
      <c r="G112" s="161"/>
      <c r="H112" s="174"/>
      <c r="I112" s="174"/>
      <c r="J112" s="174"/>
      <c r="K112" s="174"/>
      <c r="L112" s="174"/>
      <c r="M112" s="161"/>
      <c r="N112" s="191"/>
      <c r="O112" s="184"/>
      <c r="P112" s="184"/>
      <c r="Q112" s="184"/>
      <c r="R112" s="184"/>
      <c r="S112" s="161"/>
      <c r="T112" s="161"/>
      <c r="U112" s="161"/>
      <c r="V112" s="161"/>
      <c r="W112" s="161"/>
      <c r="X112" s="161"/>
      <c r="Y112" s="190"/>
      <c r="Z112" s="159"/>
      <c r="AA112" s="179"/>
      <c r="AB112" s="159"/>
      <c r="AC112" s="159"/>
      <c r="AD112" s="159"/>
    </row>
    <row r="113" customHeight="1" spans="1:30">
      <c r="A113" s="162"/>
      <c r="B113" s="162"/>
      <c r="C113" s="161"/>
      <c r="D113" s="161"/>
      <c r="E113" s="161"/>
      <c r="F113" s="161"/>
      <c r="G113" s="161"/>
      <c r="H113" s="174"/>
      <c r="I113" s="174"/>
      <c r="J113" s="174"/>
      <c r="K113" s="174"/>
      <c r="L113" s="174"/>
      <c r="M113" s="161"/>
      <c r="N113" s="191"/>
      <c r="O113" s="184"/>
      <c r="P113" s="184"/>
      <c r="Q113" s="184"/>
      <c r="R113" s="184"/>
      <c r="S113" s="161"/>
      <c r="T113" s="161"/>
      <c r="U113" s="161"/>
      <c r="V113" s="161"/>
      <c r="W113" s="161"/>
      <c r="X113" s="161"/>
      <c r="Y113" s="190"/>
      <c r="Z113" s="159"/>
      <c r="AA113" s="179"/>
      <c r="AB113" s="159"/>
      <c r="AC113" s="159"/>
      <c r="AD113" s="159"/>
    </row>
    <row r="114" customHeight="1" spans="1:30">
      <c r="A114" s="162"/>
      <c r="B114" s="162"/>
      <c r="C114" s="161"/>
      <c r="D114" s="161"/>
      <c r="E114" s="161"/>
      <c r="F114" s="161"/>
      <c r="G114" s="161"/>
      <c r="H114" s="174"/>
      <c r="I114" s="174"/>
      <c r="J114" s="174"/>
      <c r="K114" s="174"/>
      <c r="L114" s="174"/>
      <c r="M114" s="161"/>
      <c r="N114" s="191"/>
      <c r="O114" s="184"/>
      <c r="P114" s="184"/>
      <c r="Q114" s="184"/>
      <c r="R114" s="184"/>
      <c r="S114" s="161"/>
      <c r="T114" s="161"/>
      <c r="U114" s="161"/>
      <c r="V114" s="161"/>
      <c r="W114" s="161"/>
      <c r="X114" s="161"/>
      <c r="Y114" s="190"/>
      <c r="Z114" s="159"/>
      <c r="AA114" s="179"/>
      <c r="AB114" s="159"/>
      <c r="AC114" s="159"/>
      <c r="AD114" s="159"/>
    </row>
    <row r="115" customHeight="1" spans="1:30">
      <c r="A115" s="162"/>
      <c r="B115" s="162"/>
      <c r="C115" s="161"/>
      <c r="D115" s="161"/>
      <c r="E115" s="161"/>
      <c r="F115" s="161"/>
      <c r="G115" s="161"/>
      <c r="H115" s="174"/>
      <c r="I115" s="174"/>
      <c r="J115" s="174"/>
      <c r="K115" s="174"/>
      <c r="L115" s="174"/>
      <c r="M115" s="161"/>
      <c r="N115" s="191"/>
      <c r="O115" s="184"/>
      <c r="P115" s="184"/>
      <c r="Q115" s="184"/>
      <c r="R115" s="184"/>
      <c r="S115" s="161"/>
      <c r="T115" s="161"/>
      <c r="U115" s="161"/>
      <c r="V115" s="161"/>
      <c r="W115" s="161"/>
      <c r="X115" s="161"/>
      <c r="Y115" s="190"/>
      <c r="Z115" s="159"/>
      <c r="AA115" s="179"/>
      <c r="AB115" s="159"/>
      <c r="AC115" s="159"/>
      <c r="AD115" s="159"/>
    </row>
    <row r="116" customHeight="1" spans="1:30">
      <c r="A116" s="162"/>
      <c r="B116" s="162"/>
      <c r="C116" s="161"/>
      <c r="D116" s="161"/>
      <c r="E116" s="161"/>
      <c r="F116" s="161"/>
      <c r="G116" s="161"/>
      <c r="H116" s="174"/>
      <c r="I116" s="174"/>
      <c r="J116" s="174"/>
      <c r="K116" s="174"/>
      <c r="L116" s="174"/>
      <c r="M116" s="161"/>
      <c r="N116" s="191"/>
      <c r="O116" s="184"/>
      <c r="P116" s="184"/>
      <c r="Q116" s="184"/>
      <c r="R116" s="184"/>
      <c r="S116" s="161"/>
      <c r="T116" s="161"/>
      <c r="U116" s="161"/>
      <c r="V116" s="161"/>
      <c r="W116" s="161"/>
      <c r="X116" s="161"/>
      <c r="Y116" s="190"/>
      <c r="Z116" s="159"/>
      <c r="AA116" s="179"/>
      <c r="AB116" s="159"/>
      <c r="AC116" s="159"/>
      <c r="AD116" s="159"/>
    </row>
    <row r="117" customHeight="1" spans="1:30">
      <c r="A117" s="162"/>
      <c r="B117" s="162"/>
      <c r="C117" s="161"/>
      <c r="D117" s="161"/>
      <c r="E117" s="161"/>
      <c r="F117" s="161"/>
      <c r="G117" s="161"/>
      <c r="H117" s="174"/>
      <c r="I117" s="174"/>
      <c r="J117" s="174"/>
      <c r="K117" s="174"/>
      <c r="L117" s="174"/>
      <c r="M117" s="161"/>
      <c r="N117" s="191"/>
      <c r="O117" s="184"/>
      <c r="P117" s="184"/>
      <c r="Q117" s="184"/>
      <c r="R117" s="184"/>
      <c r="S117" s="161"/>
      <c r="T117" s="161"/>
      <c r="U117" s="161"/>
      <c r="V117" s="161"/>
      <c r="W117" s="161"/>
      <c r="X117" s="161"/>
      <c r="Y117" s="190"/>
      <c r="Z117" s="159"/>
      <c r="AA117" s="179"/>
      <c r="AB117" s="159"/>
      <c r="AC117" s="159"/>
      <c r="AD117" s="159"/>
    </row>
    <row r="118" customHeight="1" spans="1:30">
      <c r="A118" s="162"/>
      <c r="B118" s="162"/>
      <c r="C118" s="161"/>
      <c r="D118" s="161"/>
      <c r="E118" s="161"/>
      <c r="F118" s="161"/>
      <c r="G118" s="161"/>
      <c r="H118" s="174"/>
      <c r="I118" s="174"/>
      <c r="J118" s="174"/>
      <c r="K118" s="174"/>
      <c r="L118" s="174"/>
      <c r="M118" s="161"/>
      <c r="N118" s="191"/>
      <c r="O118" s="184"/>
      <c r="P118" s="184"/>
      <c r="Q118" s="184"/>
      <c r="R118" s="184"/>
      <c r="S118" s="161"/>
      <c r="T118" s="161"/>
      <c r="U118" s="161"/>
      <c r="V118" s="161"/>
      <c r="W118" s="161"/>
      <c r="X118" s="161"/>
      <c r="Y118" s="190"/>
      <c r="Z118" s="159"/>
      <c r="AA118" s="179"/>
      <c r="AB118" s="159"/>
      <c r="AC118" s="159"/>
      <c r="AD118" s="159"/>
    </row>
    <row r="119" customHeight="1" spans="1:30">
      <c r="A119" s="162"/>
      <c r="B119" s="162"/>
      <c r="C119" s="161"/>
      <c r="D119" s="161"/>
      <c r="E119" s="161"/>
      <c r="F119" s="161"/>
      <c r="G119" s="161"/>
      <c r="H119" s="174"/>
      <c r="I119" s="174"/>
      <c r="J119" s="174"/>
      <c r="K119" s="174"/>
      <c r="L119" s="174"/>
      <c r="M119" s="161"/>
      <c r="N119" s="191"/>
      <c r="O119" s="184"/>
      <c r="P119" s="184"/>
      <c r="Q119" s="184"/>
      <c r="R119" s="184"/>
      <c r="S119" s="161"/>
      <c r="T119" s="161"/>
      <c r="U119" s="161"/>
      <c r="V119" s="161"/>
      <c r="W119" s="161"/>
      <c r="X119" s="161"/>
      <c r="Y119" s="190"/>
      <c r="Z119" s="159"/>
      <c r="AA119" s="179"/>
      <c r="AB119" s="159"/>
      <c r="AC119" s="159"/>
      <c r="AD119" s="159"/>
    </row>
    <row r="120" customHeight="1" spans="1:30">
      <c r="A120" s="162"/>
      <c r="B120" s="162"/>
      <c r="C120" s="161"/>
      <c r="D120" s="161"/>
      <c r="E120" s="161"/>
      <c r="F120" s="161"/>
      <c r="G120" s="161"/>
      <c r="H120" s="174"/>
      <c r="I120" s="174"/>
      <c r="J120" s="174"/>
      <c r="K120" s="174"/>
      <c r="L120" s="174"/>
      <c r="M120" s="161"/>
      <c r="N120" s="191"/>
      <c r="O120" s="184"/>
      <c r="P120" s="184"/>
      <c r="Q120" s="184"/>
      <c r="R120" s="184"/>
      <c r="S120" s="161"/>
      <c r="T120" s="161"/>
      <c r="U120" s="161"/>
      <c r="V120" s="161"/>
      <c r="W120" s="161"/>
      <c r="X120" s="161"/>
      <c r="Y120" s="190"/>
      <c r="Z120" s="159"/>
      <c r="AA120" s="179"/>
      <c r="AB120" s="159"/>
      <c r="AC120" s="159"/>
      <c r="AD120" s="159"/>
    </row>
    <row r="121" customHeight="1" spans="1:30">
      <c r="A121" s="162"/>
      <c r="B121" s="162"/>
      <c r="C121" s="161"/>
      <c r="D121" s="161"/>
      <c r="E121" s="161"/>
      <c r="F121" s="161"/>
      <c r="G121" s="161"/>
      <c r="H121" s="174"/>
      <c r="I121" s="174"/>
      <c r="J121" s="174"/>
      <c r="K121" s="174"/>
      <c r="L121" s="174"/>
      <c r="M121" s="161"/>
      <c r="N121" s="191"/>
      <c r="O121" s="184"/>
      <c r="P121" s="184"/>
      <c r="Q121" s="184"/>
      <c r="R121" s="184"/>
      <c r="S121" s="161"/>
      <c r="T121" s="161"/>
      <c r="U121" s="161"/>
      <c r="V121" s="161"/>
      <c r="W121" s="161"/>
      <c r="X121" s="161"/>
      <c r="Y121" s="190"/>
      <c r="Z121" s="159"/>
      <c r="AA121" s="179"/>
      <c r="AB121" s="159"/>
      <c r="AC121" s="159"/>
      <c r="AD121" s="159"/>
    </row>
    <row r="122" customHeight="1" spans="1:30">
      <c r="A122" s="162"/>
      <c r="B122" s="162"/>
      <c r="C122" s="161"/>
      <c r="D122" s="161"/>
      <c r="E122" s="161"/>
      <c r="F122" s="161"/>
      <c r="G122" s="161"/>
      <c r="H122" s="174"/>
      <c r="I122" s="174"/>
      <c r="J122" s="174"/>
      <c r="K122" s="174"/>
      <c r="L122" s="174"/>
      <c r="M122" s="161"/>
      <c r="N122" s="191"/>
      <c r="O122" s="184"/>
      <c r="P122" s="184"/>
      <c r="Q122" s="184"/>
      <c r="R122" s="184"/>
      <c r="S122" s="161"/>
      <c r="T122" s="161"/>
      <c r="U122" s="161"/>
      <c r="V122" s="161"/>
      <c r="W122" s="161"/>
      <c r="X122" s="161"/>
      <c r="Y122" s="190"/>
      <c r="Z122" s="159"/>
      <c r="AA122" s="179"/>
      <c r="AB122" s="159"/>
      <c r="AC122" s="159"/>
      <c r="AD122" s="159"/>
    </row>
    <row r="123" customHeight="1" spans="1:30">
      <c r="A123" s="162"/>
      <c r="B123" s="162"/>
      <c r="C123" s="161"/>
      <c r="D123" s="161"/>
      <c r="E123" s="161"/>
      <c r="F123" s="161"/>
      <c r="G123" s="161"/>
      <c r="H123" s="174"/>
      <c r="I123" s="174"/>
      <c r="J123" s="174"/>
      <c r="K123" s="174"/>
      <c r="L123" s="174"/>
      <c r="M123" s="161"/>
      <c r="N123" s="191"/>
      <c r="O123" s="184"/>
      <c r="P123" s="184"/>
      <c r="Q123" s="184"/>
      <c r="R123" s="184"/>
      <c r="S123" s="161"/>
      <c r="T123" s="161"/>
      <c r="U123" s="161"/>
      <c r="V123" s="161"/>
      <c r="W123" s="161"/>
      <c r="X123" s="161"/>
      <c r="Y123" s="190"/>
      <c r="Z123" s="159"/>
      <c r="AA123" s="179"/>
      <c r="AB123" s="159"/>
      <c r="AC123" s="159"/>
      <c r="AD123" s="159"/>
    </row>
    <row r="124" customHeight="1" spans="1:30">
      <c r="A124" s="162"/>
      <c r="B124" s="162"/>
      <c r="C124" s="161"/>
      <c r="D124" s="161"/>
      <c r="E124" s="161"/>
      <c r="F124" s="161"/>
      <c r="G124" s="161"/>
      <c r="H124" s="174"/>
      <c r="I124" s="174"/>
      <c r="J124" s="174"/>
      <c r="K124" s="174"/>
      <c r="L124" s="174"/>
      <c r="M124" s="161"/>
      <c r="N124" s="191"/>
      <c r="O124" s="184"/>
      <c r="P124" s="184"/>
      <c r="Q124" s="184"/>
      <c r="R124" s="184"/>
      <c r="S124" s="161"/>
      <c r="T124" s="161"/>
      <c r="U124" s="161"/>
      <c r="V124" s="161"/>
      <c r="W124" s="161"/>
      <c r="X124" s="161"/>
      <c r="Y124" s="190"/>
      <c r="Z124" s="159"/>
      <c r="AA124" s="179"/>
      <c r="AB124" s="159"/>
      <c r="AC124" s="159"/>
      <c r="AD124" s="159"/>
    </row>
    <row r="125" customHeight="1" spans="1:30">
      <c r="A125" s="162"/>
      <c r="B125" s="162"/>
      <c r="C125" s="161"/>
      <c r="D125" s="161"/>
      <c r="E125" s="161"/>
      <c r="F125" s="161"/>
      <c r="G125" s="161"/>
      <c r="H125" s="174"/>
      <c r="I125" s="174"/>
      <c r="J125" s="174"/>
      <c r="K125" s="174"/>
      <c r="L125" s="174"/>
      <c r="M125" s="161"/>
      <c r="N125" s="191"/>
      <c r="O125" s="184"/>
      <c r="P125" s="184"/>
      <c r="Q125" s="184"/>
      <c r="R125" s="184"/>
      <c r="S125" s="161"/>
      <c r="T125" s="161"/>
      <c r="U125" s="161"/>
      <c r="V125" s="161"/>
      <c r="W125" s="161"/>
      <c r="X125" s="161"/>
      <c r="Y125" s="190"/>
      <c r="Z125" s="159"/>
      <c r="AA125" s="179"/>
      <c r="AB125" s="159"/>
      <c r="AC125" s="159"/>
      <c r="AD125" s="159"/>
    </row>
    <row r="126" customHeight="1" spans="1:30">
      <c r="A126" s="162"/>
      <c r="B126" s="162"/>
      <c r="C126" s="161"/>
      <c r="D126" s="161"/>
      <c r="E126" s="161"/>
      <c r="F126" s="161"/>
      <c r="G126" s="161"/>
      <c r="H126" s="174"/>
      <c r="I126" s="174"/>
      <c r="J126" s="174"/>
      <c r="K126" s="174"/>
      <c r="L126" s="174"/>
      <c r="M126" s="161"/>
      <c r="N126" s="191"/>
      <c r="O126" s="184"/>
      <c r="P126" s="184"/>
      <c r="Q126" s="184"/>
      <c r="R126" s="184"/>
      <c r="S126" s="161"/>
      <c r="T126" s="161"/>
      <c r="U126" s="161"/>
      <c r="V126" s="161"/>
      <c r="W126" s="161"/>
      <c r="X126" s="161"/>
      <c r="Y126" s="190"/>
      <c r="Z126" s="159"/>
      <c r="AA126" s="179"/>
      <c r="AB126" s="159"/>
      <c r="AC126" s="159"/>
      <c r="AD126" s="159"/>
    </row>
    <row r="127" customHeight="1" spans="1:30">
      <c r="A127" s="162"/>
      <c r="B127" s="162"/>
      <c r="C127" s="161"/>
      <c r="D127" s="161"/>
      <c r="E127" s="161"/>
      <c r="F127" s="161"/>
      <c r="G127" s="161"/>
      <c r="H127" s="174"/>
      <c r="I127" s="174"/>
      <c r="J127" s="174"/>
      <c r="K127" s="174"/>
      <c r="L127" s="174"/>
      <c r="M127" s="161"/>
      <c r="N127" s="191"/>
      <c r="O127" s="184"/>
      <c r="P127" s="184"/>
      <c r="Q127" s="184"/>
      <c r="R127" s="184"/>
      <c r="S127" s="161"/>
      <c r="T127" s="161"/>
      <c r="U127" s="161"/>
      <c r="V127" s="161"/>
      <c r="W127" s="161"/>
      <c r="X127" s="161"/>
      <c r="Y127" s="190"/>
      <c r="Z127" s="159"/>
      <c r="AA127" s="179"/>
      <c r="AB127" s="159"/>
      <c r="AC127" s="159"/>
      <c r="AD127" s="159"/>
    </row>
    <row r="128" customHeight="1" spans="1:30">
      <c r="A128" s="162"/>
      <c r="B128" s="162"/>
      <c r="C128" s="161"/>
      <c r="D128" s="161"/>
      <c r="E128" s="161"/>
      <c r="F128" s="161"/>
      <c r="G128" s="161"/>
      <c r="H128" s="174"/>
      <c r="I128" s="174"/>
      <c r="J128" s="174"/>
      <c r="K128" s="174"/>
      <c r="L128" s="174"/>
      <c r="M128" s="161"/>
      <c r="N128" s="191"/>
      <c r="O128" s="184"/>
      <c r="P128" s="184"/>
      <c r="Q128" s="184"/>
      <c r="R128" s="184"/>
      <c r="S128" s="161"/>
      <c r="T128" s="161"/>
      <c r="U128" s="161"/>
      <c r="V128" s="161"/>
      <c r="W128" s="161"/>
      <c r="X128" s="161"/>
      <c r="Y128" s="190"/>
      <c r="Z128" s="159"/>
      <c r="AA128" s="179"/>
      <c r="AB128" s="159"/>
      <c r="AC128" s="159"/>
      <c r="AD128" s="159"/>
    </row>
    <row r="129" customHeight="1" spans="1:30">
      <c r="A129" s="162"/>
      <c r="B129" s="162"/>
      <c r="C129" s="161"/>
      <c r="D129" s="161"/>
      <c r="E129" s="161"/>
      <c r="F129" s="161"/>
      <c r="G129" s="161"/>
      <c r="H129" s="174"/>
      <c r="I129" s="174"/>
      <c r="J129" s="174"/>
      <c r="K129" s="174"/>
      <c r="L129" s="174"/>
      <c r="M129" s="161"/>
      <c r="N129" s="191"/>
      <c r="O129" s="184"/>
      <c r="P129" s="184"/>
      <c r="Q129" s="184"/>
      <c r="R129" s="184"/>
      <c r="S129" s="161"/>
      <c r="T129" s="161"/>
      <c r="U129" s="161"/>
      <c r="V129" s="161"/>
      <c r="W129" s="161"/>
      <c r="X129" s="161"/>
      <c r="Y129" s="190"/>
      <c r="Z129" s="159"/>
      <c r="AA129" s="179"/>
      <c r="AB129" s="159"/>
      <c r="AC129" s="159"/>
      <c r="AD129" s="159"/>
    </row>
    <row r="130" customHeight="1" spans="1:30">
      <c r="A130" s="162"/>
      <c r="B130" s="162"/>
      <c r="C130" s="161"/>
      <c r="D130" s="161"/>
      <c r="E130" s="161"/>
      <c r="F130" s="161"/>
      <c r="G130" s="161"/>
      <c r="H130" s="174"/>
      <c r="I130" s="174"/>
      <c r="J130" s="174"/>
      <c r="K130" s="174"/>
      <c r="L130" s="174"/>
      <c r="M130" s="161"/>
      <c r="N130" s="191"/>
      <c r="O130" s="192"/>
      <c r="P130" s="192"/>
      <c r="Q130" s="192"/>
      <c r="R130" s="192"/>
      <c r="S130" s="161"/>
      <c r="T130" s="161"/>
      <c r="U130" s="161"/>
      <c r="V130" s="161"/>
      <c r="W130" s="161"/>
      <c r="X130" s="161"/>
      <c r="Y130" s="190"/>
      <c r="Z130" s="159"/>
      <c r="AA130" s="179"/>
      <c r="AB130" s="159"/>
      <c r="AC130" s="159"/>
      <c r="AD130" s="159"/>
    </row>
    <row r="131" customHeight="1" spans="1:30">
      <c r="A131" s="162"/>
      <c r="B131" s="162"/>
      <c r="C131" s="161"/>
      <c r="D131" s="161"/>
      <c r="E131" s="161"/>
      <c r="F131" s="161"/>
      <c r="G131" s="161"/>
      <c r="H131" s="174"/>
      <c r="I131" s="174"/>
      <c r="J131" s="174"/>
      <c r="K131" s="174"/>
      <c r="L131" s="174"/>
      <c r="M131" s="161"/>
      <c r="N131" s="191"/>
      <c r="O131" s="193"/>
      <c r="P131" s="193"/>
      <c r="Q131" s="193"/>
      <c r="R131" s="193"/>
      <c r="S131" s="161"/>
      <c r="T131" s="161"/>
      <c r="U131" s="161"/>
      <c r="V131" s="161"/>
      <c r="W131" s="161"/>
      <c r="X131" s="161"/>
      <c r="Y131" s="190"/>
      <c r="Z131" s="159"/>
      <c r="AA131" s="179"/>
      <c r="AB131" s="159"/>
      <c r="AC131" s="159"/>
      <c r="AD131" s="159"/>
    </row>
    <row r="132" customHeight="1" spans="1:30">
      <c r="A132" s="162"/>
      <c r="B132" s="162"/>
      <c r="C132" s="161"/>
      <c r="D132" s="161"/>
      <c r="E132" s="161"/>
      <c r="F132" s="161"/>
      <c r="G132" s="161"/>
      <c r="H132" s="174"/>
      <c r="I132" s="174"/>
      <c r="J132" s="174"/>
      <c r="K132" s="174"/>
      <c r="L132" s="174"/>
      <c r="M132" s="161"/>
      <c r="N132" s="191"/>
      <c r="O132" s="192"/>
      <c r="P132" s="192"/>
      <c r="Q132" s="192"/>
      <c r="R132" s="192"/>
      <c r="S132" s="161"/>
      <c r="T132" s="161"/>
      <c r="U132" s="161"/>
      <c r="V132" s="161"/>
      <c r="W132" s="161"/>
      <c r="X132" s="161"/>
      <c r="Y132" s="190"/>
      <c r="Z132" s="159"/>
      <c r="AA132" s="179"/>
      <c r="AB132" s="159"/>
      <c r="AC132" s="159"/>
      <c r="AD132" s="159"/>
    </row>
    <row r="133" customHeight="1" spans="1:30">
      <c r="A133" s="162"/>
      <c r="B133" s="162"/>
      <c r="C133" s="161"/>
      <c r="D133" s="161"/>
      <c r="E133" s="161"/>
      <c r="F133" s="161"/>
      <c r="G133" s="161"/>
      <c r="H133" s="174"/>
      <c r="I133" s="174"/>
      <c r="J133" s="174"/>
      <c r="K133" s="174"/>
      <c r="L133" s="174"/>
      <c r="M133" s="161"/>
      <c r="N133" s="191"/>
      <c r="O133" s="193"/>
      <c r="P133" s="193"/>
      <c r="Q133" s="193"/>
      <c r="R133" s="193"/>
      <c r="S133" s="161"/>
      <c r="T133" s="161"/>
      <c r="U133" s="161"/>
      <c r="V133" s="161"/>
      <c r="W133" s="161"/>
      <c r="X133" s="161"/>
      <c r="Y133" s="190"/>
      <c r="Z133" s="159"/>
      <c r="AA133" s="179"/>
      <c r="AB133" s="159"/>
      <c r="AC133" s="159"/>
      <c r="AD133" s="159"/>
    </row>
    <row r="134" customHeight="1" spans="1:30">
      <c r="A134" s="162"/>
      <c r="B134" s="162"/>
      <c r="C134" s="161"/>
      <c r="D134" s="161"/>
      <c r="E134" s="161"/>
      <c r="F134" s="161"/>
      <c r="G134" s="161"/>
      <c r="H134" s="174"/>
      <c r="I134" s="174"/>
      <c r="J134" s="174"/>
      <c r="K134" s="174"/>
      <c r="L134" s="174"/>
      <c r="M134" s="161"/>
      <c r="N134" s="191"/>
      <c r="O134" s="184"/>
      <c r="P134" s="184"/>
      <c r="Q134" s="184"/>
      <c r="R134" s="184"/>
      <c r="S134" s="161"/>
      <c r="T134" s="161"/>
      <c r="U134" s="161"/>
      <c r="V134" s="161"/>
      <c r="W134" s="161"/>
      <c r="X134" s="161"/>
      <c r="Y134" s="190"/>
      <c r="Z134" s="159"/>
      <c r="AA134" s="179"/>
      <c r="AB134" s="159"/>
      <c r="AC134" s="159"/>
      <c r="AD134" s="159"/>
    </row>
    <row r="135" customHeight="1" spans="1:30">
      <c r="A135" s="162"/>
      <c r="B135" s="162"/>
      <c r="C135" s="161"/>
      <c r="D135" s="161"/>
      <c r="E135" s="161"/>
      <c r="F135" s="161"/>
      <c r="G135" s="161"/>
      <c r="H135" s="174"/>
      <c r="I135" s="174"/>
      <c r="J135" s="174"/>
      <c r="K135" s="174"/>
      <c r="L135" s="174"/>
      <c r="M135" s="161"/>
      <c r="N135" s="191"/>
      <c r="O135" s="184"/>
      <c r="P135" s="184"/>
      <c r="Q135" s="184"/>
      <c r="R135" s="184"/>
      <c r="S135" s="161"/>
      <c r="T135" s="161"/>
      <c r="U135" s="161"/>
      <c r="V135" s="161"/>
      <c r="W135" s="161"/>
      <c r="X135" s="161"/>
      <c r="Y135" s="190"/>
      <c r="Z135" s="159"/>
      <c r="AA135" s="179"/>
      <c r="AB135" s="159"/>
      <c r="AC135" s="159"/>
      <c r="AD135" s="159"/>
    </row>
    <row r="136" customHeight="1" spans="1:30">
      <c r="A136" s="162"/>
      <c r="B136" s="162"/>
      <c r="C136" s="161"/>
      <c r="D136" s="161"/>
      <c r="E136" s="161"/>
      <c r="F136" s="161"/>
      <c r="G136" s="161"/>
      <c r="H136" s="174"/>
      <c r="I136" s="174"/>
      <c r="J136" s="174"/>
      <c r="K136" s="174"/>
      <c r="L136" s="174"/>
      <c r="M136" s="161"/>
      <c r="N136" s="191"/>
      <c r="O136" s="184"/>
      <c r="P136" s="184"/>
      <c r="Q136" s="184"/>
      <c r="R136" s="184"/>
      <c r="S136" s="161"/>
      <c r="T136" s="161"/>
      <c r="U136" s="161"/>
      <c r="V136" s="161"/>
      <c r="W136" s="161"/>
      <c r="X136" s="161"/>
      <c r="Y136" s="190"/>
      <c r="Z136" s="159"/>
      <c r="AA136" s="179"/>
      <c r="AB136" s="159"/>
      <c r="AC136" s="159"/>
      <c r="AD136" s="159"/>
    </row>
    <row r="137" customHeight="1" spans="1:30">
      <c r="A137" s="162"/>
      <c r="B137" s="162"/>
      <c r="C137" s="161"/>
      <c r="D137" s="161"/>
      <c r="E137" s="161"/>
      <c r="F137" s="161"/>
      <c r="G137" s="161"/>
      <c r="H137" s="174"/>
      <c r="I137" s="174"/>
      <c r="J137" s="174"/>
      <c r="K137" s="174"/>
      <c r="L137" s="174"/>
      <c r="M137" s="161"/>
      <c r="N137" s="191"/>
      <c r="O137" s="194"/>
      <c r="P137" s="194"/>
      <c r="Q137" s="194"/>
      <c r="R137" s="194"/>
      <c r="S137" s="161"/>
      <c r="T137" s="161"/>
      <c r="U137" s="161"/>
      <c r="V137" s="161"/>
      <c r="W137" s="161"/>
      <c r="X137" s="161"/>
      <c r="Y137" s="190"/>
      <c r="Z137" s="159"/>
      <c r="AA137" s="179"/>
      <c r="AB137" s="159"/>
      <c r="AC137" s="159"/>
      <c r="AD137" s="159"/>
    </row>
    <row r="138" customHeight="1" spans="1:30">
      <c r="A138" s="162"/>
      <c r="B138" s="162"/>
      <c r="C138" s="161"/>
      <c r="D138" s="161"/>
      <c r="E138" s="161"/>
      <c r="F138" s="161"/>
      <c r="G138" s="161"/>
      <c r="H138" s="174"/>
      <c r="I138" s="174"/>
      <c r="J138" s="174"/>
      <c r="K138" s="174"/>
      <c r="L138" s="174"/>
      <c r="M138" s="161"/>
      <c r="N138" s="191"/>
      <c r="O138" s="175"/>
      <c r="P138" s="175"/>
      <c r="Q138" s="175"/>
      <c r="R138" s="175"/>
      <c r="S138" s="161"/>
      <c r="T138" s="161"/>
      <c r="U138" s="161"/>
      <c r="V138" s="161"/>
      <c r="W138" s="161"/>
      <c r="X138" s="161"/>
      <c r="Y138" s="190"/>
      <c r="Z138" s="159"/>
      <c r="AA138" s="179"/>
      <c r="AB138" s="159"/>
      <c r="AC138" s="159"/>
      <c r="AD138" s="159"/>
    </row>
    <row r="139" customHeight="1" spans="1:30">
      <c r="A139" s="162"/>
      <c r="B139" s="162"/>
      <c r="C139" s="161"/>
      <c r="D139" s="161"/>
      <c r="E139" s="161"/>
      <c r="F139" s="161"/>
      <c r="G139" s="161"/>
      <c r="H139" s="174"/>
      <c r="I139" s="174"/>
      <c r="J139" s="174"/>
      <c r="K139" s="174"/>
      <c r="L139" s="174"/>
      <c r="M139" s="161"/>
      <c r="N139" s="191"/>
      <c r="O139" s="161"/>
      <c r="P139" s="161"/>
      <c r="Q139" s="161"/>
      <c r="R139" s="161"/>
      <c r="S139" s="161"/>
      <c r="T139" s="161"/>
      <c r="U139" s="161"/>
      <c r="V139" s="161"/>
      <c r="W139" s="161"/>
      <c r="X139" s="161"/>
      <c r="Y139" s="190"/>
      <c r="Z139" s="159"/>
      <c r="AA139" s="179"/>
      <c r="AB139" s="159"/>
      <c r="AC139" s="159"/>
      <c r="AD139" s="159"/>
    </row>
    <row r="140" customHeight="1" spans="1:30">
      <c r="A140" s="162"/>
      <c r="B140" s="162"/>
      <c r="C140" s="161"/>
      <c r="D140" s="161"/>
      <c r="E140" s="161"/>
      <c r="F140" s="161"/>
      <c r="G140" s="161"/>
      <c r="H140" s="174"/>
      <c r="I140" s="174"/>
      <c r="J140" s="174"/>
      <c r="K140" s="174"/>
      <c r="L140" s="174"/>
      <c r="M140" s="161"/>
      <c r="N140" s="191"/>
      <c r="O140" s="161"/>
      <c r="P140" s="161"/>
      <c r="Q140" s="161"/>
      <c r="R140" s="161"/>
      <c r="S140" s="161"/>
      <c r="T140" s="161"/>
      <c r="U140" s="161"/>
      <c r="V140" s="161"/>
      <c r="W140" s="161"/>
      <c r="X140" s="161"/>
      <c r="Y140" s="190"/>
      <c r="Z140" s="159"/>
      <c r="AA140" s="179"/>
      <c r="AB140" s="159"/>
      <c r="AC140" s="159"/>
      <c r="AD140" s="159"/>
    </row>
    <row r="141" customHeight="1" spans="1:30">
      <c r="A141" s="162"/>
      <c r="B141" s="162"/>
      <c r="C141" s="161"/>
      <c r="D141" s="161"/>
      <c r="E141" s="161"/>
      <c r="F141" s="161"/>
      <c r="G141" s="161"/>
      <c r="H141" s="174"/>
      <c r="I141" s="174"/>
      <c r="J141" s="174"/>
      <c r="K141" s="174"/>
      <c r="L141" s="174"/>
      <c r="M141" s="161"/>
      <c r="N141" s="191"/>
      <c r="O141" s="161"/>
      <c r="P141" s="161"/>
      <c r="Q141" s="161"/>
      <c r="R141" s="161"/>
      <c r="S141" s="161"/>
      <c r="T141" s="161"/>
      <c r="U141" s="161"/>
      <c r="V141" s="161"/>
      <c r="W141" s="161"/>
      <c r="X141" s="161"/>
      <c r="Y141" s="190"/>
      <c r="Z141" s="159"/>
      <c r="AA141" s="179"/>
      <c r="AB141" s="159"/>
      <c r="AC141" s="159"/>
      <c r="AD141" s="159"/>
    </row>
    <row r="142" customHeight="1" spans="1:30">
      <c r="A142" s="162"/>
      <c r="B142" s="162"/>
      <c r="C142" s="161"/>
      <c r="D142" s="161"/>
      <c r="E142" s="161"/>
      <c r="F142" s="161"/>
      <c r="G142" s="161"/>
      <c r="H142" s="174"/>
      <c r="I142" s="174"/>
      <c r="J142" s="174"/>
      <c r="K142" s="174"/>
      <c r="L142" s="174"/>
      <c r="M142" s="161"/>
      <c r="N142" s="191"/>
      <c r="O142" s="161"/>
      <c r="P142" s="161"/>
      <c r="Q142" s="161"/>
      <c r="R142" s="161"/>
      <c r="S142" s="161"/>
      <c r="T142" s="161"/>
      <c r="U142" s="161"/>
      <c r="V142" s="161"/>
      <c r="W142" s="161"/>
      <c r="X142" s="161"/>
      <c r="Y142" s="190"/>
      <c r="Z142" s="159"/>
      <c r="AA142" s="179"/>
      <c r="AB142" s="159"/>
      <c r="AC142" s="159"/>
      <c r="AD142" s="159"/>
    </row>
    <row r="143" customHeight="1" spans="1:30">
      <c r="A143" s="162"/>
      <c r="B143" s="162"/>
      <c r="C143" s="161"/>
      <c r="D143" s="161"/>
      <c r="E143" s="161"/>
      <c r="F143" s="161"/>
      <c r="G143" s="161"/>
      <c r="H143" s="174"/>
      <c r="I143" s="174"/>
      <c r="J143" s="174"/>
      <c r="K143" s="174"/>
      <c r="L143" s="174"/>
      <c r="M143" s="161"/>
      <c r="N143" s="191"/>
      <c r="O143" s="161"/>
      <c r="P143" s="161"/>
      <c r="Q143" s="161"/>
      <c r="R143" s="161"/>
      <c r="S143" s="161"/>
      <c r="T143" s="161"/>
      <c r="U143" s="161"/>
      <c r="V143" s="161"/>
      <c r="W143" s="161"/>
      <c r="X143" s="161"/>
      <c r="Y143" s="190"/>
      <c r="Z143" s="159"/>
      <c r="AA143" s="179"/>
      <c r="AB143" s="159"/>
      <c r="AC143" s="159"/>
      <c r="AD143" s="159"/>
    </row>
    <row r="144" customHeight="1" spans="1:30">
      <c r="A144" s="162"/>
      <c r="B144" s="162"/>
      <c r="C144" s="161"/>
      <c r="D144" s="161"/>
      <c r="E144" s="161"/>
      <c r="F144" s="161"/>
      <c r="G144" s="161"/>
      <c r="H144" s="174"/>
      <c r="I144" s="174"/>
      <c r="J144" s="174"/>
      <c r="K144" s="174"/>
      <c r="L144" s="174"/>
      <c r="M144" s="161"/>
      <c r="N144" s="191"/>
      <c r="O144" s="161"/>
      <c r="P144" s="161"/>
      <c r="Q144" s="161"/>
      <c r="R144" s="161"/>
      <c r="S144" s="161"/>
      <c r="T144" s="161"/>
      <c r="U144" s="161"/>
      <c r="V144" s="161"/>
      <c r="W144" s="161"/>
      <c r="X144" s="161"/>
      <c r="Y144" s="190"/>
      <c r="Z144" s="159"/>
      <c r="AA144" s="179"/>
      <c r="AB144" s="159"/>
      <c r="AC144" s="159"/>
      <c r="AD144" s="159"/>
    </row>
    <row r="145" customHeight="1" spans="1:30">
      <c r="A145" s="162"/>
      <c r="B145" s="162"/>
      <c r="C145" s="161"/>
      <c r="D145" s="161"/>
      <c r="E145" s="161"/>
      <c r="F145" s="161"/>
      <c r="G145" s="161"/>
      <c r="H145" s="174"/>
      <c r="I145" s="174"/>
      <c r="J145" s="174"/>
      <c r="K145" s="174"/>
      <c r="L145" s="174"/>
      <c r="M145" s="161"/>
      <c r="N145" s="191"/>
      <c r="O145" s="161"/>
      <c r="P145" s="161"/>
      <c r="Q145" s="161"/>
      <c r="R145" s="161"/>
      <c r="S145" s="161"/>
      <c r="T145" s="161"/>
      <c r="U145" s="161"/>
      <c r="V145" s="161"/>
      <c r="W145" s="161"/>
      <c r="X145" s="161"/>
      <c r="Y145" s="190"/>
      <c r="Z145" s="159"/>
      <c r="AA145" s="179"/>
      <c r="AB145" s="159"/>
      <c r="AC145" s="159"/>
      <c r="AD145" s="159"/>
    </row>
    <row r="146" customHeight="1" spans="1:30">
      <c r="A146" s="162"/>
      <c r="B146" s="162"/>
      <c r="C146" s="161"/>
      <c r="D146" s="161"/>
      <c r="E146" s="161"/>
      <c r="F146" s="161"/>
      <c r="G146" s="161"/>
      <c r="H146" s="174"/>
      <c r="I146" s="174"/>
      <c r="J146" s="174"/>
      <c r="K146" s="174"/>
      <c r="L146" s="174"/>
      <c r="M146" s="161"/>
      <c r="N146" s="191"/>
      <c r="O146" s="161"/>
      <c r="P146" s="161"/>
      <c r="Q146" s="161"/>
      <c r="R146" s="161"/>
      <c r="S146" s="161"/>
      <c r="T146" s="161"/>
      <c r="U146" s="161"/>
      <c r="V146" s="161"/>
      <c r="W146" s="161"/>
      <c r="X146" s="161"/>
      <c r="Y146" s="190"/>
      <c r="Z146" s="159"/>
      <c r="AA146" s="179"/>
      <c r="AB146" s="159"/>
      <c r="AC146" s="159"/>
      <c r="AD146" s="159"/>
    </row>
    <row r="147" customHeight="1" spans="1:30">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row>
    <row r="148" ht="90" customHeight="1" spans="1:30">
      <c r="A148" s="162" t="s">
        <v>1842</v>
      </c>
      <c r="B148" s="162"/>
      <c r="C148" s="161" t="s">
        <v>2388</v>
      </c>
      <c r="D148" s="161" t="s">
        <v>1138</v>
      </c>
      <c r="E148" s="161" t="s">
        <v>1844</v>
      </c>
      <c r="F148" s="161" t="s">
        <v>2389</v>
      </c>
      <c r="G148" s="161"/>
      <c r="H148" s="161"/>
      <c r="I148" s="195"/>
      <c r="J148" s="195"/>
      <c r="K148" s="195"/>
      <c r="L148" s="195"/>
      <c r="M148" s="19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80"/>
      <c r="O148" s="161"/>
      <c r="P148" s="177"/>
      <c r="Q148" s="177"/>
      <c r="R148" s="177"/>
      <c r="S148" s="161"/>
      <c r="T148" s="161" t="s">
        <v>2390</v>
      </c>
      <c r="U148" s="17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77"/>
      <c r="W148" s="177"/>
      <c r="X148" s="161" t="s">
        <v>2391</v>
      </c>
      <c r="Y148" s="190"/>
      <c r="Z148" s="159"/>
      <c r="AA148" s="179"/>
      <c r="AB148" s="159"/>
      <c r="AC148" s="159"/>
      <c r="AD148" s="159"/>
    </row>
    <row r="149" customHeight="1" spans="1:30">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row>
    <row r="150" customHeight="1" spans="1:30">
      <c r="A150" s="162" t="s">
        <v>1846</v>
      </c>
      <c r="B150" s="162"/>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90"/>
      <c r="Z150" s="159"/>
      <c r="AA150" s="179"/>
      <c r="AB150" s="159"/>
      <c r="AC150" s="159"/>
      <c r="AD150" s="159"/>
    </row>
    <row r="151" customHeight="1" spans="1:30">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row>
    <row r="152" customHeight="1" spans="1:30">
      <c r="A152" s="162" t="s">
        <v>1849</v>
      </c>
      <c r="B152" s="162"/>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90"/>
      <c r="Z152" s="159"/>
      <c r="AA152" s="179"/>
      <c r="AB152" s="159"/>
      <c r="AC152" s="159"/>
      <c r="AD152" s="159"/>
    </row>
    <row r="153" customHeight="1" spans="1:30">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row>
    <row r="154" customHeight="1" spans="1:30">
      <c r="A154" s="162" t="s">
        <v>1854</v>
      </c>
      <c r="B154" s="162"/>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90"/>
      <c r="Z154" s="159"/>
      <c r="AA154" s="179"/>
      <c r="AB154" s="159"/>
      <c r="AC154" s="159"/>
      <c r="AD154" s="159"/>
    </row>
  </sheetData>
  <sheetProtection insertRows="0" deleteColumns="0" deleteRows="0" sort="0" autoFilter="0"/>
  <mergeCells count="12">
    <mergeCell ref="O1:S1"/>
    <mergeCell ref="T1:X1"/>
    <mergeCell ref="Z1:AD1"/>
    <mergeCell ref="C3:F3"/>
    <mergeCell ref="A11:A15"/>
    <mergeCell ref="C11:C16"/>
    <mergeCell ref="D11:D16"/>
    <mergeCell ref="E11:E16"/>
    <mergeCell ref="F11:F16"/>
    <mergeCell ref="G11:G16"/>
    <mergeCell ref="H13:H14"/>
    <mergeCell ref="H15:H16"/>
  </mergeCells>
  <pageMargins left="0.7" right="0.7" top="0.75" bottom="0.75" header="0.3" footer="0.3"/>
  <pageSetup paperSize="9" orientation="portrait"/>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D41"/>
  <sheetViews>
    <sheetView showGridLines="0" topLeftCell="I4" workbookViewId="0">
      <selection activeCell="A1" sqref="A1"/>
    </sheetView>
  </sheetViews>
  <sheetFormatPr defaultColWidth="10.5714285714286" defaultRowHeight="14.25" customHeight="1"/>
  <cols>
    <col min="1" max="1" width="10.5714285714286" style="38" hidden="1"/>
    <col min="2" max="2" width="11" style="38" hidden="1" customWidth="1"/>
    <col min="3" max="3" width="10.5714285714286" style="38" hidden="1"/>
    <col min="4" max="4" width="11.847619047619" style="38" hidden="1" customWidth="1"/>
    <col min="5" max="5" width="12.2857142857143" style="38" hidden="1" customWidth="1"/>
    <col min="6" max="8" width="12.2857142857143" style="39" hidden="1" customWidth="1"/>
    <col min="9" max="9" width="3" style="40" customWidth="1"/>
    <col min="10" max="11" width="3" style="41" customWidth="1"/>
    <col min="12" max="12" width="12" style="42" customWidth="1"/>
    <col min="13" max="13" width="31" style="43" customWidth="1"/>
    <col min="14" max="14" width="1" style="43" customWidth="1"/>
    <col min="15" max="18" width="24" style="43" customWidth="1"/>
    <col min="19" max="19" width="11" style="43" customWidth="1"/>
    <col min="20" max="20" width="3.71428571428571" style="43" customWidth="1"/>
    <col min="21" max="21" width="11" style="43" customWidth="1"/>
    <col min="22" max="22" width="8.57142857142857" style="43" customWidth="1"/>
    <col min="23" max="23" width="4" style="43" customWidth="1"/>
    <col min="24" max="24" width="115" style="43" customWidth="1"/>
    <col min="25" max="29" width="10" style="44" customWidth="1"/>
    <col min="30" max="30" width="10.5714285714286" style="43" hidden="1"/>
  </cols>
  <sheetData>
    <row r="1" ht="22.5" hidden="1" customHeight="1" spans="30:30">
      <c r="AD1" s="43" t="s">
        <v>14</v>
      </c>
    </row>
    <row r="2" hidden="1" customHeight="1" spans="30:30">
      <c r="AD2" s="43">
        <v>0</v>
      </c>
    </row>
    <row r="3" hidden="1" customHeight="1" spans="30:30">
      <c r="AD3" s="43">
        <v>0</v>
      </c>
    </row>
    <row r="4" ht="14.7" customHeight="1" spans="10:30">
      <c r="J4" s="51"/>
      <c r="K4" s="51"/>
      <c r="L4" s="52"/>
      <c r="M4" s="53"/>
      <c r="N4" s="53"/>
      <c r="AD4" s="43">
        <v>14</v>
      </c>
    </row>
    <row r="5" ht="67.2" customHeight="1" spans="10:30">
      <c r="J5" s="51"/>
      <c r="K5" s="51"/>
      <c r="L5" s="54" t="s">
        <v>2392</v>
      </c>
      <c r="M5" s="54"/>
      <c r="N5" s="54"/>
      <c r="O5" s="54"/>
      <c r="P5" s="54"/>
      <c r="Q5" s="54"/>
      <c r="R5" s="54"/>
      <c r="S5" s="54"/>
      <c r="T5" s="54"/>
      <c r="U5" s="54"/>
      <c r="V5" s="121"/>
      <c r="AD5" s="43">
        <v>64</v>
      </c>
    </row>
    <row r="6" ht="14.7" customHeight="1" spans="10:30">
      <c r="J6" s="51"/>
      <c r="K6" s="51"/>
      <c r="L6" s="55" t="str">
        <f>IF(org=0,"Не определено",org)</f>
        <v>АО "Теплокоммунэнерго"</v>
      </c>
      <c r="M6" s="55"/>
      <c r="N6" s="55"/>
      <c r="O6" s="55"/>
      <c r="P6" s="55"/>
      <c r="Q6" s="55"/>
      <c r="R6" s="55"/>
      <c r="S6" s="55"/>
      <c r="T6" s="55"/>
      <c r="U6" s="55"/>
      <c r="V6" s="121"/>
      <c r="AD6" s="43">
        <v>14</v>
      </c>
    </row>
    <row r="7" ht="14.7" customHeight="1" spans="10:30">
      <c r="J7" s="51"/>
      <c r="K7" s="51"/>
      <c r="L7" s="52"/>
      <c r="M7" s="53"/>
      <c r="N7" s="53"/>
      <c r="O7" s="56"/>
      <c r="P7" s="56"/>
      <c r="Q7" s="56"/>
      <c r="R7" s="56"/>
      <c r="S7" s="56"/>
      <c r="T7" s="56"/>
      <c r="U7" s="56"/>
      <c r="V7" s="56"/>
      <c r="AD7" s="43">
        <v>14</v>
      </c>
    </row>
    <row r="8" s="36" customFormat="1" ht="48.3" customHeight="1" spans="1:30">
      <c r="A8" s="45"/>
      <c r="B8" s="45"/>
      <c r="C8" s="45"/>
      <c r="D8" s="45"/>
      <c r="E8" s="45"/>
      <c r="F8" s="45"/>
      <c r="G8" s="45"/>
      <c r="H8" s="45"/>
      <c r="L8" s="57"/>
      <c r="M8" s="58" t="s">
        <v>42</v>
      </c>
      <c r="N8" s="59"/>
      <c r="O8" s="60" t="str">
        <f>IF(TITLE_NAME_OR_PR_CHANGE="",IF(TITLE_NAME_OR_PR="","",TITLE_NAME_OR_PR),TITLE_NAME_OR_PR_CHANGE)</f>
        <v/>
      </c>
      <c r="P8" s="60"/>
      <c r="Q8" s="60"/>
      <c r="R8" s="60"/>
      <c r="S8" s="60"/>
      <c r="T8" s="60"/>
      <c r="U8" s="60"/>
      <c r="V8" s="43"/>
      <c r="W8" s="43"/>
      <c r="X8" s="122"/>
      <c r="Y8" s="151"/>
      <c r="Z8" s="151"/>
      <c r="AA8" s="151"/>
      <c r="AB8" s="151"/>
      <c r="AC8" s="151"/>
      <c r="AD8" s="36">
        <v>46</v>
      </c>
    </row>
    <row r="9" s="36" customFormat="1" ht="24" customHeight="1" spans="1:30">
      <c r="A9" s="45"/>
      <c r="B9" s="45"/>
      <c r="C9" s="45"/>
      <c r="D9" s="45"/>
      <c r="E9" s="45"/>
      <c r="F9" s="45"/>
      <c r="G9" s="45"/>
      <c r="H9" s="45"/>
      <c r="L9" s="57"/>
      <c r="M9" s="58" t="s">
        <v>499</v>
      </c>
      <c r="N9" s="59"/>
      <c r="O9" s="60" t="str">
        <f>IF(TITLE_DATE_CHANGE_PERIOD="",IF(TITLE_DATE_PR="","",TITLE_DATE_PR),TITLE_DATE_CHANGE_PERIOD)</f>
        <v/>
      </c>
      <c r="P9" s="60"/>
      <c r="Q9" s="60"/>
      <c r="R9" s="60"/>
      <c r="S9" s="60"/>
      <c r="T9" s="60"/>
      <c r="U9" s="60"/>
      <c r="V9" s="43"/>
      <c r="W9" s="43"/>
      <c r="X9" s="122"/>
      <c r="Y9" s="151"/>
      <c r="Z9" s="151"/>
      <c r="AA9" s="151"/>
      <c r="AB9" s="151"/>
      <c r="AC9" s="151"/>
      <c r="AD9" s="36">
        <v>23</v>
      </c>
    </row>
    <row r="10" s="36" customFormat="1" ht="24" customHeight="1" spans="1:30">
      <c r="A10" s="45"/>
      <c r="B10" s="45"/>
      <c r="C10" s="45"/>
      <c r="D10" s="45"/>
      <c r="E10" s="45"/>
      <c r="F10" s="45"/>
      <c r="G10" s="45"/>
      <c r="H10" s="45"/>
      <c r="L10" s="42"/>
      <c r="M10" s="58" t="s">
        <v>500</v>
      </c>
      <c r="N10" s="59"/>
      <c r="O10" s="60" t="str">
        <f>IF(TITLE_NUMBER_PR_CHANGE="",IF(TITLE_NUMBER_PR="","",TITLE_NUMBER_PR),TITLE_NUMBER_PR_CHANGE)</f>
        <v/>
      </c>
      <c r="P10" s="60"/>
      <c r="Q10" s="60"/>
      <c r="R10" s="60"/>
      <c r="S10" s="60"/>
      <c r="T10" s="60"/>
      <c r="U10" s="60"/>
      <c r="V10" s="43"/>
      <c r="W10" s="43"/>
      <c r="X10" s="122"/>
      <c r="Y10" s="151"/>
      <c r="Z10" s="151"/>
      <c r="AA10" s="151"/>
      <c r="AB10" s="151"/>
      <c r="AC10" s="151"/>
      <c r="AD10" s="36">
        <v>23</v>
      </c>
    </row>
    <row r="11" s="36" customFormat="1" ht="24" customHeight="1" spans="1:30">
      <c r="A11" s="45"/>
      <c r="B11" s="45"/>
      <c r="C11" s="45"/>
      <c r="D11" s="45"/>
      <c r="E11" s="45"/>
      <c r="F11" s="45"/>
      <c r="G11" s="45"/>
      <c r="H11" s="45"/>
      <c r="L11" s="42"/>
      <c r="M11" s="58" t="s">
        <v>43</v>
      </c>
      <c r="N11" s="59"/>
      <c r="O11" s="60" t="str">
        <f>IF(TITLE_IST_PUB_CHANGE="",IF(TITLE_IST_PUB="","",TITLE_IST_PUB),TITLE_IST_PUB_CHANGE)</f>
        <v/>
      </c>
      <c r="P11" s="60"/>
      <c r="Q11" s="60"/>
      <c r="R11" s="60"/>
      <c r="S11" s="60"/>
      <c r="T11" s="60"/>
      <c r="U11" s="60"/>
      <c r="V11" s="43"/>
      <c r="W11" s="43"/>
      <c r="X11" s="122"/>
      <c r="Y11" s="151"/>
      <c r="Z11" s="151"/>
      <c r="AA11" s="151"/>
      <c r="AB11" s="151"/>
      <c r="AC11" s="151"/>
      <c r="AD11" s="36">
        <v>23</v>
      </c>
    </row>
    <row r="12" s="36" customFormat="1" ht="11.25" hidden="1" customHeight="1" spans="1:30">
      <c r="A12" s="45"/>
      <c r="B12" s="45"/>
      <c r="C12" s="45"/>
      <c r="D12" s="45"/>
      <c r="E12" s="45"/>
      <c r="F12" s="45"/>
      <c r="G12" s="45"/>
      <c r="H12" s="45"/>
      <c r="L12" s="61"/>
      <c r="M12" s="61"/>
      <c r="N12" s="61"/>
      <c r="O12" s="43"/>
      <c r="P12" s="43"/>
      <c r="Q12" s="43"/>
      <c r="R12" s="43"/>
      <c r="S12" s="43"/>
      <c r="T12" s="43"/>
      <c r="U12" s="43"/>
      <c r="V12" s="44" t="s">
        <v>419</v>
      </c>
      <c r="Y12" s="151"/>
      <c r="Z12" s="151"/>
      <c r="AA12" s="151"/>
      <c r="AB12" s="151"/>
      <c r="AC12" s="151"/>
      <c r="AD12" s="36">
        <v>0</v>
      </c>
    </row>
    <row r="13" ht="14.7" customHeight="1" spans="10:30">
      <c r="J13" s="51"/>
      <c r="K13" s="51"/>
      <c r="L13" s="52"/>
      <c r="M13" s="53"/>
      <c r="N13" s="62"/>
      <c r="O13" s="63"/>
      <c r="P13" s="63"/>
      <c r="Q13" s="63"/>
      <c r="R13" s="63"/>
      <c r="S13" s="63"/>
      <c r="T13" s="63"/>
      <c r="U13" s="63"/>
      <c r="V13" s="63"/>
      <c r="AD13" s="43">
        <v>14</v>
      </c>
    </row>
    <row r="14" ht="14.7" customHeight="1" spans="10:30">
      <c r="J14" s="51"/>
      <c r="K14" s="51"/>
      <c r="L14" s="64" t="s">
        <v>296</v>
      </c>
      <c r="M14" s="64"/>
      <c r="N14" s="64"/>
      <c r="O14" s="64"/>
      <c r="P14" s="64"/>
      <c r="Q14" s="64"/>
      <c r="R14" s="64"/>
      <c r="S14" s="64"/>
      <c r="T14" s="64"/>
      <c r="U14" s="64"/>
      <c r="V14" s="64"/>
      <c r="W14" s="64"/>
      <c r="X14" s="64" t="s">
        <v>297</v>
      </c>
      <c r="AD14" s="43">
        <v>14</v>
      </c>
    </row>
    <row r="15" ht="14.7" customHeight="1" spans="10:30">
      <c r="J15" s="51"/>
      <c r="K15" s="51"/>
      <c r="L15" s="65" t="s">
        <v>89</v>
      </c>
      <c r="M15" s="66" t="s">
        <v>420</v>
      </c>
      <c r="N15" s="67"/>
      <c r="O15" s="68" t="s">
        <v>2393</v>
      </c>
      <c r="P15" s="69"/>
      <c r="Q15" s="69"/>
      <c r="R15" s="69"/>
      <c r="S15" s="69"/>
      <c r="T15" s="69"/>
      <c r="U15" s="123"/>
      <c r="V15" s="124" t="s">
        <v>422</v>
      </c>
      <c r="W15" s="125" t="s">
        <v>1353</v>
      </c>
      <c r="X15" s="64"/>
      <c r="AD15" s="43">
        <v>14</v>
      </c>
    </row>
    <row r="16" ht="35.7" customHeight="1" spans="10:30">
      <c r="J16" s="51"/>
      <c r="K16" s="51"/>
      <c r="L16" s="65"/>
      <c r="M16" s="66"/>
      <c r="N16" s="70"/>
      <c r="O16" s="71" t="s">
        <v>425</v>
      </c>
      <c r="P16" s="71" t="s">
        <v>426</v>
      </c>
      <c r="Q16" s="126" t="s">
        <v>427</v>
      </c>
      <c r="R16" s="127"/>
      <c r="S16" s="126" t="s">
        <v>441</v>
      </c>
      <c r="T16" s="128"/>
      <c r="U16" s="127"/>
      <c r="V16" s="129"/>
      <c r="W16" s="130"/>
      <c r="X16" s="64"/>
      <c r="AD16" s="43">
        <v>34</v>
      </c>
    </row>
    <row r="17" ht="35.7" customHeight="1" spans="1:30">
      <c r="A17" s="45" t="s">
        <v>132</v>
      </c>
      <c r="B17" s="45" t="s">
        <v>133</v>
      </c>
      <c r="C17" s="45" t="s">
        <v>134</v>
      </c>
      <c r="D17" s="45" t="s">
        <v>135</v>
      </c>
      <c r="E17" s="45"/>
      <c r="J17" s="51"/>
      <c r="K17" s="51"/>
      <c r="L17" s="65"/>
      <c r="M17" s="66"/>
      <c r="N17" s="72"/>
      <c r="O17" s="73"/>
      <c r="P17" s="73"/>
      <c r="Q17" s="131" t="s">
        <v>436</v>
      </c>
      <c r="R17" s="131" t="s">
        <v>437</v>
      </c>
      <c r="S17" s="131" t="s">
        <v>438</v>
      </c>
      <c r="T17" s="132" t="s">
        <v>439</v>
      </c>
      <c r="U17" s="133"/>
      <c r="V17" s="134"/>
      <c r="W17" s="135"/>
      <c r="X17" s="64"/>
      <c r="AD17" s="43">
        <v>34</v>
      </c>
    </row>
    <row r="18" s="37" customFormat="1" ht="11.55" customHeight="1" spans="1:30">
      <c r="A18" s="45"/>
      <c r="B18" s="45"/>
      <c r="C18" s="45"/>
      <c r="D18" s="45"/>
      <c r="E18" s="45"/>
      <c r="F18" s="39"/>
      <c r="G18" s="39"/>
      <c r="H18" s="39"/>
      <c r="I18" s="74"/>
      <c r="J18" s="75"/>
      <c r="K18" s="76">
        <v>1</v>
      </c>
      <c r="L18" s="77" t="s">
        <v>107</v>
      </c>
      <c r="M18" s="78" t="s">
        <v>108</v>
      </c>
      <c r="N18" s="79" t="str">
        <f ca="1">OFFSET(N18,0,-1)</f>
        <v>2</v>
      </c>
      <c r="O18" s="80">
        <f ca="1">OFFSET(O18,0,-1)+1</f>
        <v>3</v>
      </c>
      <c r="P18" s="80"/>
      <c r="Q18" s="80">
        <f ca="1">OFFSET(Q18,0,-1)+1</f>
        <v>1</v>
      </c>
      <c r="R18" s="80">
        <f ca="1">OFFSET(R18,0,-1)+1</f>
        <v>2</v>
      </c>
      <c r="S18" s="80">
        <f ca="1">OFFSET(S18,0,-1)+1</f>
        <v>3</v>
      </c>
      <c r="T18" s="80">
        <f ca="1">OFFSET(T18,0,-1)+1</f>
        <v>4</v>
      </c>
      <c r="U18" s="80"/>
      <c r="V18" s="80">
        <f ca="1">OFFSET(V18,0,-2)+1</f>
        <v>5</v>
      </c>
      <c r="W18" s="79">
        <f ca="1">OFFSET(W18,0,-1)</f>
        <v>5</v>
      </c>
      <c r="X18" s="80">
        <f ca="1">OFFSET(X18,0,-1)+1</f>
        <v>6</v>
      </c>
      <c r="Y18" s="44"/>
      <c r="Z18" s="44"/>
      <c r="AA18" s="44"/>
      <c r="AB18" s="44"/>
      <c r="AC18" s="44"/>
      <c r="AD18" s="37">
        <v>11</v>
      </c>
    </row>
    <row r="19" ht="21" customHeight="1" spans="1:30">
      <c r="A19" s="46" t="s">
        <v>166</v>
      </c>
      <c r="B19" s="46" t="s">
        <v>167</v>
      </c>
      <c r="C19" s="46" t="s">
        <v>168</v>
      </c>
      <c r="D19" s="46" t="s">
        <v>169</v>
      </c>
      <c r="E19" s="46"/>
      <c r="F19" s="47"/>
      <c r="G19" s="47"/>
      <c r="H19" s="47"/>
      <c r="J19" s="81"/>
      <c r="K19" s="82"/>
      <c r="L19" s="65">
        <f>INDEX(PT_DIFFERENTIATION_NUM_NTAR,MATCH(A19,PT_DIFFERENTIATION_NTAR_ID,0))</f>
        <v>0</v>
      </c>
      <c r="M19" s="83" t="s">
        <v>121</v>
      </c>
      <c r="N19" s="84"/>
      <c r="O19" s="85" t="str">
        <f>INDEX(PT_DIFFERENTIATION_NTAR,MATCH(A19,PT_DIFFERENTIATION_NTAR_ID,0))</f>
        <v/>
      </c>
      <c r="P19" s="85"/>
      <c r="Q19" s="85"/>
      <c r="R19" s="85"/>
      <c r="S19" s="85"/>
      <c r="T19" s="85"/>
      <c r="U19" s="85"/>
      <c r="V19" s="85"/>
      <c r="W19" s="85"/>
      <c r="X19" s="136" t="s">
        <v>392</v>
      </c>
      <c r="Z19" s="151"/>
      <c r="AA19" s="151" t="str">
        <f t="shared" ref="AA19:AA32" si="0">IF(M19="","",M19)</f>
        <v>Наименование тарифа</v>
      </c>
      <c r="AB19" s="151"/>
      <c r="AC19" s="151"/>
      <c r="AD19" s="43">
        <v>20</v>
      </c>
    </row>
    <row r="20" ht="21" customHeight="1" spans="1:30">
      <c r="A20" s="46" t="s">
        <v>166</v>
      </c>
      <c r="B20" s="46" t="s">
        <v>167</v>
      </c>
      <c r="C20" s="46" t="s">
        <v>168</v>
      </c>
      <c r="D20" s="46" t="s">
        <v>169</v>
      </c>
      <c r="E20" s="46"/>
      <c r="F20" s="47"/>
      <c r="G20" s="47"/>
      <c r="H20" s="47"/>
      <c r="I20" s="86"/>
      <c r="J20" s="87"/>
      <c r="K20" s="88"/>
      <c r="L20" s="65" t="str">
        <f>INDEX(PT_DIFFERENTIATION_NUM_TER,MATCH(B19,PT_DIFFERENTIATION_TER_ID,0))</f>
        <v>.</v>
      </c>
      <c r="M20" s="89" t="s">
        <v>393</v>
      </c>
      <c r="N20" s="84"/>
      <c r="O20" s="85" t="str">
        <f>INDEX(PT_DIFFERENTIATION_TER,MATCH(B19,PT_DIFFERENTIATION_TER_ID,0))</f>
        <v/>
      </c>
      <c r="P20" s="85"/>
      <c r="Q20" s="85"/>
      <c r="R20" s="85"/>
      <c r="S20" s="85"/>
      <c r="T20" s="85"/>
      <c r="U20" s="85"/>
      <c r="V20" s="85"/>
      <c r="W20" s="85"/>
      <c r="X20" s="136" t="s">
        <v>394</v>
      </c>
      <c r="Z20" s="151"/>
      <c r="AA20" s="151" t="str">
        <f t="shared" si="0"/>
        <v>Территория действия тарифа</v>
      </c>
      <c r="AB20" s="151"/>
      <c r="AC20" s="151"/>
      <c r="AD20" s="43">
        <v>20</v>
      </c>
    </row>
    <row r="21" ht="24" customHeight="1" spans="1:30">
      <c r="A21" s="46" t="s">
        <v>166</v>
      </c>
      <c r="B21" s="46" t="s">
        <v>167</v>
      </c>
      <c r="C21" s="46" t="s">
        <v>168</v>
      </c>
      <c r="D21" s="46" t="s">
        <v>169</v>
      </c>
      <c r="E21" s="46"/>
      <c r="F21" s="47"/>
      <c r="G21" s="47"/>
      <c r="H21" s="47"/>
      <c r="I21" s="90"/>
      <c r="J21" s="87"/>
      <c r="K21" s="88"/>
      <c r="L21" s="65" t="str">
        <f>INDEX(PT_DIFFERENTIATION_NUM_CS,MATCH(C19,PT_DIFFERENTIATION_CS_ID,0))</f>
        <v>..</v>
      </c>
      <c r="M21" s="91" t="s">
        <v>395</v>
      </c>
      <c r="N21" s="84"/>
      <c r="O21" s="85" t="str">
        <f>INDEX(PT_DIFFERENTIATION_CS,MATCH(C19,PT_DIFFERENTIATION_CS_ID,0))</f>
        <v/>
      </c>
      <c r="P21" s="85"/>
      <c r="Q21" s="85"/>
      <c r="R21" s="85"/>
      <c r="S21" s="85"/>
      <c r="T21" s="85"/>
      <c r="U21" s="85"/>
      <c r="V21" s="85"/>
      <c r="W21" s="85"/>
      <c r="X21" s="136" t="s">
        <v>396</v>
      </c>
      <c r="Z21" s="151"/>
      <c r="AA21" s="151" t="str">
        <f t="shared" si="0"/>
        <v>Наименование системы теплоснабжения </v>
      </c>
      <c r="AB21" s="151"/>
      <c r="AC21" s="151"/>
      <c r="AD21" s="43">
        <v>23</v>
      </c>
    </row>
    <row r="22" ht="21" customHeight="1" spans="1:30">
      <c r="A22" s="46" t="s">
        <v>166</v>
      </c>
      <c r="B22" s="46" t="s">
        <v>167</v>
      </c>
      <c r="C22" s="46" t="s">
        <v>168</v>
      </c>
      <c r="D22" s="46" t="s">
        <v>169</v>
      </c>
      <c r="E22" s="46"/>
      <c r="F22" s="47"/>
      <c r="G22" s="47"/>
      <c r="H22" s="47"/>
      <c r="I22" s="90"/>
      <c r="J22" s="87"/>
      <c r="K22" s="88"/>
      <c r="L22" s="65" t="str">
        <f>INDEX(PT_DIFFERENTIATION_NUM_IST_TE,MATCH(D19,PT_DIFFERENTIATION_IST_TE_ID,0))</f>
        <v>...</v>
      </c>
      <c r="M22" s="92" t="s">
        <v>397</v>
      </c>
      <c r="N22" s="84"/>
      <c r="O22" s="85" t="str">
        <f>INDEX(PT_DIFFERENTIATION_IST_TE,MATCH(D19,PT_DIFFERENTIATION_IST_TE_ID,0))</f>
        <v/>
      </c>
      <c r="P22" s="85"/>
      <c r="Q22" s="85"/>
      <c r="R22" s="85"/>
      <c r="S22" s="85"/>
      <c r="T22" s="85"/>
      <c r="U22" s="85"/>
      <c r="V22" s="85"/>
      <c r="W22" s="85"/>
      <c r="X22" s="136" t="s">
        <v>398</v>
      </c>
      <c r="Z22" s="151"/>
      <c r="AA22" s="151" t="str">
        <f t="shared" si="0"/>
        <v>Источник тепловой энергии  </v>
      </c>
      <c r="AB22" s="151"/>
      <c r="AC22" s="151"/>
      <c r="AD22" s="43">
        <v>20</v>
      </c>
    </row>
    <row r="23" ht="96.75" customHeight="1" spans="1:30">
      <c r="A23" s="46" t="s">
        <v>166</v>
      </c>
      <c r="B23" s="46" t="s">
        <v>167</v>
      </c>
      <c r="C23" s="46" t="s">
        <v>168</v>
      </c>
      <c r="D23" s="46" t="s">
        <v>169</v>
      </c>
      <c r="E23" s="46"/>
      <c r="F23" s="48" t="str">
        <f>L22&amp;".1"</f>
        <v>....1</v>
      </c>
      <c r="I23" s="93">
        <v>1</v>
      </c>
      <c r="J23" s="93"/>
      <c r="K23" s="94"/>
      <c r="L23" s="65" t="str">
        <f>$F$23</f>
        <v>....1</v>
      </c>
      <c r="M23" s="95" t="s">
        <v>400</v>
      </c>
      <c r="N23" s="84"/>
      <c r="O23" s="96"/>
      <c r="P23" s="96"/>
      <c r="Q23" s="96"/>
      <c r="R23" s="96"/>
      <c r="S23" s="96"/>
      <c r="T23" s="96"/>
      <c r="U23" s="96"/>
      <c r="V23" s="96"/>
      <c r="W23" s="96"/>
      <c r="X23" s="136" t="s">
        <v>401</v>
      </c>
      <c r="Z23" s="151"/>
      <c r="AA23" s="151" t="str">
        <f t="shared" si="0"/>
        <v>Схема подключения теплопотребляющей установки к коллектору источника тепловой энергии</v>
      </c>
      <c r="AB23" s="151"/>
      <c r="AC23" s="151"/>
      <c r="AD23" s="43">
        <v>92</v>
      </c>
    </row>
    <row r="24" ht="86.25" customHeight="1" spans="1:30">
      <c r="A24" s="46" t="s">
        <v>166</v>
      </c>
      <c r="B24" s="46" t="s">
        <v>167</v>
      </c>
      <c r="C24" s="46" t="s">
        <v>168</v>
      </c>
      <c r="D24" s="46" t="s">
        <v>169</v>
      </c>
      <c r="E24" s="46"/>
      <c r="F24" s="48"/>
      <c r="G24" s="48" t="str">
        <f>F23&amp;".1"</f>
        <v>....1.1</v>
      </c>
      <c r="I24" s="93"/>
      <c r="J24" s="93">
        <v>1</v>
      </c>
      <c r="K24" s="97"/>
      <c r="L24" s="65" t="str">
        <f>$G$24</f>
        <v>....1.1</v>
      </c>
      <c r="M24" s="98" t="s">
        <v>403</v>
      </c>
      <c r="N24" s="84"/>
      <c r="O24" s="99"/>
      <c r="P24" s="100"/>
      <c r="Q24" s="100"/>
      <c r="R24" s="100"/>
      <c r="S24" s="100"/>
      <c r="T24" s="100"/>
      <c r="U24" s="100"/>
      <c r="V24" s="100"/>
      <c r="W24" s="137"/>
      <c r="X24" s="136" t="s">
        <v>404</v>
      </c>
      <c r="Z24" s="151"/>
      <c r="AA24" s="151" t="str">
        <f t="shared" si="0"/>
        <v>Группа потребителей</v>
      </c>
      <c r="AB24" s="151"/>
      <c r="AC24" s="151"/>
      <c r="AD24" s="43">
        <v>82</v>
      </c>
    </row>
    <row r="25" ht="11.55" customHeight="1" spans="1:30">
      <c r="A25" s="46" t="s">
        <v>166</v>
      </c>
      <c r="B25" s="46" t="s">
        <v>167</v>
      </c>
      <c r="C25" s="46" t="s">
        <v>168</v>
      </c>
      <c r="D25" s="46" t="s">
        <v>169</v>
      </c>
      <c r="E25" s="46"/>
      <c r="F25" s="48"/>
      <c r="G25" s="48"/>
      <c r="H25" s="48" t="str">
        <f>G24&amp;".1"</f>
        <v>....1.1.1</v>
      </c>
      <c r="I25" s="93"/>
      <c r="J25" s="93"/>
      <c r="K25" s="97">
        <v>1</v>
      </c>
      <c r="L25" s="65" t="str">
        <f>$H$25</f>
        <v>....1.1.1</v>
      </c>
      <c r="M25" s="101"/>
      <c r="N25" s="84"/>
      <c r="O25" s="102"/>
      <c r="P25" s="103"/>
      <c r="Q25" s="102"/>
      <c r="R25" s="138"/>
      <c r="S25" s="139"/>
      <c r="T25" s="140" t="s">
        <v>66</v>
      </c>
      <c r="U25" s="139"/>
      <c r="V25" s="140" t="s">
        <v>19</v>
      </c>
      <c r="W25" s="103"/>
      <c r="X25" s="141" t="s">
        <v>406</v>
      </c>
      <c r="Y25" s="44" t="e">
        <f>STRCHECKDATE(O26:W26)</f>
        <v>#NAME?</v>
      </c>
      <c r="Z25" s="151"/>
      <c r="AA25" s="151" t="str">
        <f t="shared" si="0"/>
        <v/>
      </c>
      <c r="AB25" s="151"/>
      <c r="AC25" s="151"/>
      <c r="AD25" s="43">
        <v>11</v>
      </c>
    </row>
    <row r="26" ht="11.55" customHeight="1" spans="1:30">
      <c r="A26" s="46" t="s">
        <v>166</v>
      </c>
      <c r="B26" s="46" t="s">
        <v>167</v>
      </c>
      <c r="C26" s="46" t="s">
        <v>168</v>
      </c>
      <c r="D26" s="46" t="s">
        <v>169</v>
      </c>
      <c r="E26" s="46"/>
      <c r="F26" s="48"/>
      <c r="G26" s="48"/>
      <c r="H26" s="48"/>
      <c r="I26" s="93"/>
      <c r="J26" s="93"/>
      <c r="K26" s="97"/>
      <c r="L26" s="104"/>
      <c r="M26" s="84"/>
      <c r="N26" s="84"/>
      <c r="O26" s="103"/>
      <c r="P26" s="103"/>
      <c r="Q26" s="103"/>
      <c r="R26" s="142" t="str">
        <f>S25&amp;"-"&amp;U25</f>
        <v>-</v>
      </c>
      <c r="S26" s="143"/>
      <c r="T26" s="140"/>
      <c r="U26" s="143"/>
      <c r="V26" s="140"/>
      <c r="W26" s="103"/>
      <c r="X26" s="144"/>
      <c r="Z26" s="151"/>
      <c r="AA26" s="151" t="str">
        <f t="shared" si="0"/>
        <v/>
      </c>
      <c r="AB26" s="151"/>
      <c r="AC26" s="151"/>
      <c r="AD26" s="43">
        <v>11</v>
      </c>
    </row>
    <row r="27" ht="15.75" customHeight="1" spans="1:30">
      <c r="A27" s="46" t="s">
        <v>166</v>
      </c>
      <c r="B27" s="46" t="s">
        <v>167</v>
      </c>
      <c r="C27" s="46" t="s">
        <v>168</v>
      </c>
      <c r="D27" s="46" t="s">
        <v>169</v>
      </c>
      <c r="E27" s="46"/>
      <c r="F27" s="48"/>
      <c r="G27" s="48"/>
      <c r="I27" s="93"/>
      <c r="J27" s="93"/>
      <c r="K27" s="94"/>
      <c r="L27" s="105"/>
      <c r="M27" s="106" t="s">
        <v>407</v>
      </c>
      <c r="N27" s="107"/>
      <c r="O27" s="107"/>
      <c r="P27" s="107"/>
      <c r="Q27" s="107"/>
      <c r="R27" s="107"/>
      <c r="S27" s="107"/>
      <c r="T27" s="107"/>
      <c r="U27" s="107"/>
      <c r="V27" s="107"/>
      <c r="W27" s="145"/>
      <c r="X27" s="146"/>
      <c r="Z27" s="151"/>
      <c r="AA27" s="151" t="str">
        <f t="shared" si="0"/>
        <v>Добавить вид теплоносителя (параметры теплоносителя)</v>
      </c>
      <c r="AB27" s="151"/>
      <c r="AC27" s="151"/>
      <c r="AD27" s="43">
        <v>15</v>
      </c>
    </row>
    <row r="28" ht="15.75" customHeight="1" spans="1:30">
      <c r="A28" s="46" t="s">
        <v>166</v>
      </c>
      <c r="B28" s="46" t="s">
        <v>167</v>
      </c>
      <c r="C28" s="46" t="s">
        <v>168</v>
      </c>
      <c r="D28" s="46" t="s">
        <v>169</v>
      </c>
      <c r="E28" s="46"/>
      <c r="F28" s="48"/>
      <c r="I28" s="93"/>
      <c r="J28" s="93"/>
      <c r="K28" s="94"/>
      <c r="L28" s="105"/>
      <c r="M28" s="108" t="s">
        <v>408</v>
      </c>
      <c r="N28" s="107"/>
      <c r="O28" s="107"/>
      <c r="P28" s="107"/>
      <c r="Q28" s="107"/>
      <c r="R28" s="107"/>
      <c r="S28" s="107"/>
      <c r="T28" s="107"/>
      <c r="U28" s="107"/>
      <c r="V28" s="147"/>
      <c r="W28" s="107"/>
      <c r="X28" s="148"/>
      <c r="Z28" s="151"/>
      <c r="AA28" s="151" t="str">
        <f t="shared" si="0"/>
        <v>Добавить группу потребителей</v>
      </c>
      <c r="AB28" s="151"/>
      <c r="AC28" s="151"/>
      <c r="AD28" s="43">
        <v>15</v>
      </c>
    </row>
    <row r="29" ht="14.7" customHeight="1" spans="1:30">
      <c r="A29" s="46" t="s">
        <v>166</v>
      </c>
      <c r="B29" s="46" t="s">
        <v>167</v>
      </c>
      <c r="C29" s="46" t="s">
        <v>168</v>
      </c>
      <c r="D29" s="46" t="s">
        <v>169</v>
      </c>
      <c r="E29" s="46"/>
      <c r="F29" s="47"/>
      <c r="G29" s="47"/>
      <c r="H29" s="38"/>
      <c r="I29" s="81"/>
      <c r="J29" s="109"/>
      <c r="K29" s="82"/>
      <c r="L29" s="105"/>
      <c r="M29" s="110" t="s">
        <v>409</v>
      </c>
      <c r="N29" s="107"/>
      <c r="O29" s="107"/>
      <c r="P29" s="107"/>
      <c r="Q29" s="107"/>
      <c r="R29" s="107"/>
      <c r="S29" s="107"/>
      <c r="T29" s="107"/>
      <c r="U29" s="107"/>
      <c r="V29" s="147"/>
      <c r="W29" s="107"/>
      <c r="X29" s="148"/>
      <c r="Z29" s="151"/>
      <c r="AA29" s="151" t="str">
        <f t="shared" si="0"/>
        <v>Добавить схему подключения</v>
      </c>
      <c r="AB29" s="151"/>
      <c r="AC29" s="151"/>
      <c r="AD29" s="43">
        <v>14</v>
      </c>
    </row>
    <row r="30" ht="14.7" customHeight="1" spans="1:30">
      <c r="A30" s="46" t="s">
        <v>166</v>
      </c>
      <c r="B30" s="46" t="s">
        <v>167</v>
      </c>
      <c r="C30" s="46" t="s">
        <v>168</v>
      </c>
      <c r="D30" s="46"/>
      <c r="E30" s="46" t="s">
        <v>581</v>
      </c>
      <c r="F30" s="47"/>
      <c r="G30" s="47"/>
      <c r="H30" s="38"/>
      <c r="I30" s="81"/>
      <c r="J30" s="109"/>
      <c r="K30" s="82"/>
      <c r="L30" s="111"/>
      <c r="M30" s="112"/>
      <c r="N30" s="113"/>
      <c r="O30" s="113"/>
      <c r="P30" s="113"/>
      <c r="Q30" s="113"/>
      <c r="R30" s="113"/>
      <c r="S30" s="113"/>
      <c r="T30" s="113"/>
      <c r="U30" s="113"/>
      <c r="V30" s="149"/>
      <c r="W30" s="113"/>
      <c r="X30" s="150"/>
      <c r="Z30" s="151"/>
      <c r="AA30" s="151" t="str">
        <f t="shared" si="0"/>
        <v/>
      </c>
      <c r="AB30" s="151"/>
      <c r="AC30" s="151"/>
      <c r="AD30" s="43">
        <v>14</v>
      </c>
    </row>
    <row r="31" ht="14.7" customHeight="1" spans="1:30">
      <c r="A31" s="46" t="s">
        <v>166</v>
      </c>
      <c r="B31" s="46" t="s">
        <v>167</v>
      </c>
      <c r="C31" s="46"/>
      <c r="D31" s="46"/>
      <c r="E31" s="46" t="s">
        <v>2394</v>
      </c>
      <c r="F31" s="49"/>
      <c r="G31" s="49"/>
      <c r="H31" s="38"/>
      <c r="I31" s="114"/>
      <c r="J31" s="109"/>
      <c r="K31" s="115"/>
      <c r="L31" s="111"/>
      <c r="M31" s="116"/>
      <c r="N31" s="113"/>
      <c r="O31" s="113"/>
      <c r="P31" s="113"/>
      <c r="Q31" s="113"/>
      <c r="R31" s="113"/>
      <c r="S31" s="113"/>
      <c r="T31" s="113"/>
      <c r="U31" s="113"/>
      <c r="V31" s="149"/>
      <c r="W31" s="113"/>
      <c r="X31" s="150"/>
      <c r="Z31" s="151"/>
      <c r="AA31" s="151" t="str">
        <f t="shared" si="0"/>
        <v/>
      </c>
      <c r="AB31" s="151"/>
      <c r="AC31" s="151"/>
      <c r="AD31" s="43">
        <v>14</v>
      </c>
    </row>
    <row r="32" ht="14.7" customHeight="1" spans="1:30">
      <c r="A32" s="46" t="s">
        <v>2395</v>
      </c>
      <c r="B32" s="46"/>
      <c r="C32" s="46"/>
      <c r="D32" s="46"/>
      <c r="E32" s="46" t="s">
        <v>102</v>
      </c>
      <c r="F32" s="49"/>
      <c r="G32" s="49"/>
      <c r="H32" s="38"/>
      <c r="I32" s="81"/>
      <c r="J32" s="109"/>
      <c r="K32" s="82"/>
      <c r="L32" s="111"/>
      <c r="M32" s="117"/>
      <c r="N32" s="113"/>
      <c r="O32" s="113"/>
      <c r="P32" s="113"/>
      <c r="Q32" s="113"/>
      <c r="R32" s="113"/>
      <c r="S32" s="113"/>
      <c r="T32" s="113"/>
      <c r="U32" s="113"/>
      <c r="V32" s="149"/>
      <c r="W32" s="113"/>
      <c r="X32" s="150"/>
      <c r="Z32" s="151"/>
      <c r="AA32" s="151" t="str">
        <f t="shared" si="0"/>
        <v/>
      </c>
      <c r="AB32" s="151"/>
      <c r="AC32" s="151"/>
      <c r="AD32" s="43">
        <v>14</v>
      </c>
    </row>
    <row r="33" customFormat="1" ht="11.55" customHeight="1" spans="1:30">
      <c r="A33" s="46"/>
      <c r="B33" s="46"/>
      <c r="C33" s="46"/>
      <c r="D33" s="46"/>
      <c r="E33" s="46" t="s">
        <v>440</v>
      </c>
      <c r="F33" s="49"/>
      <c r="G33" s="50"/>
      <c r="H33" s="38"/>
      <c r="L33" s="118"/>
      <c r="M33" s="119"/>
      <c r="N33" s="113"/>
      <c r="O33" s="113"/>
      <c r="P33" s="113"/>
      <c r="Q33" s="113"/>
      <c r="R33" s="113"/>
      <c r="S33" s="113"/>
      <c r="T33" s="113"/>
      <c r="U33" s="113"/>
      <c r="V33" s="149"/>
      <c r="W33" s="113"/>
      <c r="X33" s="150"/>
      <c r="Y33" s="152"/>
      <c r="Z33" s="152"/>
      <c r="AA33" s="152"/>
      <c r="AB33" s="152"/>
      <c r="AC33" s="152"/>
      <c r="AD33">
        <v>11</v>
      </c>
    </row>
    <row r="34" ht="11.55" customHeight="1" spans="6:30">
      <c r="F34" s="38"/>
      <c r="G34" s="38"/>
      <c r="H34" s="38"/>
      <c r="I34" s="43"/>
      <c r="J34" s="43"/>
      <c r="K34" s="43"/>
      <c r="Y34" s="43"/>
      <c r="Z34" s="43"/>
      <c r="AA34" s="43"/>
      <c r="AB34" s="43"/>
      <c r="AC34" s="43"/>
      <c r="AD34" s="43">
        <v>11</v>
      </c>
    </row>
    <row r="35" ht="28.5" customHeight="1" spans="8:30">
      <c r="H35" s="38"/>
      <c r="L35" s="120" t="s">
        <v>816</v>
      </c>
      <c r="M35" s="120" t="s">
        <v>2396</v>
      </c>
      <c r="N35" s="120"/>
      <c r="O35" s="120"/>
      <c r="P35" s="120"/>
      <c r="Q35" s="120"/>
      <c r="R35" s="120"/>
      <c r="S35" s="120"/>
      <c r="T35" s="120"/>
      <c r="U35" s="120"/>
      <c r="V35" s="120"/>
      <c r="W35" s="120"/>
      <c r="X35" s="120"/>
      <c r="AD35" s="43">
        <v>27</v>
      </c>
    </row>
    <row r="36" ht="109.2" customHeight="1" spans="8:30">
      <c r="H36" s="38"/>
      <c r="M36" s="120" t="s">
        <v>2397</v>
      </c>
      <c r="N36" s="120"/>
      <c r="O36" s="120"/>
      <c r="P36" s="120"/>
      <c r="Q36" s="120"/>
      <c r="R36" s="120"/>
      <c r="S36" s="120"/>
      <c r="T36" s="120"/>
      <c r="U36" s="120"/>
      <c r="V36" s="120"/>
      <c r="W36" s="120"/>
      <c r="X36" s="120"/>
      <c r="AD36" s="43">
        <v>104</v>
      </c>
    </row>
    <row r="37" ht="14.7" customHeight="1" spans="8:30">
      <c r="H37" s="38"/>
      <c r="AD37" s="43">
        <v>14</v>
      </c>
    </row>
    <row r="38" ht="14.7" customHeight="1" spans="8:30">
      <c r="H38" s="38"/>
      <c r="AD38" s="43">
        <v>14</v>
      </c>
    </row>
    <row r="39" ht="14.7" customHeight="1" spans="8:30">
      <c r="H39" s="38"/>
      <c r="AD39" s="43">
        <v>14</v>
      </c>
    </row>
    <row r="40" ht="14.7" customHeight="1" spans="8:30">
      <c r="H40" s="38"/>
      <c r="AD40" s="43">
        <v>14</v>
      </c>
    </row>
    <row r="41" ht="22.5" hidden="1" customHeight="1" spans="1:30">
      <c r="A41" s="38" t="s">
        <v>83</v>
      </c>
      <c r="B41" s="38">
        <v>0</v>
      </c>
      <c r="C41" s="38">
        <v>0</v>
      </c>
      <c r="D41" s="38">
        <v>0</v>
      </c>
      <c r="E41" s="38">
        <v>0</v>
      </c>
      <c r="F41" s="39">
        <v>0</v>
      </c>
      <c r="G41" s="39">
        <v>0</v>
      </c>
      <c r="H41" s="39">
        <v>0</v>
      </c>
      <c r="I41" s="40">
        <v>3</v>
      </c>
      <c r="J41" s="41">
        <v>3</v>
      </c>
      <c r="K41" s="41">
        <v>3</v>
      </c>
      <c r="L41" s="42">
        <v>12</v>
      </c>
      <c r="M41" s="43">
        <v>31</v>
      </c>
      <c r="N41" s="43">
        <v>1</v>
      </c>
      <c r="O41" s="43">
        <v>24</v>
      </c>
      <c r="P41" s="43">
        <v>24</v>
      </c>
      <c r="Q41" s="43">
        <v>24</v>
      </c>
      <c r="R41" s="43">
        <v>24</v>
      </c>
      <c r="S41" s="43">
        <v>11</v>
      </c>
      <c r="T41" s="43">
        <v>3</v>
      </c>
      <c r="U41" s="43">
        <v>11</v>
      </c>
      <c r="V41" s="43">
        <v>8</v>
      </c>
      <c r="W41" s="43">
        <v>4</v>
      </c>
      <c r="X41" s="43">
        <v>115</v>
      </c>
      <c r="Y41" s="44">
        <v>10</v>
      </c>
      <c r="Z41" s="44">
        <v>10</v>
      </c>
      <c r="AA41" s="44">
        <v>10</v>
      </c>
      <c r="AB41" s="44">
        <v>10</v>
      </c>
      <c r="AC41" s="44">
        <v>10</v>
      </c>
      <c r="AD41" s="43">
        <v>23</v>
      </c>
    </row>
  </sheetData>
  <sheetProtection formatColumns="0" formatRows="0" insertRows="0" deleteColumns="0" deleteRows="0" sort="0" autoFilter="0"/>
  <mergeCells count="39">
    <mergeCell ref="L5:U5"/>
    <mergeCell ref="L6:U6"/>
    <mergeCell ref="O8:U8"/>
    <mergeCell ref="O9:U9"/>
    <mergeCell ref="O10:U10"/>
    <mergeCell ref="O11:U11"/>
    <mergeCell ref="L12:M12"/>
    <mergeCell ref="O13:V13"/>
    <mergeCell ref="L14:W14"/>
    <mergeCell ref="O15:U15"/>
    <mergeCell ref="Q16:R16"/>
    <mergeCell ref="S16:U16"/>
    <mergeCell ref="T17:U17"/>
    <mergeCell ref="T18:U18"/>
    <mergeCell ref="O19:W19"/>
    <mergeCell ref="O20:W20"/>
    <mergeCell ref="O21:W21"/>
    <mergeCell ref="O22:W22"/>
    <mergeCell ref="O23:W23"/>
    <mergeCell ref="O24:W24"/>
    <mergeCell ref="M35:X35"/>
    <mergeCell ref="M36:X36"/>
    <mergeCell ref="F23:F28"/>
    <mergeCell ref="G24:G27"/>
    <mergeCell ref="H25:H26"/>
    <mergeCell ref="I23:I28"/>
    <mergeCell ref="J24:J27"/>
    <mergeCell ref="L15:L17"/>
    <mergeCell ref="M15:M17"/>
    <mergeCell ref="O16:O17"/>
    <mergeCell ref="P16:P17"/>
    <mergeCell ref="S25:S26"/>
    <mergeCell ref="T25:T26"/>
    <mergeCell ref="U25:U26"/>
    <mergeCell ref="V15:V17"/>
    <mergeCell ref="V25:V26"/>
    <mergeCell ref="W15:W17"/>
    <mergeCell ref="X14:X17"/>
    <mergeCell ref="X25:X27"/>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5 U25 S65561 U65561 S131097 U131097 S196633 U196633 S262169 U262169 S327705 U327705 S393241 U393241 S458777 U458777 S524313 U524313 S589849 U589849 S655385 U655385 S720921 U720921 S786457 U786457 S851993 U851993 S917529 U917529 S983065 U983065"/>
    <dataValidation allowBlank="1" showInputMessage="1" showErrorMessage="1" prompt="Для выбора выполните двойной щелчок левой клавиши мыши по соответствующей ячейке." sqref="T25 V25 T65561 V65561 T131097 V131097 T196633 V196633 T262169 V262169 T327705 V327705 T393241 V393241 T458777 V458777 T524313 V524313 T589849 V589849 T655385 V655385 T720921 V720921 T786457 V786457 T851993 V851993 T917529 V917529 T983065 V983065"/>
    <dataValidation allowBlank="1" promptTitle="checkPeriodRange" sqref="R26 R65562 R131098 R196634 R262170 R327706 R393242 R458778 R524314 R589850 R655386 R720922 R786458 R851994 R917530 R983066"/>
    <dataValidation type="list" allowBlank="1" showInputMessage="1" showErrorMessage="1" errorTitle="Ошибка" error="Выберите значение из списка" sqref="O65559:P65559 O131095:P131095 O196631:P196631 O262167:P262167 O327703:P327703 O393239:P393239 O458775:P458775 O524311:P524311 O589847:P589847 O655383:P655383 O720919:P720919 O786455:P786455 O851991:P851991 O917527:P917527 O983063:P983063">
      <formula1>kind_of_scheme_in</formula1>
    </dataValidation>
    <dataValidation type="list" allowBlank="1" showInputMessage="1" errorTitle="Ошибка" error="Выберите значение из списка" prompt="Выберите значение из списка" sqref="O65560:W65560 O131096:W131096 O196632:W196632 O262168:W262168 O327704:W327704 O393240:W393240 O458776:W458776 O524312:W524312 O589848:W589848 O655384:W655384 O720920:W720920 O786456:W786456 O851992:W851992 O917528:W917528 O983064:W983064">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allowBlank="1" sqref="L131099:X131105 L589851:X589857 L196635:X196641 L655387:X655393 L262171:X262177 L720923:X720929 L327707:X327713 L786459:X786465 L393243:X393249 L851995:X852001 L458779:X458785 L917531:X917537 L65563:X65569 L524315:X524321 L983067:X983073"/>
  </dataValidations>
  <pageMargins left="0.7" right="0.7" top="0.75" bottom="0.75" header="0.3" footer="0.3"/>
  <pageSetup paperSize="1"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J60"/>
  <sheetViews>
    <sheetView showGridLines="0" zoomScale="90" zoomScaleNormal="90" workbookViewId="0">
      <pane xSplit="5" ySplit="12" topLeftCell="F13" activePane="bottomRight" state="frozen"/>
      <selection/>
      <selection pane="topRight"/>
      <selection pane="bottomLeft"/>
      <selection pane="bottomRight" activeCell="A1" sqref="A1"/>
    </sheetView>
  </sheetViews>
  <sheetFormatPr defaultColWidth="9.14285714285714" defaultRowHeight="11.25" customHeight="1"/>
  <cols>
    <col min="1" max="1" width="15" style="564" hidden="1" customWidth="1"/>
    <col min="2" max="2" width="15" style="651" hidden="1" customWidth="1"/>
    <col min="3" max="3" width="3" style="207" customWidth="1"/>
    <col min="4" max="4" width="6" style="652" customWidth="1"/>
    <col min="5" max="5" width="52" style="207" customWidth="1"/>
    <col min="6" max="6" width="48" style="207" customWidth="1"/>
    <col min="7" max="7" width="121" style="207" customWidth="1"/>
    <col min="8" max="8" width="8" style="207" customWidth="1"/>
    <col min="9" max="9" width="64" style="207" customWidth="1"/>
    <col min="10" max="10" width="9.14285714285714" style="207" hidden="1"/>
  </cols>
  <sheetData>
    <row r="1" hidden="1" customHeight="1" spans="1:10">
      <c r="A1" s="564" t="s">
        <v>295</v>
      </c>
      <c r="J1" s="207" t="s">
        <v>14</v>
      </c>
    </row>
    <row r="2" hidden="1" customHeight="1" spans="10:10">
      <c r="J2" s="207">
        <v>0</v>
      </c>
    </row>
    <row r="3" s="649" customFormat="1" ht="11.55" customHeight="1" spans="1:10">
      <c r="A3" s="564"/>
      <c r="B3" s="651"/>
      <c r="D3" s="1235"/>
      <c r="J3" s="649">
        <v>11</v>
      </c>
    </row>
    <row r="4" ht="27.3" customHeight="1" spans="4:10">
      <c r="D4" s="77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773"/>
      <c r="F4" s="774"/>
      <c r="I4" s="684"/>
      <c r="J4" s="207">
        <v>26</v>
      </c>
    </row>
    <row r="5" ht="18" customHeight="1" spans="4:10">
      <c r="D5" s="660" t="str">
        <f>IF(org=0,"Не определено",org)</f>
        <v>АО "Теплокоммунэнерго"</v>
      </c>
      <c r="E5" s="660"/>
      <c r="F5" s="660"/>
      <c r="I5" s="684"/>
      <c r="J5" s="207">
        <v>17</v>
      </c>
    </row>
    <row r="6" s="649" customFormat="1" ht="11.55" customHeight="1" spans="1:10">
      <c r="A6" s="564"/>
      <c r="B6" s="651"/>
      <c r="D6" s="661"/>
      <c r="E6" s="661"/>
      <c r="F6" s="577"/>
      <c r="G6" s="661"/>
      <c r="J6" s="649">
        <v>11</v>
      </c>
    </row>
    <row r="7" hidden="1" customHeight="1" spans="1:10">
      <c r="A7" s="53"/>
      <c r="B7" s="247"/>
      <c r="C7" s="53"/>
      <c r="D7" s="662"/>
      <c r="E7" s="663"/>
      <c r="F7" s="663"/>
      <c r="J7" s="207">
        <v>0</v>
      </c>
    </row>
    <row r="8" ht="11.55" customHeight="1" spans="1:10">
      <c r="A8" s="53"/>
      <c r="B8" s="247"/>
      <c r="C8" s="53"/>
      <c r="D8" s="295" t="s">
        <v>296</v>
      </c>
      <c r="E8" s="664"/>
      <c r="F8" s="664"/>
      <c r="G8" s="665" t="s">
        <v>297</v>
      </c>
      <c r="J8" s="207">
        <v>11</v>
      </c>
    </row>
    <row r="9" ht="11.55" customHeight="1" spans="1:10">
      <c r="A9" s="53"/>
      <c r="B9" s="247"/>
      <c r="C9" s="53"/>
      <c r="D9" s="664" t="s">
        <v>89</v>
      </c>
      <c r="E9" s="665" t="s">
        <v>298</v>
      </c>
      <c r="F9" s="665" t="s">
        <v>299</v>
      </c>
      <c r="G9" s="66"/>
      <c r="J9" s="207">
        <v>11</v>
      </c>
    </row>
    <row r="10" ht="12" hidden="1" customHeight="1" spans="1:10">
      <c r="A10" s="53"/>
      <c r="B10" s="247"/>
      <c r="C10" s="53"/>
      <c r="D10" s="666"/>
      <c r="E10" s="666"/>
      <c r="F10" s="666"/>
      <c r="G10" s="666"/>
      <c r="J10" s="207">
        <v>0</v>
      </c>
    </row>
    <row r="11" ht="22.5" hidden="1" customHeight="1" spans="1:10">
      <c r="A11" s="53"/>
      <c r="B11" s="247"/>
      <c r="C11" s="53"/>
      <c r="D11" s="1236" t="s">
        <v>107</v>
      </c>
      <c r="E11" s="394" t="s">
        <v>300</v>
      </c>
      <c r="F11" s="330" t="str">
        <f>IF(region_name="","",region_name)</f>
        <v>Ростовская область</v>
      </c>
      <c r="G11" s="394" t="s">
        <v>301</v>
      </c>
      <c r="H11" s="245"/>
      <c r="J11" s="207">
        <v>0</v>
      </c>
    </row>
    <row r="12" ht="22.5" hidden="1" customHeight="1" spans="1:10">
      <c r="A12" s="53"/>
      <c r="B12" s="247"/>
      <c r="C12" s="53"/>
      <c r="D12" s="249" t="s">
        <v>107</v>
      </c>
      <c r="E12" s="2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31" t="s">
        <v>302</v>
      </c>
      <c r="G12" s="254"/>
      <c r="H12" s="245"/>
      <c r="J12" s="207">
        <v>0</v>
      </c>
    </row>
    <row r="13" ht="23.25" customHeight="1" spans="1:10">
      <c r="A13" s="53"/>
      <c r="B13" s="247"/>
      <c r="C13" s="53"/>
      <c r="D13" s="249" t="s">
        <v>107</v>
      </c>
      <c r="E13" s="250" t="str">
        <f>"Наименование юридического лица"&amp;IF(TEMPLATE_SPHERE="TKO"," (индивидуального предпринимателя)","")</f>
        <v>Наименование юридического лица</v>
      </c>
      <c r="F13" s="253"/>
      <c r="G13" s="2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45"/>
      <c r="J13" s="207">
        <v>22</v>
      </c>
    </row>
    <row r="14" ht="22.5" hidden="1" customHeight="1" spans="1:10">
      <c r="A14" s="53"/>
      <c r="B14" s="247"/>
      <c r="C14" s="53"/>
      <c r="D14" s="1236" t="s">
        <v>303</v>
      </c>
      <c r="E14" s="1237" t="s">
        <v>304</v>
      </c>
      <c r="F14" s="330" t="str">
        <f>IF(inn="","",inn)</f>
        <v>6165199445</v>
      </c>
      <c r="G14" s="394" t="s">
        <v>305</v>
      </c>
      <c r="H14" s="245"/>
      <c r="J14" s="207">
        <v>0</v>
      </c>
    </row>
    <row r="15" ht="22.5" hidden="1" customHeight="1" spans="1:10">
      <c r="A15" s="53"/>
      <c r="B15" s="247"/>
      <c r="C15" s="53"/>
      <c r="D15" s="1236" t="s">
        <v>306</v>
      </c>
      <c r="E15" s="1237" t="s">
        <v>307</v>
      </c>
      <c r="F15" s="330" t="str">
        <f>IF(kpp="","",kpp)</f>
        <v>616501001</v>
      </c>
      <c r="G15" s="394" t="s">
        <v>308</v>
      </c>
      <c r="H15" s="245"/>
      <c r="J15" s="207">
        <v>0</v>
      </c>
    </row>
    <row r="16" ht="39" customHeight="1" spans="1:10">
      <c r="A16" s="53"/>
      <c r="B16" s="247"/>
      <c r="C16" s="53"/>
      <c r="D16" s="249" t="s">
        <v>108</v>
      </c>
      <c r="E16" s="25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53"/>
      <c r="G16" s="2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45"/>
      <c r="J16" s="207">
        <v>37</v>
      </c>
    </row>
    <row r="17" ht="23.25" customHeight="1" spans="1:10">
      <c r="A17" s="53"/>
      <c r="B17" s="247"/>
      <c r="C17" s="53"/>
      <c r="D17" s="249" t="s">
        <v>91</v>
      </c>
      <c r="E17" s="250" t="str">
        <f>"Дата присвоения ОГРН"&amp;IF(TEMPLATE_SPHERE="TKO",""," (ОГРНИП)")</f>
        <v>Дата присвоения ОГРН (ОГРНИП)</v>
      </c>
      <c r="F17" s="255" t="s">
        <v>22</v>
      </c>
      <c r="G17" s="251" t="str">
        <f>"Дата присвоения ОГРН"&amp;IF(TEMPLATE_SPHERE="TKO",""," (ОГРНИП)")&amp;" указывается в виде «ДД.ММ.ГГГГ»."</f>
        <v>Дата присвоения ОГРН (ОГРНИП) указывается в виде «ДД.ММ.ГГГГ».</v>
      </c>
      <c r="H17" s="245"/>
      <c r="J17" s="207">
        <v>22</v>
      </c>
    </row>
    <row r="18" ht="71.25" customHeight="1" spans="1:10">
      <c r="A18" s="53"/>
      <c r="B18" s="247"/>
      <c r="C18" s="53"/>
      <c r="D18" s="249" t="s">
        <v>92</v>
      </c>
      <c r="E18" s="25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53"/>
      <c r="G18" s="254"/>
      <c r="H18" s="245"/>
      <c r="J18" s="207">
        <v>68</v>
      </c>
    </row>
    <row r="19" ht="22.5" hidden="1" customHeight="1" spans="1:10">
      <c r="A19" s="240" t="s">
        <v>309</v>
      </c>
      <c r="B19" s="247"/>
      <c r="C19" s="248"/>
      <c r="D19" s="249" t="str">
        <f>A19</f>
        <v>5.1</v>
      </c>
      <c r="E19" s="250" t="s">
        <v>310</v>
      </c>
      <c r="F19" s="131" t="s">
        <v>302</v>
      </c>
      <c r="G19" s="251" t="s">
        <v>311</v>
      </c>
      <c r="H19" s="245"/>
      <c r="I19" s="281"/>
      <c r="J19" s="207">
        <v>0</v>
      </c>
    </row>
    <row r="20" ht="24" hidden="1" customHeight="1" spans="1:10">
      <c r="A20" s="240"/>
      <c r="B20" s="247"/>
      <c r="C20" s="248"/>
      <c r="D20" s="242" t="str">
        <f>D19&amp;".1"</f>
        <v>5.1.1</v>
      </c>
      <c r="E20" s="252" t="s">
        <v>312</v>
      </c>
      <c r="F20" s="889" t="s">
        <v>22</v>
      </c>
      <c r="G20" s="254"/>
      <c r="H20" s="245"/>
      <c r="I20" s="281"/>
      <c r="J20" s="207">
        <v>0</v>
      </c>
    </row>
    <row r="21" ht="22.5" hidden="1" customHeight="1" spans="1:10">
      <c r="A21" s="240"/>
      <c r="B21" s="247"/>
      <c r="C21" s="248"/>
      <c r="D21" s="242" t="str">
        <f>D19&amp;".2"</f>
        <v>5.1.2</v>
      </c>
      <c r="E21" s="252" t="s">
        <v>313</v>
      </c>
      <c r="F21" s="625" t="s">
        <v>22</v>
      </c>
      <c r="G21" s="251" t="s">
        <v>314</v>
      </c>
      <c r="H21" s="245"/>
      <c r="I21" s="281"/>
      <c r="J21" s="207">
        <v>0</v>
      </c>
    </row>
    <row r="22" ht="22.5" hidden="1" customHeight="1" spans="1:10">
      <c r="A22" s="240"/>
      <c r="B22" s="247"/>
      <c r="C22" s="248"/>
      <c r="D22" s="242" t="str">
        <f>D19&amp;".3"</f>
        <v>5.1.3</v>
      </c>
      <c r="E22" s="252" t="s">
        <v>315</v>
      </c>
      <c r="F22" s="889" t="s">
        <v>22</v>
      </c>
      <c r="G22" s="254"/>
      <c r="H22" s="245"/>
      <c r="I22" s="281"/>
      <c r="J22" s="207">
        <v>0</v>
      </c>
    </row>
    <row r="23" ht="22.5" hidden="1" customHeight="1" spans="1:10">
      <c r="A23" s="240"/>
      <c r="B23" s="247"/>
      <c r="C23" s="248"/>
      <c r="D23" s="242" t="str">
        <f>D19&amp;".4"</f>
        <v>5.1.4</v>
      </c>
      <c r="E23" s="252" t="s">
        <v>316</v>
      </c>
      <c r="F23" s="889" t="s">
        <v>22</v>
      </c>
      <c r="G23" s="251" t="s">
        <v>317</v>
      </c>
      <c r="H23" s="245"/>
      <c r="I23" s="281"/>
      <c r="J23" s="207">
        <v>0</v>
      </c>
    </row>
    <row r="24" ht="22.5" hidden="1" customHeight="1" spans="1:10">
      <c r="A24" s="1238"/>
      <c r="B24" s="247"/>
      <c r="C24" s="604"/>
      <c r="D24" s="677"/>
      <c r="E24" s="227" t="s">
        <v>318</v>
      </c>
      <c r="F24" s="1239"/>
      <c r="G24" s="678"/>
      <c r="H24" s="245"/>
      <c r="I24" s="281"/>
      <c r="J24" s="207">
        <v>0</v>
      </c>
    </row>
    <row r="25" s="651" customFormat="1" ht="24.75" hidden="1" customHeight="1" spans="1:10">
      <c r="A25" s="53"/>
      <c r="B25" s="247"/>
      <c r="C25" s="247"/>
      <c r="D25" s="1240" t="s">
        <v>91</v>
      </c>
      <c r="E25" s="1241" t="s">
        <v>319</v>
      </c>
      <c r="F25" s="675" t="s">
        <v>302</v>
      </c>
      <c r="G25" s="1241"/>
      <c r="J25" s="651">
        <v>0</v>
      </c>
    </row>
    <row r="26" s="651" customFormat="1" hidden="1" customHeight="1" spans="1:10">
      <c r="A26" s="53"/>
      <c r="B26" s="247"/>
      <c r="C26" s="247"/>
      <c r="D26" s="1240" t="s">
        <v>320</v>
      </c>
      <c r="E26" s="1242" t="s">
        <v>321</v>
      </c>
      <c r="F26" s="675" t="s">
        <v>302</v>
      </c>
      <c r="G26" s="1241"/>
      <c r="J26" s="651">
        <v>0</v>
      </c>
    </row>
    <row r="27" s="651" customFormat="1" hidden="1" customHeight="1" spans="1:10">
      <c r="A27" s="53"/>
      <c r="B27" s="247"/>
      <c r="C27" s="247"/>
      <c r="D27" s="1240" t="s">
        <v>322</v>
      </c>
      <c r="E27" s="674" t="s">
        <v>323</v>
      </c>
      <c r="F27" s="1243"/>
      <c r="G27" s="124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651">
        <v>0</v>
      </c>
    </row>
    <row r="28" s="651" customFormat="1" hidden="1" customHeight="1" spans="1:10">
      <c r="A28" s="53"/>
      <c r="B28" s="247"/>
      <c r="C28" s="247"/>
      <c r="D28" s="1240" t="s">
        <v>324</v>
      </c>
      <c r="E28" s="674" t="s">
        <v>325</v>
      </c>
      <c r="F28" s="1243"/>
      <c r="G28" s="124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651">
        <v>0</v>
      </c>
    </row>
    <row r="29" s="651" customFormat="1" hidden="1" customHeight="1" spans="1:10">
      <c r="A29" s="53"/>
      <c r="B29" s="247"/>
      <c r="C29" s="247"/>
      <c r="D29" s="1240" t="s">
        <v>326</v>
      </c>
      <c r="E29" s="674" t="s">
        <v>327</v>
      </c>
      <c r="F29" s="1243"/>
      <c r="G29" s="124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651">
        <v>0</v>
      </c>
    </row>
    <row r="30" s="651" customFormat="1" hidden="1" customHeight="1" spans="1:10">
      <c r="A30" s="53"/>
      <c r="B30" s="247"/>
      <c r="C30" s="247"/>
      <c r="D30" s="1240" t="s">
        <v>328</v>
      </c>
      <c r="E30" s="1242" t="s">
        <v>329</v>
      </c>
      <c r="F30" s="1243"/>
      <c r="G30" s="1241"/>
      <c r="J30" s="651">
        <v>0</v>
      </c>
    </row>
    <row r="31" s="651" customFormat="1" hidden="1" customHeight="1" spans="1:10">
      <c r="A31" s="53"/>
      <c r="B31" s="247"/>
      <c r="C31" s="247"/>
      <c r="D31" s="1240" t="s">
        <v>330</v>
      </c>
      <c r="E31" s="1242" t="s">
        <v>331</v>
      </c>
      <c r="F31" s="1243"/>
      <c r="G31" s="1241"/>
      <c r="J31" s="651">
        <v>0</v>
      </c>
    </row>
    <row r="32" s="651" customFormat="1" hidden="1" customHeight="1" spans="1:10">
      <c r="A32" s="53"/>
      <c r="B32" s="247"/>
      <c r="C32" s="247"/>
      <c r="D32" s="1240" t="s">
        <v>332</v>
      </c>
      <c r="E32" s="1242" t="s">
        <v>333</v>
      </c>
      <c r="F32" s="1243"/>
      <c r="G32" s="1241"/>
      <c r="J32" s="651">
        <v>0</v>
      </c>
    </row>
    <row r="33" ht="24" customHeight="1" spans="1:10">
      <c r="A33" s="53" t="str">
        <f>IF(TEMPLATE_SPHERE="HEAT","6","5")</f>
        <v>6</v>
      </c>
      <c r="B33" s="247"/>
      <c r="C33" s="53"/>
      <c r="D33" s="242" t="str">
        <f>A33</f>
        <v>6</v>
      </c>
      <c r="E33" s="1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31" t="s">
        <v>302</v>
      </c>
      <c r="G33" s="254"/>
      <c r="H33" s="245"/>
      <c r="J33" s="207">
        <v>23</v>
      </c>
    </row>
    <row r="34" ht="23.25" customHeight="1" spans="1:10">
      <c r="A34" s="53"/>
      <c r="B34" s="247"/>
      <c r="C34" s="53"/>
      <c r="D34" s="242" t="str">
        <f>D33&amp;".1"</f>
        <v>6.1</v>
      </c>
      <c r="E34" s="250" t="str">
        <f>"фамилия"&amp;IF(TEMPLATE_SPHERE&lt;&gt;"HEAT"," руководителя","")</f>
        <v>фамилия</v>
      </c>
      <c r="F34" s="253"/>
      <c r="G34" s="2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45"/>
      <c r="J34" s="207">
        <v>22</v>
      </c>
    </row>
    <row r="35" ht="23.25" customHeight="1" spans="1:10">
      <c r="A35" s="53"/>
      <c r="B35" s="247"/>
      <c r="C35" s="53"/>
      <c r="D35" s="242" t="str">
        <f>D33&amp;".2"</f>
        <v>6.2</v>
      </c>
      <c r="E35" s="250" t="str">
        <f>"имя"&amp;IF(TEMPLATE_SPHERE&lt;&gt;"HEAT"," руководителя","")</f>
        <v>имя</v>
      </c>
      <c r="F35" s="253"/>
      <c r="G35" s="2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45"/>
      <c r="J35" s="207">
        <v>22</v>
      </c>
    </row>
    <row r="36" ht="24" customHeight="1" spans="1:10">
      <c r="A36" s="53"/>
      <c r="B36" s="247"/>
      <c r="C36" s="53"/>
      <c r="D36" s="242" t="str">
        <f>D33&amp;".3"</f>
        <v>6.3</v>
      </c>
      <c r="E36" s="250" t="str">
        <f>"отчество"&amp;IF(TEMPLATE_SPHERE&lt;&gt;"HEAT"," руководителя","")</f>
        <v>отчество</v>
      </c>
      <c r="F36" s="261"/>
      <c r="G36" s="2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45"/>
      <c r="J36" s="207">
        <v>23</v>
      </c>
    </row>
    <row r="37" ht="35.7" customHeight="1" spans="1:10">
      <c r="A37" s="53"/>
      <c r="B37" s="247"/>
      <c r="C37" s="53"/>
      <c r="D37" s="242">
        <f>D33+1</f>
        <v>7</v>
      </c>
      <c r="E37" s="1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53"/>
      <c r="G37" s="251" t="s">
        <v>334</v>
      </c>
      <c r="H37" s="245"/>
      <c r="J37" s="207">
        <v>34</v>
      </c>
    </row>
    <row r="38" ht="35.7" customHeight="1" spans="1:10">
      <c r="A38" s="53"/>
      <c r="B38" s="247"/>
      <c r="C38" s="53"/>
      <c r="D38" s="242">
        <f>D37+1</f>
        <v>8</v>
      </c>
      <c r="E38" s="1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53"/>
      <c r="G38" s="251" t="s">
        <v>334</v>
      </c>
      <c r="H38" s="245"/>
      <c r="J38" s="207">
        <v>34</v>
      </c>
    </row>
    <row r="39" ht="23.25" customHeight="1" spans="1:10">
      <c r="A39" s="53"/>
      <c r="B39" s="247"/>
      <c r="C39" s="53"/>
      <c r="D39" s="242">
        <f>D38+1</f>
        <v>9</v>
      </c>
      <c r="E39" s="124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31" t="s">
        <v>302</v>
      </c>
      <c r="G39" s="12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45"/>
      <c r="J39" s="207">
        <v>22</v>
      </c>
    </row>
    <row r="40" ht="22.5" hidden="1" customHeight="1" spans="1:10">
      <c r="A40" s="53"/>
      <c r="B40" s="247"/>
      <c r="C40" s="53"/>
      <c r="D40" s="242" t="str">
        <f>D39&amp;".0"</f>
        <v>9.0</v>
      </c>
      <c r="E40" s="887"/>
      <c r="F40" s="889"/>
      <c r="G40" s="1247"/>
      <c r="H40" s="245"/>
      <c r="J40" s="207">
        <v>0</v>
      </c>
    </row>
    <row r="41" ht="23.25" customHeight="1" spans="1:10">
      <c r="A41" s="53"/>
      <c r="B41" s="53"/>
      <c r="C41" s="211"/>
      <c r="D41" s="242" t="str">
        <f>D39&amp;".1"</f>
        <v>9.1</v>
      </c>
      <c r="E41" s="243"/>
      <c r="F41" s="246"/>
      <c r="G41" s="1247"/>
      <c r="H41" s="245"/>
      <c r="J41" s="207">
        <v>22</v>
      </c>
    </row>
    <row r="42" ht="15.75" customHeight="1" spans="1:10">
      <c r="A42" s="53"/>
      <c r="B42" s="247"/>
      <c r="C42" s="53"/>
      <c r="D42" s="677"/>
      <c r="E42" s="227" t="s">
        <v>335</v>
      </c>
      <c r="F42" s="678"/>
      <c r="G42" s="1248"/>
      <c r="H42" s="1249"/>
      <c r="J42" s="207">
        <v>15</v>
      </c>
    </row>
    <row r="43" ht="27.3" customHeight="1" spans="1:10">
      <c r="A43" s="53"/>
      <c r="B43" s="247"/>
      <c r="C43" s="53"/>
      <c r="D43" s="242">
        <f>D39+1</f>
        <v>10</v>
      </c>
      <c r="E43" s="1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213"/>
      <c r="G43" s="2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45"/>
      <c r="J43" s="207">
        <v>26</v>
      </c>
    </row>
    <row r="44" ht="23.25" customHeight="1" spans="1:10">
      <c r="A44" s="53"/>
      <c r="B44" s="247"/>
      <c r="C44" s="53"/>
      <c r="D44" s="242">
        <f>D43+1</f>
        <v>11</v>
      </c>
      <c r="E44" s="1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215"/>
      <c r="G44" s="254" t="s">
        <v>336</v>
      </c>
      <c r="H44" s="245"/>
      <c r="J44" s="207">
        <v>22</v>
      </c>
    </row>
    <row r="45" ht="23.25" customHeight="1" spans="1:10">
      <c r="A45" s="53"/>
      <c r="B45" s="247"/>
      <c r="C45" s="53"/>
      <c r="D45" s="242">
        <f>D44+1</f>
        <v>12</v>
      </c>
      <c r="E45" s="1244" t="s">
        <v>337</v>
      </c>
      <c r="F45" s="131" t="s">
        <v>302</v>
      </c>
      <c r="G45" s="1245" t="str">
        <f>IF(TEMPLATE_SPHERE="TKO","Указывается режим работы организации.","")</f>
        <v/>
      </c>
      <c r="H45" s="245"/>
      <c r="J45" s="207">
        <v>22</v>
      </c>
    </row>
    <row r="46" ht="24" customHeight="1" spans="1:10">
      <c r="A46" s="53"/>
      <c r="B46" s="247"/>
      <c r="C46" s="53"/>
      <c r="D46" s="242" t="str">
        <f>D45&amp;".1"</f>
        <v>12.1</v>
      </c>
      <c r="E46" s="250" t="str">
        <f>"режим работы регулируемой организации"&amp;IF(TEMPLATE_SPHERE="HEAT",", ЕТО, ТО","")</f>
        <v>режим работы регулируемой организации, ЕТО, ТО</v>
      </c>
      <c r="F46" s="375"/>
      <c r="G46" s="1245" t="s">
        <v>338</v>
      </c>
      <c r="H46" s="245"/>
      <c r="J46" s="207">
        <v>23</v>
      </c>
    </row>
    <row r="47" ht="24" customHeight="1" spans="1:10">
      <c r="A47" s="240"/>
      <c r="B47" s="247"/>
      <c r="C47" s="604"/>
      <c r="D47" s="242" t="str">
        <f>D45&amp;".2"</f>
        <v>12.2</v>
      </c>
      <c r="E47" s="250" t="s">
        <v>339</v>
      </c>
      <c r="F47" s="375"/>
      <c r="G47" s="1245" t="s">
        <v>340</v>
      </c>
      <c r="H47" s="245"/>
      <c r="J47" s="207">
        <v>23</v>
      </c>
    </row>
    <row r="48" ht="24" customHeight="1" spans="1:10">
      <c r="A48" s="240"/>
      <c r="B48" s="247"/>
      <c r="C48" s="604"/>
      <c r="D48" s="242" t="str">
        <f>D45&amp;".3"</f>
        <v>12.3</v>
      </c>
      <c r="E48" s="250" t="s">
        <v>341</v>
      </c>
      <c r="F48" s="375"/>
      <c r="G48" s="1245" t="s">
        <v>342</v>
      </c>
      <c r="H48" s="245"/>
      <c r="J48" s="207">
        <v>23</v>
      </c>
    </row>
    <row r="49" ht="24" customHeight="1" spans="1:10">
      <c r="A49" s="240"/>
      <c r="B49" s="247"/>
      <c r="C49" s="604"/>
      <c r="D49" s="242" t="str">
        <f>IF(TEMPLATE_SPHERE="TKO",D45&amp;".0",D45&amp;".4")</f>
        <v>12.4</v>
      </c>
      <c r="E49" s="1250" t="s">
        <v>343</v>
      </c>
      <c r="F49" s="244"/>
      <c r="G49" s="1251" t="s">
        <v>344</v>
      </c>
      <c r="H49" s="245"/>
      <c r="J49" s="207">
        <v>23</v>
      </c>
    </row>
    <row r="50" ht="24" customHeight="1" spans="1:10">
      <c r="A50" s="53"/>
      <c r="B50" s="247"/>
      <c r="C50" s="53"/>
      <c r="D50" s="677"/>
      <c r="E50" s="227" t="s">
        <v>345</v>
      </c>
      <c r="F50" s="1239"/>
      <c r="G50" s="1251" t="s">
        <v>346</v>
      </c>
      <c r="H50" s="1249"/>
      <c r="J50" s="207">
        <v>23</v>
      </c>
    </row>
    <row r="51" ht="24" customHeight="1" spans="1:10">
      <c r="A51" s="240"/>
      <c r="B51" s="247"/>
      <c r="C51" s="604"/>
      <c r="D51" s="242">
        <f>D45+1</f>
        <v>13</v>
      </c>
      <c r="E51" s="1252" t="s">
        <v>347</v>
      </c>
      <c r="F51" s="375"/>
      <c r="G51" s="125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45"/>
      <c r="J51" s="207">
        <v>23</v>
      </c>
    </row>
    <row r="52" ht="11.55" customHeight="1" spans="1:10">
      <c r="A52" s="53"/>
      <c r="B52" s="247"/>
      <c r="C52" s="53"/>
      <c r="J52" s="207">
        <v>11</v>
      </c>
    </row>
    <row r="53" s="1234" customFormat="1" ht="31.5" customHeight="1" spans="1:10">
      <c r="A53" s="789"/>
      <c r="B53" s="44"/>
      <c r="C53" s="1007"/>
      <c r="D53" s="125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54"/>
      <c r="F53" s="1254"/>
      <c r="G53" s="1254"/>
      <c r="H53" s="641"/>
      <c r="I53" s="641"/>
      <c r="J53" s="1234">
        <v>30</v>
      </c>
    </row>
    <row r="54" s="1234" customFormat="1" ht="42" customHeight="1" spans="1:10">
      <c r="A54" s="53"/>
      <c r="B54" s="247"/>
      <c r="C54" s="1007"/>
      <c r="D54" s="125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54"/>
      <c r="F54" s="1254"/>
      <c r="G54" s="1254"/>
      <c r="J54" s="1234">
        <v>40</v>
      </c>
    </row>
    <row r="55" ht="11.55" customHeight="1" spans="4:10">
      <c r="D55" s="1255"/>
      <c r="E55" s="1256"/>
      <c r="F55" s="1256"/>
      <c r="G55" s="1256"/>
      <c r="J55" s="207">
        <v>11</v>
      </c>
    </row>
    <row r="56" ht="28.5" customHeight="1" spans="4:10">
      <c r="D56" s="1257"/>
      <c r="E56" s="1255"/>
      <c r="F56" s="1258"/>
      <c r="G56" s="1258"/>
      <c r="J56" s="207">
        <v>27</v>
      </c>
    </row>
    <row r="57" ht="11.55" customHeight="1" spans="4:10">
      <c r="D57" s="1255"/>
      <c r="E57" s="1255"/>
      <c r="F57" s="1256"/>
      <c r="G57" s="1256"/>
      <c r="J57" s="207">
        <v>11</v>
      </c>
    </row>
    <row r="58" ht="40.95" customHeight="1" spans="4:10">
      <c r="D58" s="1259"/>
      <c r="E58" s="1260"/>
      <c r="F58" s="1260"/>
      <c r="G58" s="1260"/>
      <c r="J58" s="207">
        <v>39</v>
      </c>
    </row>
    <row r="59" ht="28.5" customHeight="1" spans="4:10">
      <c r="D59" s="1259"/>
      <c r="E59" s="1260"/>
      <c r="F59" s="1260"/>
      <c r="G59" s="1260"/>
      <c r="J59" s="207">
        <v>27</v>
      </c>
    </row>
    <row r="60" hidden="1" customHeight="1" spans="1:10">
      <c r="A60" s="564" t="s">
        <v>83</v>
      </c>
      <c r="B60" s="651">
        <v>0</v>
      </c>
      <c r="C60" s="207">
        <v>3</v>
      </c>
      <c r="D60" s="652">
        <v>6</v>
      </c>
      <c r="E60" s="207">
        <v>52</v>
      </c>
      <c r="F60" s="207">
        <v>48</v>
      </c>
      <c r="G60" s="207">
        <v>121</v>
      </c>
      <c r="H60" s="207">
        <v>8</v>
      </c>
      <c r="I60" s="207">
        <v>64</v>
      </c>
      <c r="J60" s="207">
        <v>11</v>
      </c>
    </row>
  </sheetData>
  <sheetProtection formatColumns="0" formatRows="0" insertRows="0" deleteColumns="0" deleteRows="0" sort="0" autoFilter="0"/>
  <mergeCells count="12">
    <mergeCell ref="D4:F4"/>
    <mergeCell ref="D5:F5"/>
    <mergeCell ref="E7:F7"/>
    <mergeCell ref="D8:F8"/>
    <mergeCell ref="D53:G53"/>
    <mergeCell ref="D54:G54"/>
    <mergeCell ref="A19:A23"/>
    <mergeCell ref="A47:A49"/>
    <mergeCell ref="C19:C23"/>
    <mergeCell ref="C53:C54"/>
    <mergeCell ref="G8:G9"/>
    <mergeCell ref="G39:G42"/>
  </mergeCells>
  <dataValidations count="3">
    <dataValidation type="textLength" operator="lessThanOrEqual" allowBlank="1" showInputMessage="1" showErrorMessage="1" errorTitle="Ошибка" error="Допускается ввод не более 900 символов!" sqref="F13 F16 F18 F20 F22:F23 F27:F32 F34:F38 F43:F44 E40:F4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7 F21"/>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showDropDown="1">
      <formula1>"a"</formula1>
    </dataValidation>
  </dataValidations>
  <pageMargins left="0.7" right="0.7" top="0.75" bottom="0.75" header="0.3" footer="0.3"/>
  <pageSetup paperSize="9" orientation="portrait"/>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
  <sheetViews>
    <sheetView showGridLines="0" workbookViewId="0">
      <selection activeCell="A1" sqref="A1"/>
    </sheetView>
  </sheetViews>
  <sheetFormatPr defaultColWidth="9" defaultRowHeight="11.25" customHeight="1" outlineLevelRow="7" outlineLevelCol="4"/>
  <cols>
    <col min="1" max="1" width="10.5714285714286" style="12" customWidth="1"/>
    <col min="2" max="2" width="8.71428571428571" style="12" customWidth="1"/>
    <col min="3" max="3" width="18.1428571428571" style="12" customWidth="1"/>
    <col min="4" max="4" width="12.5714285714286" style="12" customWidth="1"/>
  </cols>
  <sheetData>
    <row r="1" customHeight="1" spans="1:5">
      <c r="A1" s="18" t="s">
        <v>2398</v>
      </c>
      <c r="B1" s="19" t="s">
        <v>2399</v>
      </c>
      <c r="C1" s="20" t="s">
        <v>2400</v>
      </c>
      <c r="D1" s="21"/>
      <c r="E1" s="22" t="s">
        <v>2401</v>
      </c>
    </row>
    <row r="2" customHeight="1" spans="1:5">
      <c r="A2" s="23"/>
      <c r="B2" s="24" t="s">
        <v>27</v>
      </c>
      <c r="C2" s="22"/>
      <c r="D2" s="25"/>
      <c r="E2" s="22"/>
    </row>
    <row r="3" customHeight="1" spans="1:5">
      <c r="A3" s="26"/>
      <c r="B3" s="27" t="s">
        <v>33</v>
      </c>
      <c r="C3" s="22"/>
      <c r="D3" s="25"/>
      <c r="E3" s="22"/>
    </row>
    <row r="4" customHeight="1" spans="1:5">
      <c r="A4" s="28"/>
      <c r="B4" s="29" t="s">
        <v>1842</v>
      </c>
      <c r="C4" s="22"/>
      <c r="D4" s="25"/>
      <c r="E4" s="22"/>
    </row>
    <row r="5" customHeight="1" spans="1:5">
      <c r="A5" s="30"/>
      <c r="B5" s="29" t="s">
        <v>1836</v>
      </c>
      <c r="C5" s="31" t="s">
        <v>2168</v>
      </c>
      <c r="D5" s="32" t="s">
        <v>2402</v>
      </c>
      <c r="E5" s="22"/>
    </row>
    <row r="6" customFormat="1" customHeight="1" spans="1:5">
      <c r="A6" s="33"/>
      <c r="B6" s="29" t="s">
        <v>1846</v>
      </c>
      <c r="C6" s="22"/>
      <c r="D6" s="25"/>
      <c r="E6" s="22"/>
    </row>
    <row r="7" customHeight="1" spans="1:5">
      <c r="A7" s="34"/>
      <c r="B7" s="29" t="s">
        <v>1854</v>
      </c>
      <c r="C7" s="22"/>
      <c r="D7" s="25"/>
      <c r="E7" s="22"/>
    </row>
    <row r="8" customHeight="1" spans="1:5">
      <c r="A8" s="35"/>
      <c r="B8" s="29" t="s">
        <v>1849</v>
      </c>
      <c r="C8" s="22"/>
      <c r="D8" s="25"/>
      <c r="E8" s="22"/>
    </row>
  </sheetData>
  <sheetProtection formatColumns="0" formatRows="0" insertRows="0" deleteColumns="0" deleteRows="0" sort="0" autoFilter="0"/>
  <mergeCells count="1">
    <mergeCell ref="C1:D1"/>
  </mergeCells>
  <pageMargins left="0.7" right="0.7" top="0.75" bottom="0.75" header="0.3" footer="0.3"/>
  <pageSetup paperSize="1" orientation="portrait"/>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I425"/>
  <sheetViews>
    <sheetView showGridLines="0" workbookViewId="0">
      <selection activeCell="A1" sqref="A1"/>
    </sheetView>
  </sheetViews>
  <sheetFormatPr defaultColWidth="9.14285714285714" defaultRowHeight="11.25" customHeight="1"/>
  <sheetData>
    <row r="1" customHeight="1" spans="1:9">
      <c r="A1" t="s">
        <v>2403</v>
      </c>
      <c r="B1" t="s">
        <v>2404</v>
      </c>
      <c r="C1" s="12" t="s">
        <v>2405</v>
      </c>
      <c r="D1" s="12" t="s">
        <v>2406</v>
      </c>
      <c r="E1" s="12" t="s">
        <v>2407</v>
      </c>
      <c r="F1" s="12" t="s">
        <v>2408</v>
      </c>
      <c r="G1" s="12" t="s">
        <v>2409</v>
      </c>
      <c r="H1" s="12" t="s">
        <v>2410</v>
      </c>
      <c r="I1" s="12" t="s">
        <v>2411</v>
      </c>
    </row>
    <row r="2" customHeight="1" spans="1:9">
      <c r="A2" t="s">
        <v>2412</v>
      </c>
      <c r="B2" t="s">
        <v>16</v>
      </c>
      <c r="C2" s="12" t="s">
        <v>2413</v>
      </c>
      <c r="D2" s="12" t="s">
        <v>2414</v>
      </c>
      <c r="E2" s="12" t="s">
        <v>2415</v>
      </c>
      <c r="F2" s="12" t="s">
        <v>2416</v>
      </c>
      <c r="G2" s="12" t="s">
        <v>22</v>
      </c>
      <c r="H2" s="12" t="s">
        <v>22</v>
      </c>
      <c r="I2" s="12" t="s">
        <v>820</v>
      </c>
    </row>
    <row r="3" customHeight="1" spans="1:9">
      <c r="A3" t="s">
        <v>2412</v>
      </c>
      <c r="B3" t="s">
        <v>16</v>
      </c>
      <c r="C3" t="s">
        <v>2417</v>
      </c>
      <c r="D3" t="s">
        <v>2418</v>
      </c>
      <c r="E3" t="s">
        <v>2419</v>
      </c>
      <c r="F3" t="s">
        <v>2420</v>
      </c>
      <c r="G3" t="s">
        <v>22</v>
      </c>
      <c r="H3" t="s">
        <v>22</v>
      </c>
      <c r="I3" t="s">
        <v>820</v>
      </c>
    </row>
    <row r="4" customHeight="1" spans="1:9">
      <c r="A4" t="s">
        <v>2412</v>
      </c>
      <c r="B4" t="s">
        <v>16</v>
      </c>
      <c r="C4" t="s">
        <v>2421</v>
      </c>
      <c r="D4" t="s">
        <v>2422</v>
      </c>
      <c r="E4" t="s">
        <v>2423</v>
      </c>
      <c r="F4" t="s">
        <v>2424</v>
      </c>
      <c r="G4" t="s">
        <v>22</v>
      </c>
      <c r="H4" t="s">
        <v>22</v>
      </c>
      <c r="I4" t="s">
        <v>820</v>
      </c>
    </row>
    <row r="5" customHeight="1" spans="1:9">
      <c r="A5" t="s">
        <v>2412</v>
      </c>
      <c r="B5" t="s">
        <v>16</v>
      </c>
      <c r="C5" t="s">
        <v>2425</v>
      </c>
      <c r="D5" t="s">
        <v>2426</v>
      </c>
      <c r="E5" t="s">
        <v>2427</v>
      </c>
      <c r="F5" t="s">
        <v>2428</v>
      </c>
      <c r="G5" t="s">
        <v>2429</v>
      </c>
      <c r="H5" t="s">
        <v>22</v>
      </c>
      <c r="I5" t="s">
        <v>820</v>
      </c>
    </row>
    <row r="6" customHeight="1" spans="1:9">
      <c r="A6" t="s">
        <v>2412</v>
      </c>
      <c r="B6" t="s">
        <v>16</v>
      </c>
      <c r="C6" t="s">
        <v>2430</v>
      </c>
      <c r="D6" t="s">
        <v>2431</v>
      </c>
      <c r="E6" t="s">
        <v>2432</v>
      </c>
      <c r="F6" t="s">
        <v>2433</v>
      </c>
      <c r="G6" t="s">
        <v>2434</v>
      </c>
      <c r="H6" t="s">
        <v>22</v>
      </c>
      <c r="I6" t="s">
        <v>820</v>
      </c>
    </row>
    <row r="7" customHeight="1" spans="1:9">
      <c r="A7" t="s">
        <v>2412</v>
      </c>
      <c r="B7" t="s">
        <v>16</v>
      </c>
      <c r="C7" t="s">
        <v>2435</v>
      </c>
      <c r="D7" t="s">
        <v>2436</v>
      </c>
      <c r="E7" t="s">
        <v>2437</v>
      </c>
      <c r="F7" t="s">
        <v>2438</v>
      </c>
      <c r="G7" t="s">
        <v>2439</v>
      </c>
      <c r="H7" t="s">
        <v>22</v>
      </c>
      <c r="I7" t="s">
        <v>820</v>
      </c>
    </row>
    <row r="8" customHeight="1" spans="1:9">
      <c r="A8" t="s">
        <v>2412</v>
      </c>
      <c r="B8" t="s">
        <v>16</v>
      </c>
      <c r="C8" t="s">
        <v>2440</v>
      </c>
      <c r="D8" t="s">
        <v>2441</v>
      </c>
      <c r="E8" t="s">
        <v>2442</v>
      </c>
      <c r="F8" t="s">
        <v>2443</v>
      </c>
      <c r="G8" t="s">
        <v>22</v>
      </c>
      <c r="H8" t="s">
        <v>22</v>
      </c>
      <c r="I8" t="s">
        <v>820</v>
      </c>
    </row>
    <row r="9" customHeight="1" spans="1:9">
      <c r="A9" t="s">
        <v>2412</v>
      </c>
      <c r="B9" t="s">
        <v>16</v>
      </c>
      <c r="C9" t="s">
        <v>2444</v>
      </c>
      <c r="D9" t="s">
        <v>2445</v>
      </c>
      <c r="E9" t="s">
        <v>2446</v>
      </c>
      <c r="F9" t="s">
        <v>2447</v>
      </c>
      <c r="G9" t="s">
        <v>22</v>
      </c>
      <c r="H9" t="s">
        <v>22</v>
      </c>
      <c r="I9" t="s">
        <v>820</v>
      </c>
    </row>
    <row r="10" customHeight="1" spans="1:9">
      <c r="A10" t="s">
        <v>2412</v>
      </c>
      <c r="B10" t="s">
        <v>16</v>
      </c>
      <c r="C10" t="s">
        <v>2448</v>
      </c>
      <c r="D10" t="s">
        <v>2449</v>
      </c>
      <c r="E10" t="s">
        <v>2450</v>
      </c>
      <c r="F10" t="s">
        <v>2451</v>
      </c>
      <c r="G10" t="s">
        <v>2452</v>
      </c>
      <c r="H10" t="s">
        <v>22</v>
      </c>
      <c r="I10" t="s">
        <v>820</v>
      </c>
    </row>
    <row r="11" customHeight="1" spans="1:9">
      <c r="A11" t="s">
        <v>2412</v>
      </c>
      <c r="B11" t="s">
        <v>16</v>
      </c>
      <c r="C11" t="s">
        <v>2453</v>
      </c>
      <c r="D11" t="s">
        <v>2454</v>
      </c>
      <c r="E11" t="s">
        <v>2455</v>
      </c>
      <c r="F11" t="s">
        <v>51</v>
      </c>
      <c r="G11" t="s">
        <v>22</v>
      </c>
      <c r="H11" t="s">
        <v>22</v>
      </c>
      <c r="I11" t="s">
        <v>820</v>
      </c>
    </row>
    <row r="12" customHeight="1" spans="1:9">
      <c r="A12" t="s">
        <v>2412</v>
      </c>
      <c r="B12" t="s">
        <v>16</v>
      </c>
      <c r="C12" t="s">
        <v>2456</v>
      </c>
      <c r="D12" t="s">
        <v>2457</v>
      </c>
      <c r="E12" t="s">
        <v>2458</v>
      </c>
      <c r="F12" t="s">
        <v>2459</v>
      </c>
      <c r="G12" t="s">
        <v>22</v>
      </c>
      <c r="H12" t="s">
        <v>22</v>
      </c>
      <c r="I12" t="s">
        <v>820</v>
      </c>
    </row>
    <row r="13" customHeight="1" spans="1:9">
      <c r="A13" t="s">
        <v>2412</v>
      </c>
      <c r="B13" t="s">
        <v>16</v>
      </c>
      <c r="C13" t="s">
        <v>13</v>
      </c>
      <c r="D13" t="s">
        <v>46</v>
      </c>
      <c r="E13" t="s">
        <v>49</v>
      </c>
      <c r="F13" t="s">
        <v>51</v>
      </c>
      <c r="G13" t="s">
        <v>2460</v>
      </c>
      <c r="H13" t="s">
        <v>22</v>
      </c>
      <c r="I13" t="s">
        <v>820</v>
      </c>
    </row>
    <row r="14" customHeight="1" spans="1:9">
      <c r="A14" t="s">
        <v>2412</v>
      </c>
      <c r="B14" t="s">
        <v>16</v>
      </c>
      <c r="C14" t="s">
        <v>2461</v>
      </c>
      <c r="D14" t="s">
        <v>2462</v>
      </c>
      <c r="E14" t="s">
        <v>2463</v>
      </c>
      <c r="F14" t="s">
        <v>2464</v>
      </c>
      <c r="G14" t="s">
        <v>22</v>
      </c>
      <c r="H14" t="s">
        <v>22</v>
      </c>
      <c r="I14" t="s">
        <v>820</v>
      </c>
    </row>
    <row r="15" customHeight="1" spans="1:9">
      <c r="A15" t="s">
        <v>2412</v>
      </c>
      <c r="B15" t="s">
        <v>16</v>
      </c>
      <c r="C15" t="s">
        <v>2465</v>
      </c>
      <c r="D15" t="s">
        <v>2466</v>
      </c>
      <c r="E15" t="s">
        <v>2467</v>
      </c>
      <c r="F15" t="s">
        <v>2468</v>
      </c>
      <c r="G15" t="s">
        <v>2469</v>
      </c>
      <c r="H15" t="s">
        <v>22</v>
      </c>
      <c r="I15" t="s">
        <v>820</v>
      </c>
    </row>
    <row r="16" customHeight="1" spans="1:9">
      <c r="A16" t="s">
        <v>2412</v>
      </c>
      <c r="B16" t="s">
        <v>16</v>
      </c>
      <c r="C16" t="s">
        <v>2470</v>
      </c>
      <c r="D16" t="s">
        <v>2471</v>
      </c>
      <c r="E16" t="s">
        <v>2472</v>
      </c>
      <c r="F16" t="s">
        <v>2473</v>
      </c>
      <c r="G16" t="s">
        <v>22</v>
      </c>
      <c r="H16" t="s">
        <v>22</v>
      </c>
      <c r="I16" t="s">
        <v>820</v>
      </c>
    </row>
    <row r="17" customHeight="1" spans="1:9">
      <c r="A17" t="s">
        <v>2412</v>
      </c>
      <c r="B17" t="s">
        <v>16</v>
      </c>
      <c r="C17" t="s">
        <v>2474</v>
      </c>
      <c r="D17" t="s">
        <v>2475</v>
      </c>
      <c r="E17" t="s">
        <v>2476</v>
      </c>
      <c r="F17" t="s">
        <v>2477</v>
      </c>
      <c r="G17" t="s">
        <v>22</v>
      </c>
      <c r="H17" t="s">
        <v>22</v>
      </c>
      <c r="I17" t="s">
        <v>820</v>
      </c>
    </row>
    <row r="18" customHeight="1" spans="1:9">
      <c r="A18" t="s">
        <v>2412</v>
      </c>
      <c r="B18" t="s">
        <v>16</v>
      </c>
      <c r="C18" t="s">
        <v>2478</v>
      </c>
      <c r="D18" t="s">
        <v>2479</v>
      </c>
      <c r="E18" t="s">
        <v>2467</v>
      </c>
      <c r="F18" t="s">
        <v>2480</v>
      </c>
      <c r="G18" t="s">
        <v>22</v>
      </c>
      <c r="H18" t="s">
        <v>22</v>
      </c>
      <c r="I18" t="s">
        <v>820</v>
      </c>
    </row>
    <row r="19" customHeight="1" spans="1:9">
      <c r="A19" t="s">
        <v>2412</v>
      </c>
      <c r="B19" t="s">
        <v>16</v>
      </c>
      <c r="C19" t="s">
        <v>2481</v>
      </c>
      <c r="D19" t="s">
        <v>2482</v>
      </c>
      <c r="E19" t="s">
        <v>2483</v>
      </c>
      <c r="F19" t="s">
        <v>2484</v>
      </c>
      <c r="G19" t="s">
        <v>22</v>
      </c>
      <c r="H19" t="s">
        <v>22</v>
      </c>
      <c r="I19" t="s">
        <v>820</v>
      </c>
    </row>
    <row r="20" customHeight="1" spans="1:9">
      <c r="A20" t="s">
        <v>2412</v>
      </c>
      <c r="B20" t="s">
        <v>16</v>
      </c>
      <c r="C20" t="s">
        <v>2485</v>
      </c>
      <c r="D20" t="s">
        <v>2486</v>
      </c>
      <c r="E20" t="s">
        <v>2487</v>
      </c>
      <c r="F20" t="s">
        <v>2464</v>
      </c>
      <c r="G20" t="s">
        <v>22</v>
      </c>
      <c r="H20" t="s">
        <v>22</v>
      </c>
      <c r="I20" t="s">
        <v>820</v>
      </c>
    </row>
    <row r="21" customHeight="1" spans="1:9">
      <c r="A21" t="s">
        <v>2412</v>
      </c>
      <c r="B21" t="s">
        <v>16</v>
      </c>
      <c r="C21" t="s">
        <v>2488</v>
      </c>
      <c r="D21" t="s">
        <v>2489</v>
      </c>
      <c r="E21" t="s">
        <v>2490</v>
      </c>
      <c r="F21" t="s">
        <v>2416</v>
      </c>
      <c r="G21" t="s">
        <v>2491</v>
      </c>
      <c r="H21" t="s">
        <v>22</v>
      </c>
      <c r="I21" t="s">
        <v>820</v>
      </c>
    </row>
    <row r="22" customHeight="1" spans="1:9">
      <c r="A22" t="s">
        <v>2412</v>
      </c>
      <c r="B22" t="s">
        <v>16</v>
      </c>
      <c r="C22" t="s">
        <v>2492</v>
      </c>
      <c r="D22" t="s">
        <v>2493</v>
      </c>
      <c r="E22" t="s">
        <v>2494</v>
      </c>
      <c r="F22" t="s">
        <v>2495</v>
      </c>
      <c r="G22" t="s">
        <v>22</v>
      </c>
      <c r="H22" t="s">
        <v>22</v>
      </c>
      <c r="I22" t="s">
        <v>820</v>
      </c>
    </row>
    <row r="23" customHeight="1" spans="1:9">
      <c r="A23" t="s">
        <v>2412</v>
      </c>
      <c r="B23" t="s">
        <v>16</v>
      </c>
      <c r="C23" t="s">
        <v>2496</v>
      </c>
      <c r="D23" t="s">
        <v>2497</v>
      </c>
      <c r="E23" t="s">
        <v>2498</v>
      </c>
      <c r="F23" t="s">
        <v>51</v>
      </c>
      <c r="G23" t="s">
        <v>22</v>
      </c>
      <c r="H23" t="s">
        <v>22</v>
      </c>
      <c r="I23" t="s">
        <v>820</v>
      </c>
    </row>
    <row r="24" customHeight="1" spans="1:9">
      <c r="A24" t="s">
        <v>2412</v>
      </c>
      <c r="B24" t="s">
        <v>16</v>
      </c>
      <c r="C24" t="s">
        <v>2499</v>
      </c>
      <c r="D24" t="s">
        <v>2500</v>
      </c>
      <c r="E24" t="s">
        <v>2501</v>
      </c>
      <c r="F24" t="s">
        <v>2502</v>
      </c>
      <c r="G24" t="s">
        <v>22</v>
      </c>
      <c r="H24" t="s">
        <v>22</v>
      </c>
      <c r="I24" t="s">
        <v>820</v>
      </c>
    </row>
    <row r="25" customHeight="1" spans="1:9">
      <c r="A25" t="s">
        <v>2412</v>
      </c>
      <c r="B25" t="s">
        <v>16</v>
      </c>
      <c r="C25" t="s">
        <v>2503</v>
      </c>
      <c r="D25" t="s">
        <v>2504</v>
      </c>
      <c r="E25" t="s">
        <v>2505</v>
      </c>
      <c r="F25" t="s">
        <v>51</v>
      </c>
      <c r="G25" t="s">
        <v>22</v>
      </c>
      <c r="H25" t="s">
        <v>22</v>
      </c>
      <c r="I25" t="s">
        <v>820</v>
      </c>
    </row>
    <row r="26" customHeight="1" spans="1:9">
      <c r="A26" t="s">
        <v>2412</v>
      </c>
      <c r="B26" t="s">
        <v>16</v>
      </c>
      <c r="C26" t="s">
        <v>2506</v>
      </c>
      <c r="D26" t="s">
        <v>2507</v>
      </c>
      <c r="E26" t="s">
        <v>2508</v>
      </c>
      <c r="F26" t="s">
        <v>2509</v>
      </c>
      <c r="G26" t="s">
        <v>22</v>
      </c>
      <c r="H26" t="s">
        <v>22</v>
      </c>
      <c r="I26" t="s">
        <v>820</v>
      </c>
    </row>
    <row r="27" customHeight="1" spans="1:9">
      <c r="A27" t="s">
        <v>2412</v>
      </c>
      <c r="B27" t="s">
        <v>16</v>
      </c>
      <c r="C27" t="s">
        <v>2510</v>
      </c>
      <c r="D27" t="s">
        <v>2511</v>
      </c>
      <c r="E27" t="s">
        <v>2512</v>
      </c>
      <c r="F27" t="s">
        <v>2509</v>
      </c>
      <c r="G27" t="s">
        <v>22</v>
      </c>
      <c r="H27" t="s">
        <v>22</v>
      </c>
      <c r="I27" t="s">
        <v>820</v>
      </c>
    </row>
    <row r="28" customHeight="1" spans="1:9">
      <c r="A28" t="s">
        <v>2412</v>
      </c>
      <c r="B28" t="s">
        <v>16</v>
      </c>
      <c r="C28" t="s">
        <v>2513</v>
      </c>
      <c r="D28" t="s">
        <v>2514</v>
      </c>
      <c r="E28" t="s">
        <v>2515</v>
      </c>
      <c r="F28" t="s">
        <v>51</v>
      </c>
      <c r="G28" t="s">
        <v>22</v>
      </c>
      <c r="H28" t="s">
        <v>2516</v>
      </c>
      <c r="I28" t="s">
        <v>820</v>
      </c>
    </row>
    <row r="29" customHeight="1" spans="1:9">
      <c r="A29" t="s">
        <v>2412</v>
      </c>
      <c r="B29" t="s">
        <v>16</v>
      </c>
      <c r="C29" t="s">
        <v>2517</v>
      </c>
      <c r="D29" t="s">
        <v>2518</v>
      </c>
      <c r="E29" t="s">
        <v>2519</v>
      </c>
      <c r="F29" t="s">
        <v>2520</v>
      </c>
      <c r="G29" t="s">
        <v>22</v>
      </c>
      <c r="H29" t="s">
        <v>22</v>
      </c>
      <c r="I29" t="s">
        <v>820</v>
      </c>
    </row>
    <row r="30" customHeight="1" spans="1:9">
      <c r="A30" t="s">
        <v>2412</v>
      </c>
      <c r="B30" t="s">
        <v>16</v>
      </c>
      <c r="C30" t="s">
        <v>2521</v>
      </c>
      <c r="D30" t="s">
        <v>2522</v>
      </c>
      <c r="E30" t="s">
        <v>2523</v>
      </c>
      <c r="F30" t="s">
        <v>2416</v>
      </c>
      <c r="G30" t="s">
        <v>22</v>
      </c>
      <c r="H30" t="s">
        <v>22</v>
      </c>
      <c r="I30" t="s">
        <v>820</v>
      </c>
    </row>
    <row r="31" customHeight="1" spans="1:9">
      <c r="A31" t="s">
        <v>2412</v>
      </c>
      <c r="B31" t="s">
        <v>16</v>
      </c>
      <c r="C31" t="s">
        <v>2524</v>
      </c>
      <c r="D31" t="s">
        <v>2525</v>
      </c>
      <c r="E31" t="s">
        <v>2526</v>
      </c>
      <c r="F31" t="s">
        <v>2527</v>
      </c>
      <c r="G31" t="s">
        <v>22</v>
      </c>
      <c r="H31" t="s">
        <v>22</v>
      </c>
      <c r="I31" t="s">
        <v>820</v>
      </c>
    </row>
    <row r="32" customHeight="1" spans="1:9">
      <c r="A32" t="s">
        <v>2412</v>
      </c>
      <c r="B32" t="s">
        <v>16</v>
      </c>
      <c r="C32" t="s">
        <v>2528</v>
      </c>
      <c r="D32" t="s">
        <v>2529</v>
      </c>
      <c r="E32" t="s">
        <v>2530</v>
      </c>
      <c r="F32" t="s">
        <v>2531</v>
      </c>
      <c r="G32" t="s">
        <v>22</v>
      </c>
      <c r="H32" t="s">
        <v>22</v>
      </c>
      <c r="I32" t="s">
        <v>820</v>
      </c>
    </row>
    <row r="33" customHeight="1" spans="1:9">
      <c r="A33" t="s">
        <v>2412</v>
      </c>
      <c r="B33" t="s">
        <v>16</v>
      </c>
      <c r="C33" t="s">
        <v>2532</v>
      </c>
      <c r="D33" t="s">
        <v>2533</v>
      </c>
      <c r="E33" t="s">
        <v>2534</v>
      </c>
      <c r="F33" t="s">
        <v>2535</v>
      </c>
      <c r="G33" t="s">
        <v>22</v>
      </c>
      <c r="H33" t="s">
        <v>22</v>
      </c>
      <c r="I33" t="s">
        <v>820</v>
      </c>
    </row>
    <row r="34" customHeight="1" spans="1:9">
      <c r="A34" t="s">
        <v>2412</v>
      </c>
      <c r="B34" t="s">
        <v>16</v>
      </c>
      <c r="C34" t="s">
        <v>2536</v>
      </c>
      <c r="D34" t="s">
        <v>2537</v>
      </c>
      <c r="E34" t="s">
        <v>2538</v>
      </c>
      <c r="F34" t="s">
        <v>2539</v>
      </c>
      <c r="G34" t="s">
        <v>22</v>
      </c>
      <c r="H34" t="s">
        <v>22</v>
      </c>
      <c r="I34" t="s">
        <v>820</v>
      </c>
    </row>
    <row r="35" customHeight="1" spans="1:9">
      <c r="A35" t="s">
        <v>2412</v>
      </c>
      <c r="B35" t="s">
        <v>16</v>
      </c>
      <c r="C35" t="s">
        <v>2540</v>
      </c>
      <c r="D35" t="s">
        <v>2541</v>
      </c>
      <c r="E35" t="s">
        <v>2542</v>
      </c>
      <c r="F35" t="s">
        <v>2543</v>
      </c>
      <c r="G35" t="s">
        <v>22</v>
      </c>
      <c r="H35" t="s">
        <v>22</v>
      </c>
      <c r="I35" t="s">
        <v>820</v>
      </c>
    </row>
    <row r="36" customHeight="1" spans="1:9">
      <c r="A36" t="s">
        <v>2412</v>
      </c>
      <c r="B36" t="s">
        <v>16</v>
      </c>
      <c r="C36" t="s">
        <v>2544</v>
      </c>
      <c r="D36" t="s">
        <v>2545</v>
      </c>
      <c r="E36" t="s">
        <v>2546</v>
      </c>
      <c r="F36" t="s">
        <v>2547</v>
      </c>
      <c r="G36" t="s">
        <v>22</v>
      </c>
      <c r="H36" t="s">
        <v>22</v>
      </c>
      <c r="I36" t="s">
        <v>820</v>
      </c>
    </row>
    <row r="37" customHeight="1" spans="1:9">
      <c r="A37" t="s">
        <v>2412</v>
      </c>
      <c r="B37" t="s">
        <v>16</v>
      </c>
      <c r="C37" t="s">
        <v>2548</v>
      </c>
      <c r="D37" t="s">
        <v>2549</v>
      </c>
      <c r="E37" t="s">
        <v>2550</v>
      </c>
      <c r="F37" t="s">
        <v>2464</v>
      </c>
      <c r="G37" t="s">
        <v>2551</v>
      </c>
      <c r="H37" t="s">
        <v>22</v>
      </c>
      <c r="I37" t="s">
        <v>820</v>
      </c>
    </row>
    <row r="38" customHeight="1" spans="1:9">
      <c r="A38" t="s">
        <v>2412</v>
      </c>
      <c r="B38" t="s">
        <v>16</v>
      </c>
      <c r="C38" t="s">
        <v>2552</v>
      </c>
      <c r="D38" t="s">
        <v>2553</v>
      </c>
      <c r="E38" t="s">
        <v>2554</v>
      </c>
      <c r="F38" t="s">
        <v>2527</v>
      </c>
      <c r="G38" t="s">
        <v>2555</v>
      </c>
      <c r="H38" t="s">
        <v>22</v>
      </c>
      <c r="I38" t="s">
        <v>820</v>
      </c>
    </row>
    <row r="39" customHeight="1" spans="1:9">
      <c r="A39" t="s">
        <v>2412</v>
      </c>
      <c r="B39" t="s">
        <v>16</v>
      </c>
      <c r="C39" t="s">
        <v>2556</v>
      </c>
      <c r="D39" t="s">
        <v>2557</v>
      </c>
      <c r="E39" t="s">
        <v>2558</v>
      </c>
      <c r="F39" t="s">
        <v>2520</v>
      </c>
      <c r="G39" t="s">
        <v>2559</v>
      </c>
      <c r="H39" t="s">
        <v>22</v>
      </c>
      <c r="I39" t="s">
        <v>820</v>
      </c>
    </row>
    <row r="40" customHeight="1" spans="1:9">
      <c r="A40" t="s">
        <v>2412</v>
      </c>
      <c r="B40" t="s">
        <v>16</v>
      </c>
      <c r="C40" t="s">
        <v>2560</v>
      </c>
      <c r="D40" t="s">
        <v>2561</v>
      </c>
      <c r="E40" t="s">
        <v>2562</v>
      </c>
      <c r="F40" t="s">
        <v>2464</v>
      </c>
      <c r="G40" t="s">
        <v>22</v>
      </c>
      <c r="H40" t="s">
        <v>22</v>
      </c>
      <c r="I40" t="s">
        <v>820</v>
      </c>
    </row>
    <row r="41" customHeight="1" spans="1:9">
      <c r="A41" t="s">
        <v>2412</v>
      </c>
      <c r="B41" t="s">
        <v>16</v>
      </c>
      <c r="C41" t="s">
        <v>2563</v>
      </c>
      <c r="D41" t="s">
        <v>2564</v>
      </c>
      <c r="E41" t="s">
        <v>2565</v>
      </c>
      <c r="F41" t="s">
        <v>2543</v>
      </c>
      <c r="G41" t="s">
        <v>22</v>
      </c>
      <c r="H41" t="s">
        <v>22</v>
      </c>
      <c r="I41" t="s">
        <v>820</v>
      </c>
    </row>
    <row r="42" customHeight="1" spans="1:9">
      <c r="A42" t="s">
        <v>2412</v>
      </c>
      <c r="B42" t="s">
        <v>16</v>
      </c>
      <c r="C42" t="s">
        <v>2566</v>
      </c>
      <c r="D42" t="s">
        <v>2567</v>
      </c>
      <c r="E42" t="s">
        <v>2568</v>
      </c>
      <c r="F42" t="s">
        <v>2569</v>
      </c>
      <c r="G42" t="s">
        <v>22</v>
      </c>
      <c r="H42" t="s">
        <v>22</v>
      </c>
      <c r="I42" t="s">
        <v>820</v>
      </c>
    </row>
    <row r="43" customHeight="1" spans="1:9">
      <c r="A43" t="s">
        <v>2412</v>
      </c>
      <c r="B43" t="s">
        <v>16</v>
      </c>
      <c r="C43" t="s">
        <v>2570</v>
      </c>
      <c r="D43" t="s">
        <v>2571</v>
      </c>
      <c r="E43" t="s">
        <v>2572</v>
      </c>
      <c r="F43" t="s">
        <v>2527</v>
      </c>
      <c r="G43" t="s">
        <v>2573</v>
      </c>
      <c r="H43" t="s">
        <v>22</v>
      </c>
      <c r="I43" t="s">
        <v>820</v>
      </c>
    </row>
    <row r="44" customHeight="1" spans="1:9">
      <c r="A44" t="s">
        <v>2412</v>
      </c>
      <c r="B44" t="s">
        <v>16</v>
      </c>
      <c r="C44" t="s">
        <v>2574</v>
      </c>
      <c r="D44" t="s">
        <v>2575</v>
      </c>
      <c r="E44" t="s">
        <v>2576</v>
      </c>
      <c r="F44" t="s">
        <v>2577</v>
      </c>
      <c r="G44" t="s">
        <v>22</v>
      </c>
      <c r="H44" t="s">
        <v>22</v>
      </c>
      <c r="I44" t="s">
        <v>820</v>
      </c>
    </row>
    <row r="45" customHeight="1" spans="1:9">
      <c r="A45" t="s">
        <v>2412</v>
      </c>
      <c r="B45" t="s">
        <v>16</v>
      </c>
      <c r="C45" t="s">
        <v>2578</v>
      </c>
      <c r="D45" t="s">
        <v>2579</v>
      </c>
      <c r="E45" t="s">
        <v>2580</v>
      </c>
      <c r="F45" t="s">
        <v>2569</v>
      </c>
      <c r="G45" t="s">
        <v>2581</v>
      </c>
      <c r="H45" t="s">
        <v>22</v>
      </c>
      <c r="I45" t="s">
        <v>820</v>
      </c>
    </row>
    <row r="46" customHeight="1" spans="1:9">
      <c r="A46" t="s">
        <v>2412</v>
      </c>
      <c r="B46" t="s">
        <v>16</v>
      </c>
      <c r="C46" t="s">
        <v>2582</v>
      </c>
      <c r="D46" t="s">
        <v>2583</v>
      </c>
      <c r="E46" t="s">
        <v>2584</v>
      </c>
      <c r="F46" t="s">
        <v>2495</v>
      </c>
      <c r="G46" t="s">
        <v>22</v>
      </c>
      <c r="H46" t="s">
        <v>22</v>
      </c>
      <c r="I46" t="s">
        <v>820</v>
      </c>
    </row>
    <row r="47" customHeight="1" spans="1:9">
      <c r="A47" t="s">
        <v>2412</v>
      </c>
      <c r="B47" t="s">
        <v>16</v>
      </c>
      <c r="C47" t="s">
        <v>2585</v>
      </c>
      <c r="D47" t="s">
        <v>2586</v>
      </c>
      <c r="E47" t="s">
        <v>2587</v>
      </c>
      <c r="F47" t="s">
        <v>2588</v>
      </c>
      <c r="G47" t="s">
        <v>22</v>
      </c>
      <c r="H47" t="s">
        <v>22</v>
      </c>
      <c r="I47" t="s">
        <v>820</v>
      </c>
    </row>
    <row r="48" customHeight="1" spans="1:9">
      <c r="A48" t="s">
        <v>2412</v>
      </c>
      <c r="B48" t="s">
        <v>16</v>
      </c>
      <c r="C48" t="s">
        <v>2589</v>
      </c>
      <c r="D48" t="s">
        <v>2590</v>
      </c>
      <c r="E48" t="s">
        <v>2591</v>
      </c>
      <c r="F48" t="s">
        <v>2543</v>
      </c>
      <c r="G48" t="s">
        <v>2592</v>
      </c>
      <c r="H48" t="s">
        <v>22</v>
      </c>
      <c r="I48" t="s">
        <v>820</v>
      </c>
    </row>
    <row r="49" customHeight="1" spans="1:9">
      <c r="A49" t="s">
        <v>2412</v>
      </c>
      <c r="B49" t="s">
        <v>16</v>
      </c>
      <c r="C49" t="s">
        <v>2593</v>
      </c>
      <c r="D49" t="s">
        <v>2594</v>
      </c>
      <c r="E49" t="s">
        <v>2595</v>
      </c>
      <c r="F49" t="s">
        <v>2464</v>
      </c>
      <c r="G49" t="s">
        <v>22</v>
      </c>
      <c r="H49" t="s">
        <v>22</v>
      </c>
      <c r="I49" t="s">
        <v>820</v>
      </c>
    </row>
    <row r="50" customHeight="1" spans="1:9">
      <c r="A50" t="s">
        <v>2412</v>
      </c>
      <c r="B50" t="s">
        <v>16</v>
      </c>
      <c r="C50" t="s">
        <v>2596</v>
      </c>
      <c r="D50" t="s">
        <v>2597</v>
      </c>
      <c r="E50" t="s">
        <v>2598</v>
      </c>
      <c r="F50" t="s">
        <v>2599</v>
      </c>
      <c r="G50" t="s">
        <v>22</v>
      </c>
      <c r="H50" t="s">
        <v>22</v>
      </c>
      <c r="I50" t="s">
        <v>820</v>
      </c>
    </row>
    <row r="51" customHeight="1" spans="1:9">
      <c r="A51" t="s">
        <v>2412</v>
      </c>
      <c r="B51" t="s">
        <v>16</v>
      </c>
      <c r="C51" t="s">
        <v>2600</v>
      </c>
      <c r="D51" t="s">
        <v>2601</v>
      </c>
      <c r="E51" t="s">
        <v>2602</v>
      </c>
      <c r="F51" t="s">
        <v>2603</v>
      </c>
      <c r="G51" t="s">
        <v>22</v>
      </c>
      <c r="H51" t="s">
        <v>22</v>
      </c>
      <c r="I51" t="s">
        <v>820</v>
      </c>
    </row>
    <row r="52" customHeight="1" spans="1:9">
      <c r="A52" t="s">
        <v>2412</v>
      </c>
      <c r="B52" t="s">
        <v>16</v>
      </c>
      <c r="C52" t="s">
        <v>2604</v>
      </c>
      <c r="D52" t="s">
        <v>2605</v>
      </c>
      <c r="E52" t="s">
        <v>2606</v>
      </c>
      <c r="F52" t="s">
        <v>2464</v>
      </c>
      <c r="G52" t="s">
        <v>22</v>
      </c>
      <c r="H52" t="s">
        <v>22</v>
      </c>
      <c r="I52" t="s">
        <v>820</v>
      </c>
    </row>
    <row r="53" customHeight="1" spans="1:9">
      <c r="A53" t="s">
        <v>2412</v>
      </c>
      <c r="B53" t="s">
        <v>16</v>
      </c>
      <c r="C53" t="s">
        <v>2607</v>
      </c>
      <c r="D53" t="s">
        <v>2608</v>
      </c>
      <c r="E53" t="s">
        <v>2609</v>
      </c>
      <c r="F53" t="s">
        <v>2464</v>
      </c>
      <c r="G53" t="s">
        <v>22</v>
      </c>
      <c r="H53" t="s">
        <v>22</v>
      </c>
      <c r="I53" t="s">
        <v>820</v>
      </c>
    </row>
    <row r="54" customHeight="1" spans="1:9">
      <c r="A54" t="s">
        <v>2412</v>
      </c>
      <c r="B54" t="s">
        <v>16</v>
      </c>
      <c r="C54" t="s">
        <v>2610</v>
      </c>
      <c r="D54" t="s">
        <v>2611</v>
      </c>
      <c r="E54" t="s">
        <v>2612</v>
      </c>
      <c r="F54" t="s">
        <v>2451</v>
      </c>
      <c r="G54" t="s">
        <v>22</v>
      </c>
      <c r="H54" t="s">
        <v>22</v>
      </c>
      <c r="I54" t="s">
        <v>820</v>
      </c>
    </row>
    <row r="55" customHeight="1" spans="1:9">
      <c r="A55" t="s">
        <v>2412</v>
      </c>
      <c r="B55" t="s">
        <v>16</v>
      </c>
      <c r="C55" t="s">
        <v>2613</v>
      </c>
      <c r="D55" t="s">
        <v>2614</v>
      </c>
      <c r="E55" t="s">
        <v>2615</v>
      </c>
      <c r="F55" t="s">
        <v>2616</v>
      </c>
      <c r="G55" t="s">
        <v>22</v>
      </c>
      <c r="H55" t="s">
        <v>22</v>
      </c>
      <c r="I55" t="s">
        <v>820</v>
      </c>
    </row>
    <row r="56" customHeight="1" spans="1:9">
      <c r="A56" t="s">
        <v>2412</v>
      </c>
      <c r="B56" t="s">
        <v>16</v>
      </c>
      <c r="C56" t="s">
        <v>2617</v>
      </c>
      <c r="D56" t="s">
        <v>2618</v>
      </c>
      <c r="E56" t="s">
        <v>2619</v>
      </c>
      <c r="F56" t="s">
        <v>2620</v>
      </c>
      <c r="G56" t="s">
        <v>22</v>
      </c>
      <c r="H56" t="s">
        <v>22</v>
      </c>
      <c r="I56" t="s">
        <v>820</v>
      </c>
    </row>
    <row r="57" customHeight="1" spans="1:9">
      <c r="A57" t="s">
        <v>2412</v>
      </c>
      <c r="B57" t="s">
        <v>16</v>
      </c>
      <c r="C57" t="s">
        <v>2621</v>
      </c>
      <c r="D57" t="s">
        <v>2622</v>
      </c>
      <c r="E57" t="s">
        <v>2623</v>
      </c>
      <c r="F57" t="s">
        <v>2624</v>
      </c>
      <c r="G57" t="s">
        <v>2625</v>
      </c>
      <c r="H57" t="s">
        <v>22</v>
      </c>
      <c r="I57" t="s">
        <v>820</v>
      </c>
    </row>
    <row r="58" customHeight="1" spans="1:9">
      <c r="A58" t="s">
        <v>2412</v>
      </c>
      <c r="B58" t="s">
        <v>16</v>
      </c>
      <c r="C58" t="s">
        <v>2626</v>
      </c>
      <c r="D58" t="s">
        <v>2627</v>
      </c>
      <c r="E58" t="s">
        <v>2628</v>
      </c>
      <c r="F58" t="s">
        <v>2629</v>
      </c>
      <c r="G58" t="s">
        <v>22</v>
      </c>
      <c r="H58" t="s">
        <v>22</v>
      </c>
      <c r="I58" t="s">
        <v>820</v>
      </c>
    </row>
    <row r="59" customHeight="1" spans="1:9">
      <c r="A59" t="s">
        <v>2412</v>
      </c>
      <c r="B59" t="s">
        <v>16</v>
      </c>
      <c r="C59" t="s">
        <v>2630</v>
      </c>
      <c r="D59" t="s">
        <v>2631</v>
      </c>
      <c r="E59" t="s">
        <v>2632</v>
      </c>
      <c r="F59" t="s">
        <v>2633</v>
      </c>
      <c r="G59" t="s">
        <v>22</v>
      </c>
      <c r="H59" t="s">
        <v>22</v>
      </c>
      <c r="I59" t="s">
        <v>820</v>
      </c>
    </row>
    <row r="60" customHeight="1" spans="1:9">
      <c r="A60" t="s">
        <v>2412</v>
      </c>
      <c r="B60" t="s">
        <v>16</v>
      </c>
      <c r="C60" t="s">
        <v>2634</v>
      </c>
      <c r="D60" t="s">
        <v>2635</v>
      </c>
      <c r="E60" t="s">
        <v>2636</v>
      </c>
      <c r="F60" t="s">
        <v>2637</v>
      </c>
      <c r="G60" t="s">
        <v>22</v>
      </c>
      <c r="H60" t="s">
        <v>22</v>
      </c>
      <c r="I60" t="s">
        <v>820</v>
      </c>
    </row>
    <row r="61" customHeight="1" spans="1:9">
      <c r="A61" t="s">
        <v>2412</v>
      </c>
      <c r="B61" t="s">
        <v>16</v>
      </c>
      <c r="C61" t="s">
        <v>2638</v>
      </c>
      <c r="D61" t="s">
        <v>2639</v>
      </c>
      <c r="E61" t="s">
        <v>2640</v>
      </c>
      <c r="F61" t="s">
        <v>2641</v>
      </c>
      <c r="G61" t="s">
        <v>22</v>
      </c>
      <c r="H61" t="s">
        <v>22</v>
      </c>
      <c r="I61" t="s">
        <v>820</v>
      </c>
    </row>
    <row r="62" customHeight="1" spans="1:9">
      <c r="A62" t="s">
        <v>2412</v>
      </c>
      <c r="B62" t="s">
        <v>16</v>
      </c>
      <c r="C62" t="s">
        <v>2642</v>
      </c>
      <c r="D62" t="s">
        <v>2643</v>
      </c>
      <c r="E62" t="s">
        <v>2644</v>
      </c>
      <c r="F62" t="s">
        <v>2645</v>
      </c>
      <c r="G62" t="s">
        <v>22</v>
      </c>
      <c r="H62" t="s">
        <v>22</v>
      </c>
      <c r="I62" t="s">
        <v>820</v>
      </c>
    </row>
    <row r="63" customHeight="1" spans="1:9">
      <c r="A63" t="s">
        <v>2412</v>
      </c>
      <c r="B63" t="s">
        <v>16</v>
      </c>
      <c r="C63" t="s">
        <v>2646</v>
      </c>
      <c r="D63" t="s">
        <v>2647</v>
      </c>
      <c r="E63" t="s">
        <v>2648</v>
      </c>
      <c r="F63" t="s">
        <v>2616</v>
      </c>
      <c r="G63" t="s">
        <v>22</v>
      </c>
      <c r="H63" t="s">
        <v>22</v>
      </c>
      <c r="I63" t="s">
        <v>820</v>
      </c>
    </row>
    <row r="64" customHeight="1" spans="1:9">
      <c r="A64" t="s">
        <v>2412</v>
      </c>
      <c r="B64" t="s">
        <v>16</v>
      </c>
      <c r="C64" t="s">
        <v>2649</v>
      </c>
      <c r="D64" t="s">
        <v>2650</v>
      </c>
      <c r="E64" t="s">
        <v>2651</v>
      </c>
      <c r="F64" t="s">
        <v>2416</v>
      </c>
      <c r="G64" t="s">
        <v>22</v>
      </c>
      <c r="H64" t="s">
        <v>22</v>
      </c>
      <c r="I64" t="s">
        <v>820</v>
      </c>
    </row>
    <row r="65" customHeight="1" spans="1:9">
      <c r="A65" t="s">
        <v>2412</v>
      </c>
      <c r="B65" t="s">
        <v>16</v>
      </c>
      <c r="C65" t="s">
        <v>2652</v>
      </c>
      <c r="D65" t="s">
        <v>2653</v>
      </c>
      <c r="E65" t="s">
        <v>2654</v>
      </c>
      <c r="F65" t="s">
        <v>2655</v>
      </c>
      <c r="G65" t="s">
        <v>22</v>
      </c>
      <c r="H65" t="s">
        <v>22</v>
      </c>
      <c r="I65" t="s">
        <v>820</v>
      </c>
    </row>
    <row r="66" customHeight="1" spans="1:9">
      <c r="A66" t="s">
        <v>2412</v>
      </c>
      <c r="B66" t="s">
        <v>16</v>
      </c>
      <c r="C66" t="s">
        <v>2656</v>
      </c>
      <c r="D66" t="s">
        <v>2657</v>
      </c>
      <c r="E66" t="s">
        <v>2658</v>
      </c>
      <c r="F66" t="s">
        <v>2659</v>
      </c>
      <c r="G66" t="s">
        <v>22</v>
      </c>
      <c r="H66" t="s">
        <v>22</v>
      </c>
      <c r="I66" t="s">
        <v>820</v>
      </c>
    </row>
    <row r="67" customHeight="1" spans="1:9">
      <c r="A67" t="s">
        <v>2412</v>
      </c>
      <c r="B67" t="s">
        <v>16</v>
      </c>
      <c r="C67" t="s">
        <v>2660</v>
      </c>
      <c r="D67" t="s">
        <v>2661</v>
      </c>
      <c r="E67" t="s">
        <v>2662</v>
      </c>
      <c r="F67" t="s">
        <v>2495</v>
      </c>
      <c r="G67" t="s">
        <v>22</v>
      </c>
      <c r="H67" t="s">
        <v>22</v>
      </c>
      <c r="I67" t="s">
        <v>820</v>
      </c>
    </row>
    <row r="68" customHeight="1" spans="1:9">
      <c r="A68" t="s">
        <v>2412</v>
      </c>
      <c r="B68" t="s">
        <v>16</v>
      </c>
      <c r="C68" t="s">
        <v>2663</v>
      </c>
      <c r="D68" t="s">
        <v>2664</v>
      </c>
      <c r="E68" t="s">
        <v>2665</v>
      </c>
      <c r="F68" t="s">
        <v>2666</v>
      </c>
      <c r="G68" t="s">
        <v>22</v>
      </c>
      <c r="H68" t="s">
        <v>22</v>
      </c>
      <c r="I68" t="s">
        <v>820</v>
      </c>
    </row>
    <row r="69" customHeight="1" spans="1:9">
      <c r="A69" t="s">
        <v>2412</v>
      </c>
      <c r="B69" t="s">
        <v>16</v>
      </c>
      <c r="C69" t="s">
        <v>2667</v>
      </c>
      <c r="D69" t="s">
        <v>2668</v>
      </c>
      <c r="E69" t="s">
        <v>2669</v>
      </c>
      <c r="F69" t="s">
        <v>2670</v>
      </c>
      <c r="G69" t="s">
        <v>22</v>
      </c>
      <c r="H69" t="s">
        <v>22</v>
      </c>
      <c r="I69" t="s">
        <v>820</v>
      </c>
    </row>
    <row r="70" customHeight="1" spans="1:9">
      <c r="A70" t="s">
        <v>2412</v>
      </c>
      <c r="B70" t="s">
        <v>16</v>
      </c>
      <c r="C70" t="s">
        <v>2671</v>
      </c>
      <c r="D70" t="s">
        <v>2672</v>
      </c>
      <c r="E70" t="s">
        <v>2673</v>
      </c>
      <c r="F70" t="s">
        <v>2674</v>
      </c>
      <c r="G70" t="s">
        <v>22</v>
      </c>
      <c r="H70" t="s">
        <v>22</v>
      </c>
      <c r="I70" t="s">
        <v>820</v>
      </c>
    </row>
    <row r="71" customHeight="1" spans="1:9">
      <c r="A71" t="s">
        <v>2412</v>
      </c>
      <c r="B71" t="s">
        <v>16</v>
      </c>
      <c r="C71" t="s">
        <v>2675</v>
      </c>
      <c r="D71" t="s">
        <v>2676</v>
      </c>
      <c r="E71" t="s">
        <v>2677</v>
      </c>
      <c r="F71" t="s">
        <v>2678</v>
      </c>
      <c r="G71" t="s">
        <v>22</v>
      </c>
      <c r="H71" t="s">
        <v>22</v>
      </c>
      <c r="I71" t="s">
        <v>820</v>
      </c>
    </row>
    <row r="72" customHeight="1" spans="1:9">
      <c r="A72" t="s">
        <v>2412</v>
      </c>
      <c r="B72" t="s">
        <v>16</v>
      </c>
      <c r="C72" t="s">
        <v>2679</v>
      </c>
      <c r="D72" t="s">
        <v>2680</v>
      </c>
      <c r="E72" t="s">
        <v>2681</v>
      </c>
      <c r="F72" t="s">
        <v>2624</v>
      </c>
      <c r="G72" t="s">
        <v>22</v>
      </c>
      <c r="H72" t="s">
        <v>22</v>
      </c>
      <c r="I72" t="s">
        <v>820</v>
      </c>
    </row>
    <row r="73" customHeight="1" spans="1:9">
      <c r="A73" t="s">
        <v>2412</v>
      </c>
      <c r="B73" t="s">
        <v>16</v>
      </c>
      <c r="C73" t="s">
        <v>2682</v>
      </c>
      <c r="D73" t="s">
        <v>2683</v>
      </c>
      <c r="E73" t="s">
        <v>2684</v>
      </c>
      <c r="F73" t="s">
        <v>2685</v>
      </c>
      <c r="G73" t="s">
        <v>22</v>
      </c>
      <c r="H73" t="s">
        <v>22</v>
      </c>
      <c r="I73" t="s">
        <v>820</v>
      </c>
    </row>
    <row r="74" customHeight="1" spans="1:9">
      <c r="A74" t="s">
        <v>2412</v>
      </c>
      <c r="B74" t="s">
        <v>16</v>
      </c>
      <c r="C74" t="s">
        <v>2686</v>
      </c>
      <c r="D74" t="s">
        <v>2687</v>
      </c>
      <c r="E74" t="s">
        <v>2688</v>
      </c>
      <c r="F74" t="s">
        <v>2495</v>
      </c>
      <c r="G74" t="s">
        <v>22</v>
      </c>
      <c r="H74" t="s">
        <v>22</v>
      </c>
      <c r="I74" t="s">
        <v>820</v>
      </c>
    </row>
    <row r="75" customHeight="1" spans="1:9">
      <c r="A75" t="s">
        <v>2412</v>
      </c>
      <c r="B75" t="s">
        <v>16</v>
      </c>
      <c r="C75" t="s">
        <v>2689</v>
      </c>
      <c r="D75" t="s">
        <v>2690</v>
      </c>
      <c r="E75" t="s">
        <v>2691</v>
      </c>
      <c r="F75" t="s">
        <v>2692</v>
      </c>
      <c r="G75" t="s">
        <v>22</v>
      </c>
      <c r="H75" t="s">
        <v>22</v>
      </c>
      <c r="I75" t="s">
        <v>820</v>
      </c>
    </row>
    <row r="76" customHeight="1" spans="1:9">
      <c r="A76" t="s">
        <v>2412</v>
      </c>
      <c r="B76" t="s">
        <v>16</v>
      </c>
      <c r="C76" t="s">
        <v>2693</v>
      </c>
      <c r="D76" t="s">
        <v>2694</v>
      </c>
      <c r="E76" t="s">
        <v>2695</v>
      </c>
      <c r="F76" t="s">
        <v>2603</v>
      </c>
      <c r="G76" t="s">
        <v>22</v>
      </c>
      <c r="H76" t="s">
        <v>22</v>
      </c>
      <c r="I76" t="s">
        <v>820</v>
      </c>
    </row>
    <row r="77" customHeight="1" spans="1:9">
      <c r="A77" t="s">
        <v>2412</v>
      </c>
      <c r="B77" t="s">
        <v>16</v>
      </c>
      <c r="C77" t="s">
        <v>2696</v>
      </c>
      <c r="D77" t="s">
        <v>2697</v>
      </c>
      <c r="E77" t="s">
        <v>2698</v>
      </c>
      <c r="F77" t="s">
        <v>2464</v>
      </c>
      <c r="G77" t="s">
        <v>22</v>
      </c>
      <c r="H77" t="s">
        <v>22</v>
      </c>
      <c r="I77" t="s">
        <v>820</v>
      </c>
    </row>
    <row r="78" customHeight="1" spans="1:9">
      <c r="A78" t="s">
        <v>2412</v>
      </c>
      <c r="B78" t="s">
        <v>16</v>
      </c>
      <c r="C78" t="s">
        <v>2699</v>
      </c>
      <c r="D78" t="s">
        <v>2700</v>
      </c>
      <c r="E78" t="s">
        <v>2701</v>
      </c>
      <c r="F78" t="s">
        <v>2509</v>
      </c>
      <c r="G78" t="s">
        <v>22</v>
      </c>
      <c r="H78" t="s">
        <v>22</v>
      </c>
      <c r="I78" t="s">
        <v>820</v>
      </c>
    </row>
    <row r="79" customHeight="1" spans="1:9">
      <c r="A79" t="s">
        <v>2412</v>
      </c>
      <c r="B79" t="s">
        <v>16</v>
      </c>
      <c r="C79" t="s">
        <v>2702</v>
      </c>
      <c r="D79" t="s">
        <v>2703</v>
      </c>
      <c r="E79" t="s">
        <v>2704</v>
      </c>
      <c r="F79" t="s">
        <v>2705</v>
      </c>
      <c r="G79" t="s">
        <v>2706</v>
      </c>
      <c r="H79" t="s">
        <v>22</v>
      </c>
      <c r="I79" t="s">
        <v>820</v>
      </c>
    </row>
    <row r="80" customHeight="1" spans="1:9">
      <c r="A80" t="s">
        <v>2412</v>
      </c>
      <c r="B80" t="s">
        <v>16</v>
      </c>
      <c r="C80" t="s">
        <v>2707</v>
      </c>
      <c r="D80" t="s">
        <v>2708</v>
      </c>
      <c r="E80" t="s">
        <v>2709</v>
      </c>
      <c r="F80" t="s">
        <v>2451</v>
      </c>
      <c r="G80" t="s">
        <v>22</v>
      </c>
      <c r="H80" t="s">
        <v>22</v>
      </c>
      <c r="I80" t="s">
        <v>820</v>
      </c>
    </row>
    <row r="81" customHeight="1" spans="1:9">
      <c r="A81" t="s">
        <v>2412</v>
      </c>
      <c r="B81" t="s">
        <v>16</v>
      </c>
      <c r="C81" t="s">
        <v>2710</v>
      </c>
      <c r="D81" t="s">
        <v>2711</v>
      </c>
      <c r="E81" t="s">
        <v>2712</v>
      </c>
      <c r="F81" t="s">
        <v>2416</v>
      </c>
      <c r="G81" t="s">
        <v>22</v>
      </c>
      <c r="H81" t="s">
        <v>22</v>
      </c>
      <c r="I81" t="s">
        <v>820</v>
      </c>
    </row>
    <row r="82" customHeight="1" spans="1:9">
      <c r="A82" t="s">
        <v>2412</v>
      </c>
      <c r="B82" t="s">
        <v>16</v>
      </c>
      <c r="C82" t="s">
        <v>2713</v>
      </c>
      <c r="D82" t="s">
        <v>2714</v>
      </c>
      <c r="E82" t="s">
        <v>2715</v>
      </c>
      <c r="F82" t="s">
        <v>2416</v>
      </c>
      <c r="G82" t="s">
        <v>2716</v>
      </c>
      <c r="H82" t="s">
        <v>22</v>
      </c>
      <c r="I82" t="s">
        <v>820</v>
      </c>
    </row>
    <row r="83" customHeight="1" spans="1:9">
      <c r="A83" t="s">
        <v>2412</v>
      </c>
      <c r="B83" t="s">
        <v>16</v>
      </c>
      <c r="C83" t="s">
        <v>2717</v>
      </c>
      <c r="D83" t="s">
        <v>2718</v>
      </c>
      <c r="E83" t="s">
        <v>2719</v>
      </c>
      <c r="F83" t="s">
        <v>2720</v>
      </c>
      <c r="G83" t="s">
        <v>22</v>
      </c>
      <c r="H83" t="s">
        <v>22</v>
      </c>
      <c r="I83" t="s">
        <v>820</v>
      </c>
    </row>
    <row r="84" customHeight="1" spans="1:9">
      <c r="A84" t="s">
        <v>2412</v>
      </c>
      <c r="B84" t="s">
        <v>16</v>
      </c>
      <c r="C84" t="s">
        <v>2721</v>
      </c>
      <c r="D84" t="s">
        <v>2722</v>
      </c>
      <c r="E84" t="s">
        <v>2723</v>
      </c>
      <c r="F84" t="s">
        <v>2724</v>
      </c>
      <c r="G84" t="s">
        <v>22</v>
      </c>
      <c r="H84" t="s">
        <v>22</v>
      </c>
      <c r="I84" t="s">
        <v>820</v>
      </c>
    </row>
    <row r="85" customHeight="1" spans="1:9">
      <c r="A85" t="s">
        <v>2412</v>
      </c>
      <c r="B85" t="s">
        <v>16</v>
      </c>
      <c r="C85" t="s">
        <v>2725</v>
      </c>
      <c r="D85" t="s">
        <v>2726</v>
      </c>
      <c r="E85" t="s">
        <v>2727</v>
      </c>
      <c r="F85" t="s">
        <v>2720</v>
      </c>
      <c r="G85" t="s">
        <v>2728</v>
      </c>
      <c r="H85" t="s">
        <v>22</v>
      </c>
      <c r="I85" t="s">
        <v>820</v>
      </c>
    </row>
    <row r="86" customHeight="1" spans="1:9">
      <c r="A86" t="s">
        <v>2412</v>
      </c>
      <c r="B86" t="s">
        <v>16</v>
      </c>
      <c r="C86" t="s">
        <v>2729</v>
      </c>
      <c r="D86" t="s">
        <v>2730</v>
      </c>
      <c r="E86" t="s">
        <v>2731</v>
      </c>
      <c r="F86" t="s">
        <v>2678</v>
      </c>
      <c r="G86" t="s">
        <v>2732</v>
      </c>
      <c r="H86" t="s">
        <v>22</v>
      </c>
      <c r="I86" t="s">
        <v>820</v>
      </c>
    </row>
    <row r="87" customHeight="1" spans="1:9">
      <c r="A87" t="s">
        <v>2412</v>
      </c>
      <c r="B87" t="s">
        <v>16</v>
      </c>
      <c r="C87" t="s">
        <v>2733</v>
      </c>
      <c r="D87" t="s">
        <v>2734</v>
      </c>
      <c r="E87" t="s">
        <v>2735</v>
      </c>
      <c r="F87" t="s">
        <v>2692</v>
      </c>
      <c r="G87" t="s">
        <v>2736</v>
      </c>
      <c r="H87" t="s">
        <v>22</v>
      </c>
      <c r="I87" t="s">
        <v>820</v>
      </c>
    </row>
    <row r="88" customHeight="1" spans="1:9">
      <c r="A88" t="s">
        <v>2412</v>
      </c>
      <c r="B88" t="s">
        <v>16</v>
      </c>
      <c r="C88" t="s">
        <v>2737</v>
      </c>
      <c r="D88" t="s">
        <v>2738</v>
      </c>
      <c r="E88" t="s">
        <v>2739</v>
      </c>
      <c r="F88" t="s">
        <v>2520</v>
      </c>
      <c r="G88" t="s">
        <v>2740</v>
      </c>
      <c r="H88" t="s">
        <v>22</v>
      </c>
      <c r="I88" t="s">
        <v>820</v>
      </c>
    </row>
    <row r="89" customHeight="1" spans="1:9">
      <c r="A89" t="s">
        <v>2412</v>
      </c>
      <c r="B89" t="s">
        <v>16</v>
      </c>
      <c r="C89" t="s">
        <v>2741</v>
      </c>
      <c r="D89" t="s">
        <v>2742</v>
      </c>
      <c r="E89" t="s">
        <v>2743</v>
      </c>
      <c r="F89" t="s">
        <v>2520</v>
      </c>
      <c r="G89" t="s">
        <v>2744</v>
      </c>
      <c r="H89" t="s">
        <v>22</v>
      </c>
      <c r="I89" t="s">
        <v>820</v>
      </c>
    </row>
    <row r="90" customHeight="1" spans="1:9">
      <c r="A90" t="s">
        <v>2412</v>
      </c>
      <c r="B90" t="s">
        <v>16</v>
      </c>
      <c r="C90" t="s">
        <v>2745</v>
      </c>
      <c r="D90" t="s">
        <v>2746</v>
      </c>
      <c r="E90" t="s">
        <v>2747</v>
      </c>
      <c r="F90" t="s">
        <v>2692</v>
      </c>
      <c r="G90" t="s">
        <v>2748</v>
      </c>
      <c r="H90" t="s">
        <v>22</v>
      </c>
      <c r="I90" t="s">
        <v>820</v>
      </c>
    </row>
    <row r="91" customHeight="1" spans="1:9">
      <c r="A91" t="s">
        <v>2412</v>
      </c>
      <c r="B91" t="s">
        <v>16</v>
      </c>
      <c r="C91" t="s">
        <v>2749</v>
      </c>
      <c r="D91" t="s">
        <v>2750</v>
      </c>
      <c r="E91" t="s">
        <v>2751</v>
      </c>
      <c r="F91" t="s">
        <v>2752</v>
      </c>
      <c r="G91" t="s">
        <v>22</v>
      </c>
      <c r="H91" t="s">
        <v>22</v>
      </c>
      <c r="I91" t="s">
        <v>820</v>
      </c>
    </row>
    <row r="92" customHeight="1" spans="1:9">
      <c r="A92" t="s">
        <v>2412</v>
      </c>
      <c r="B92" t="s">
        <v>16</v>
      </c>
      <c r="C92" t="s">
        <v>2753</v>
      </c>
      <c r="D92" t="s">
        <v>2754</v>
      </c>
      <c r="E92" t="s">
        <v>2755</v>
      </c>
      <c r="F92" t="s">
        <v>2685</v>
      </c>
      <c r="G92" t="s">
        <v>2452</v>
      </c>
      <c r="H92" t="s">
        <v>22</v>
      </c>
      <c r="I92" t="s">
        <v>820</v>
      </c>
    </row>
    <row r="93" customHeight="1" spans="1:9">
      <c r="A93" t="s">
        <v>2412</v>
      </c>
      <c r="B93" t="s">
        <v>16</v>
      </c>
      <c r="C93" t="s">
        <v>2756</v>
      </c>
      <c r="D93" t="s">
        <v>2757</v>
      </c>
      <c r="E93" t="s">
        <v>2758</v>
      </c>
      <c r="F93" t="s">
        <v>2459</v>
      </c>
      <c r="G93" t="s">
        <v>22</v>
      </c>
      <c r="H93" t="s">
        <v>22</v>
      </c>
      <c r="I93" t="s">
        <v>820</v>
      </c>
    </row>
    <row r="94" customHeight="1" spans="1:9">
      <c r="A94" t="s">
        <v>2412</v>
      </c>
      <c r="B94" t="s">
        <v>16</v>
      </c>
      <c r="C94" t="s">
        <v>2759</v>
      </c>
      <c r="D94" t="s">
        <v>2760</v>
      </c>
      <c r="E94" t="s">
        <v>2761</v>
      </c>
      <c r="F94" t="s">
        <v>2616</v>
      </c>
      <c r="G94" t="s">
        <v>22</v>
      </c>
      <c r="H94" t="s">
        <v>22</v>
      </c>
      <c r="I94" t="s">
        <v>820</v>
      </c>
    </row>
    <row r="95" customHeight="1" spans="1:9">
      <c r="A95" t="s">
        <v>2412</v>
      </c>
      <c r="B95" t="s">
        <v>16</v>
      </c>
      <c r="C95" t="s">
        <v>2762</v>
      </c>
      <c r="D95" t="s">
        <v>2763</v>
      </c>
      <c r="E95" t="s">
        <v>2764</v>
      </c>
      <c r="F95" t="s">
        <v>2724</v>
      </c>
      <c r="G95" t="s">
        <v>2765</v>
      </c>
      <c r="H95" t="s">
        <v>22</v>
      </c>
      <c r="I95" t="s">
        <v>820</v>
      </c>
    </row>
    <row r="96" customHeight="1" spans="1:9">
      <c r="A96" t="s">
        <v>2412</v>
      </c>
      <c r="B96" t="s">
        <v>16</v>
      </c>
      <c r="C96" t="s">
        <v>2766</v>
      </c>
      <c r="D96" t="s">
        <v>2763</v>
      </c>
      <c r="E96" t="s">
        <v>2767</v>
      </c>
      <c r="F96" t="s">
        <v>51</v>
      </c>
      <c r="G96" t="s">
        <v>22</v>
      </c>
      <c r="H96" t="s">
        <v>22</v>
      </c>
      <c r="I96" t="s">
        <v>820</v>
      </c>
    </row>
    <row r="97" customHeight="1" spans="1:9">
      <c r="A97" t="s">
        <v>2412</v>
      </c>
      <c r="B97" t="s">
        <v>16</v>
      </c>
      <c r="C97" t="s">
        <v>2768</v>
      </c>
      <c r="D97" t="s">
        <v>2769</v>
      </c>
      <c r="E97" t="s">
        <v>2770</v>
      </c>
      <c r="F97" t="s">
        <v>2771</v>
      </c>
      <c r="G97" t="s">
        <v>22</v>
      </c>
      <c r="H97" t="s">
        <v>22</v>
      </c>
      <c r="I97" t="s">
        <v>820</v>
      </c>
    </row>
    <row r="98" customHeight="1" spans="1:9">
      <c r="A98" t="s">
        <v>2412</v>
      </c>
      <c r="B98" t="s">
        <v>16</v>
      </c>
      <c r="C98" t="s">
        <v>2772</v>
      </c>
      <c r="D98" t="s">
        <v>2773</v>
      </c>
      <c r="E98" t="s">
        <v>2774</v>
      </c>
      <c r="F98" t="s">
        <v>2464</v>
      </c>
      <c r="G98" t="s">
        <v>22</v>
      </c>
      <c r="H98" t="s">
        <v>22</v>
      </c>
      <c r="I98" t="s">
        <v>820</v>
      </c>
    </row>
    <row r="99" customHeight="1" spans="1:9">
      <c r="A99" t="s">
        <v>2412</v>
      </c>
      <c r="B99" t="s">
        <v>16</v>
      </c>
      <c r="C99" t="s">
        <v>2775</v>
      </c>
      <c r="D99" t="s">
        <v>2776</v>
      </c>
      <c r="E99" t="s">
        <v>2777</v>
      </c>
      <c r="F99" t="s">
        <v>2778</v>
      </c>
      <c r="G99" t="s">
        <v>22</v>
      </c>
      <c r="H99" t="s">
        <v>22</v>
      </c>
      <c r="I99" t="s">
        <v>820</v>
      </c>
    </row>
    <row r="100" customHeight="1" spans="1:9">
      <c r="A100" t="s">
        <v>2412</v>
      </c>
      <c r="B100" t="s">
        <v>16</v>
      </c>
      <c r="C100" t="s">
        <v>2779</v>
      </c>
      <c r="D100" t="s">
        <v>2780</v>
      </c>
      <c r="E100" t="s">
        <v>2781</v>
      </c>
      <c r="F100" t="s">
        <v>2782</v>
      </c>
      <c r="G100" t="s">
        <v>2783</v>
      </c>
      <c r="H100" t="s">
        <v>22</v>
      </c>
      <c r="I100" t="s">
        <v>820</v>
      </c>
    </row>
    <row r="101" customHeight="1" spans="1:9">
      <c r="A101" t="s">
        <v>2412</v>
      </c>
      <c r="B101" t="s">
        <v>16</v>
      </c>
      <c r="C101" t="s">
        <v>2784</v>
      </c>
      <c r="D101" t="s">
        <v>2785</v>
      </c>
      <c r="E101" t="s">
        <v>2786</v>
      </c>
      <c r="F101" t="s">
        <v>2692</v>
      </c>
      <c r="G101" t="s">
        <v>22</v>
      </c>
      <c r="H101" t="s">
        <v>22</v>
      </c>
      <c r="I101" t="s">
        <v>820</v>
      </c>
    </row>
    <row r="102" customHeight="1" spans="1:9">
      <c r="A102" t="s">
        <v>2412</v>
      </c>
      <c r="B102" t="s">
        <v>16</v>
      </c>
      <c r="C102" t="s">
        <v>2787</v>
      </c>
      <c r="D102" t="s">
        <v>2788</v>
      </c>
      <c r="E102" t="s">
        <v>2789</v>
      </c>
      <c r="F102" t="s">
        <v>2473</v>
      </c>
      <c r="G102" t="s">
        <v>2790</v>
      </c>
      <c r="H102" t="s">
        <v>22</v>
      </c>
      <c r="I102" t="s">
        <v>820</v>
      </c>
    </row>
    <row r="103" customHeight="1" spans="1:9">
      <c r="A103" t="s">
        <v>2412</v>
      </c>
      <c r="B103" t="s">
        <v>16</v>
      </c>
      <c r="C103" t="s">
        <v>2791</v>
      </c>
      <c r="D103" t="s">
        <v>2792</v>
      </c>
      <c r="E103" t="s">
        <v>2793</v>
      </c>
      <c r="F103" t="s">
        <v>2420</v>
      </c>
      <c r="G103" t="s">
        <v>2794</v>
      </c>
      <c r="H103" t="s">
        <v>22</v>
      </c>
      <c r="I103" t="s">
        <v>820</v>
      </c>
    </row>
    <row r="104" customHeight="1" spans="1:9">
      <c r="A104" t="s">
        <v>2412</v>
      </c>
      <c r="B104" t="s">
        <v>16</v>
      </c>
      <c r="C104" t="s">
        <v>2795</v>
      </c>
      <c r="D104" t="s">
        <v>2796</v>
      </c>
      <c r="E104" t="s">
        <v>2797</v>
      </c>
      <c r="F104" t="s">
        <v>2724</v>
      </c>
      <c r="G104" t="s">
        <v>22</v>
      </c>
      <c r="H104" t="s">
        <v>22</v>
      </c>
      <c r="I104" t="s">
        <v>820</v>
      </c>
    </row>
    <row r="105" customHeight="1" spans="1:9">
      <c r="A105" t="s">
        <v>2412</v>
      </c>
      <c r="B105" t="s">
        <v>16</v>
      </c>
      <c r="C105" t="s">
        <v>2798</v>
      </c>
      <c r="D105" t="s">
        <v>2799</v>
      </c>
      <c r="E105" t="s">
        <v>2800</v>
      </c>
      <c r="F105" t="s">
        <v>2685</v>
      </c>
      <c r="G105" t="s">
        <v>22</v>
      </c>
      <c r="H105" t="s">
        <v>22</v>
      </c>
      <c r="I105" t="s">
        <v>820</v>
      </c>
    </row>
    <row r="106" customHeight="1" spans="1:9">
      <c r="A106" t="s">
        <v>2412</v>
      </c>
      <c r="B106" t="s">
        <v>16</v>
      </c>
      <c r="C106" t="s">
        <v>2801</v>
      </c>
      <c r="D106" t="s">
        <v>2802</v>
      </c>
      <c r="E106" t="s">
        <v>2803</v>
      </c>
      <c r="F106" t="s">
        <v>2804</v>
      </c>
      <c r="G106" t="s">
        <v>22</v>
      </c>
      <c r="H106" t="s">
        <v>22</v>
      </c>
      <c r="I106" t="s">
        <v>820</v>
      </c>
    </row>
    <row r="107" customHeight="1" spans="1:9">
      <c r="A107" t="s">
        <v>2412</v>
      </c>
      <c r="B107" t="s">
        <v>16</v>
      </c>
      <c r="C107" t="s">
        <v>2805</v>
      </c>
      <c r="D107" t="s">
        <v>2806</v>
      </c>
      <c r="E107" t="s">
        <v>2803</v>
      </c>
      <c r="F107" t="s">
        <v>2588</v>
      </c>
      <c r="G107" t="s">
        <v>22</v>
      </c>
      <c r="H107" t="s">
        <v>22</v>
      </c>
      <c r="I107" t="s">
        <v>820</v>
      </c>
    </row>
    <row r="108" customHeight="1" spans="1:9">
      <c r="A108" t="s">
        <v>2412</v>
      </c>
      <c r="B108" t="s">
        <v>16</v>
      </c>
      <c r="C108" t="s">
        <v>2807</v>
      </c>
      <c r="D108" t="s">
        <v>2808</v>
      </c>
      <c r="E108" t="s">
        <v>2803</v>
      </c>
      <c r="F108" t="s">
        <v>2809</v>
      </c>
      <c r="G108" t="s">
        <v>22</v>
      </c>
      <c r="H108" t="s">
        <v>22</v>
      </c>
      <c r="I108" t="s">
        <v>820</v>
      </c>
    </row>
    <row r="109" customHeight="1" spans="1:9">
      <c r="A109" t="s">
        <v>2412</v>
      </c>
      <c r="B109" t="s">
        <v>16</v>
      </c>
      <c r="C109" t="s">
        <v>2810</v>
      </c>
      <c r="D109" t="s">
        <v>2811</v>
      </c>
      <c r="E109" t="s">
        <v>2803</v>
      </c>
      <c r="F109" t="s">
        <v>2812</v>
      </c>
      <c r="G109" t="s">
        <v>22</v>
      </c>
      <c r="H109" t="s">
        <v>22</v>
      </c>
      <c r="I109" t="s">
        <v>820</v>
      </c>
    </row>
    <row r="110" customHeight="1" spans="1:9">
      <c r="A110" t="s">
        <v>2412</v>
      </c>
      <c r="B110" t="s">
        <v>16</v>
      </c>
      <c r="C110" t="s">
        <v>2813</v>
      </c>
      <c r="D110" t="s">
        <v>2814</v>
      </c>
      <c r="E110" t="s">
        <v>2803</v>
      </c>
      <c r="F110" t="s">
        <v>2815</v>
      </c>
      <c r="G110" t="s">
        <v>22</v>
      </c>
      <c r="H110" t="s">
        <v>22</v>
      </c>
      <c r="I110" t="s">
        <v>820</v>
      </c>
    </row>
    <row r="111" customHeight="1" spans="1:9">
      <c r="A111" t="s">
        <v>2412</v>
      </c>
      <c r="B111" t="s">
        <v>16</v>
      </c>
      <c r="C111" t="s">
        <v>2816</v>
      </c>
      <c r="D111" t="s">
        <v>2817</v>
      </c>
      <c r="E111" t="s">
        <v>2803</v>
      </c>
      <c r="F111" t="s">
        <v>2818</v>
      </c>
      <c r="G111" t="s">
        <v>22</v>
      </c>
      <c r="H111" t="s">
        <v>22</v>
      </c>
      <c r="I111" t="s">
        <v>820</v>
      </c>
    </row>
    <row r="112" customHeight="1" spans="1:9">
      <c r="A112" t="s">
        <v>2412</v>
      </c>
      <c r="B112" t="s">
        <v>16</v>
      </c>
      <c r="C112" t="s">
        <v>2819</v>
      </c>
      <c r="D112" t="s">
        <v>2820</v>
      </c>
      <c r="E112" t="s">
        <v>2803</v>
      </c>
      <c r="F112" t="s">
        <v>2821</v>
      </c>
      <c r="G112" t="s">
        <v>22</v>
      </c>
      <c r="H112" t="s">
        <v>22</v>
      </c>
      <c r="I112" t="s">
        <v>820</v>
      </c>
    </row>
    <row r="113" customHeight="1" spans="1:9">
      <c r="A113" t="s">
        <v>2412</v>
      </c>
      <c r="B113" t="s">
        <v>16</v>
      </c>
      <c r="C113" t="s">
        <v>2822</v>
      </c>
      <c r="D113" t="s">
        <v>2823</v>
      </c>
      <c r="E113" t="s">
        <v>2803</v>
      </c>
      <c r="F113" t="s">
        <v>2824</v>
      </c>
      <c r="G113" t="s">
        <v>22</v>
      </c>
      <c r="H113" t="s">
        <v>22</v>
      </c>
      <c r="I113" t="s">
        <v>820</v>
      </c>
    </row>
    <row r="114" customHeight="1" spans="1:9">
      <c r="A114" t="s">
        <v>2412</v>
      </c>
      <c r="B114" t="s">
        <v>16</v>
      </c>
      <c r="C114" t="s">
        <v>2825</v>
      </c>
      <c r="D114" t="s">
        <v>2826</v>
      </c>
      <c r="E114" t="s">
        <v>2827</v>
      </c>
      <c r="F114" t="s">
        <v>2828</v>
      </c>
      <c r="G114" t="s">
        <v>22</v>
      </c>
      <c r="H114" t="s">
        <v>22</v>
      </c>
      <c r="I114" t="s">
        <v>820</v>
      </c>
    </row>
    <row r="115" customHeight="1" spans="1:9">
      <c r="A115" t="s">
        <v>2412</v>
      </c>
      <c r="B115" t="s">
        <v>16</v>
      </c>
      <c r="C115" t="s">
        <v>2829</v>
      </c>
      <c r="D115" t="s">
        <v>2830</v>
      </c>
      <c r="E115" t="s">
        <v>2831</v>
      </c>
      <c r="F115" t="s">
        <v>2832</v>
      </c>
      <c r="G115" t="s">
        <v>22</v>
      </c>
      <c r="H115" t="s">
        <v>22</v>
      </c>
      <c r="I115" t="s">
        <v>820</v>
      </c>
    </row>
    <row r="116" customHeight="1" spans="1:9">
      <c r="A116" t="s">
        <v>2412</v>
      </c>
      <c r="B116" t="s">
        <v>16</v>
      </c>
      <c r="C116" t="s">
        <v>2833</v>
      </c>
      <c r="D116" t="s">
        <v>2834</v>
      </c>
      <c r="E116" t="s">
        <v>2835</v>
      </c>
      <c r="F116" t="s">
        <v>2527</v>
      </c>
      <c r="G116" t="s">
        <v>22</v>
      </c>
      <c r="H116" t="s">
        <v>22</v>
      </c>
      <c r="I116" t="s">
        <v>820</v>
      </c>
    </row>
    <row r="117" customHeight="1" spans="1:9">
      <c r="A117" t="s">
        <v>2412</v>
      </c>
      <c r="B117" t="s">
        <v>16</v>
      </c>
      <c r="C117" t="s">
        <v>2836</v>
      </c>
      <c r="D117" t="s">
        <v>2837</v>
      </c>
      <c r="E117" t="s">
        <v>2838</v>
      </c>
      <c r="F117" t="s">
        <v>2839</v>
      </c>
      <c r="G117" t="s">
        <v>2840</v>
      </c>
      <c r="H117" t="s">
        <v>22</v>
      </c>
      <c r="I117" t="s">
        <v>820</v>
      </c>
    </row>
    <row r="118" customHeight="1" spans="1:9">
      <c r="A118" t="s">
        <v>2412</v>
      </c>
      <c r="B118" t="s">
        <v>16</v>
      </c>
      <c r="C118" t="s">
        <v>2841</v>
      </c>
      <c r="D118" t="s">
        <v>2842</v>
      </c>
      <c r="E118" t="s">
        <v>2843</v>
      </c>
      <c r="F118" t="s">
        <v>2844</v>
      </c>
      <c r="G118" t="s">
        <v>2845</v>
      </c>
      <c r="H118" t="s">
        <v>22</v>
      </c>
      <c r="I118" t="s">
        <v>820</v>
      </c>
    </row>
    <row r="119" customHeight="1" spans="1:9">
      <c r="A119" t="s">
        <v>2412</v>
      </c>
      <c r="B119" t="s">
        <v>16</v>
      </c>
      <c r="C119" t="s">
        <v>2846</v>
      </c>
      <c r="D119" t="s">
        <v>2847</v>
      </c>
      <c r="E119" t="s">
        <v>2848</v>
      </c>
      <c r="F119" t="s">
        <v>2473</v>
      </c>
      <c r="G119" t="s">
        <v>2849</v>
      </c>
      <c r="H119" t="s">
        <v>22</v>
      </c>
      <c r="I119" t="s">
        <v>820</v>
      </c>
    </row>
    <row r="120" customHeight="1" spans="1:9">
      <c r="A120" t="s">
        <v>2412</v>
      </c>
      <c r="B120" t="s">
        <v>16</v>
      </c>
      <c r="C120" t="s">
        <v>2850</v>
      </c>
      <c r="D120" t="s">
        <v>2851</v>
      </c>
      <c r="E120" t="s">
        <v>2852</v>
      </c>
      <c r="F120" t="s">
        <v>2853</v>
      </c>
      <c r="G120" t="s">
        <v>2854</v>
      </c>
      <c r="H120" t="s">
        <v>22</v>
      </c>
      <c r="I120" t="s">
        <v>820</v>
      </c>
    </row>
    <row r="121" customHeight="1" spans="1:9">
      <c r="A121" t="s">
        <v>2412</v>
      </c>
      <c r="B121" t="s">
        <v>16</v>
      </c>
      <c r="C121" t="s">
        <v>2855</v>
      </c>
      <c r="D121" t="s">
        <v>2856</v>
      </c>
      <c r="E121" t="s">
        <v>2857</v>
      </c>
      <c r="F121" t="s">
        <v>2720</v>
      </c>
      <c r="G121" t="s">
        <v>22</v>
      </c>
      <c r="H121" t="s">
        <v>2858</v>
      </c>
      <c r="I121" t="s">
        <v>820</v>
      </c>
    </row>
    <row r="122" customHeight="1" spans="1:9">
      <c r="A122" t="s">
        <v>2412</v>
      </c>
      <c r="B122" t="s">
        <v>16</v>
      </c>
      <c r="C122" t="s">
        <v>2859</v>
      </c>
      <c r="D122" t="s">
        <v>2860</v>
      </c>
      <c r="E122" t="s">
        <v>2861</v>
      </c>
      <c r="F122" t="s">
        <v>2464</v>
      </c>
      <c r="G122" t="s">
        <v>22</v>
      </c>
      <c r="H122" t="s">
        <v>22</v>
      </c>
      <c r="I122" t="s">
        <v>820</v>
      </c>
    </row>
    <row r="123" customHeight="1" spans="1:9">
      <c r="A123" t="s">
        <v>2412</v>
      </c>
      <c r="B123" t="s">
        <v>16</v>
      </c>
      <c r="C123" t="s">
        <v>2862</v>
      </c>
      <c r="D123" t="s">
        <v>2863</v>
      </c>
      <c r="E123" t="s">
        <v>2864</v>
      </c>
      <c r="F123" t="s">
        <v>2464</v>
      </c>
      <c r="G123" t="s">
        <v>22</v>
      </c>
      <c r="H123" t="s">
        <v>22</v>
      </c>
      <c r="I123" t="s">
        <v>820</v>
      </c>
    </row>
    <row r="124" customHeight="1" spans="1:9">
      <c r="A124" t="s">
        <v>2412</v>
      </c>
      <c r="B124" t="s">
        <v>16</v>
      </c>
      <c r="C124" t="s">
        <v>2865</v>
      </c>
      <c r="D124" t="s">
        <v>2866</v>
      </c>
      <c r="E124" t="s">
        <v>2867</v>
      </c>
      <c r="F124" t="s">
        <v>2868</v>
      </c>
      <c r="G124" t="s">
        <v>22</v>
      </c>
      <c r="H124" t="s">
        <v>22</v>
      </c>
      <c r="I124" t="s">
        <v>820</v>
      </c>
    </row>
    <row r="125" customHeight="1" spans="1:9">
      <c r="A125" t="s">
        <v>2412</v>
      </c>
      <c r="B125" t="s">
        <v>16</v>
      </c>
      <c r="C125" t="s">
        <v>2869</v>
      </c>
      <c r="D125" t="s">
        <v>2870</v>
      </c>
      <c r="E125" t="s">
        <v>2871</v>
      </c>
      <c r="F125" t="s">
        <v>2535</v>
      </c>
      <c r="G125" t="s">
        <v>2872</v>
      </c>
      <c r="H125" t="s">
        <v>22</v>
      </c>
      <c r="I125" t="s">
        <v>820</v>
      </c>
    </row>
    <row r="126" customHeight="1" spans="1:9">
      <c r="A126" t="s">
        <v>2412</v>
      </c>
      <c r="B126" t="s">
        <v>16</v>
      </c>
      <c r="C126" t="s">
        <v>2873</v>
      </c>
      <c r="D126" t="s">
        <v>2874</v>
      </c>
      <c r="E126" t="s">
        <v>2875</v>
      </c>
      <c r="F126" t="s">
        <v>2527</v>
      </c>
      <c r="G126" t="s">
        <v>22</v>
      </c>
      <c r="H126" t="s">
        <v>22</v>
      </c>
      <c r="I126" t="s">
        <v>820</v>
      </c>
    </row>
    <row r="127" customHeight="1" spans="1:9">
      <c r="A127" t="s">
        <v>2412</v>
      </c>
      <c r="B127" t="s">
        <v>16</v>
      </c>
      <c r="C127" t="s">
        <v>2876</v>
      </c>
      <c r="D127" t="s">
        <v>2877</v>
      </c>
      <c r="E127" t="s">
        <v>2878</v>
      </c>
      <c r="F127" t="s">
        <v>2495</v>
      </c>
      <c r="G127" t="s">
        <v>2879</v>
      </c>
      <c r="H127" t="s">
        <v>22</v>
      </c>
      <c r="I127" t="s">
        <v>820</v>
      </c>
    </row>
    <row r="128" customHeight="1" spans="1:9">
      <c r="A128" t="s">
        <v>2412</v>
      </c>
      <c r="B128" t="s">
        <v>16</v>
      </c>
      <c r="C128" t="s">
        <v>2880</v>
      </c>
      <c r="D128" t="s">
        <v>2881</v>
      </c>
      <c r="E128" t="s">
        <v>2882</v>
      </c>
      <c r="F128" t="s">
        <v>2828</v>
      </c>
      <c r="G128" t="s">
        <v>22</v>
      </c>
      <c r="H128" t="s">
        <v>22</v>
      </c>
      <c r="I128" t="s">
        <v>820</v>
      </c>
    </row>
    <row r="129" customHeight="1" spans="1:9">
      <c r="A129" t="s">
        <v>2412</v>
      </c>
      <c r="B129" t="s">
        <v>16</v>
      </c>
      <c r="C129" t="s">
        <v>2883</v>
      </c>
      <c r="D129" t="s">
        <v>2884</v>
      </c>
      <c r="E129" t="s">
        <v>2885</v>
      </c>
      <c r="F129" t="s">
        <v>2868</v>
      </c>
      <c r="G129" t="s">
        <v>22</v>
      </c>
      <c r="H129" t="s">
        <v>22</v>
      </c>
      <c r="I129" t="s">
        <v>820</v>
      </c>
    </row>
    <row r="130" customHeight="1" spans="1:9">
      <c r="A130" t="s">
        <v>2412</v>
      </c>
      <c r="B130" t="s">
        <v>16</v>
      </c>
      <c r="C130" t="s">
        <v>2886</v>
      </c>
      <c r="D130" t="s">
        <v>2887</v>
      </c>
      <c r="E130" t="s">
        <v>2888</v>
      </c>
      <c r="F130" t="s">
        <v>2889</v>
      </c>
      <c r="G130" t="s">
        <v>22</v>
      </c>
      <c r="H130" t="s">
        <v>22</v>
      </c>
      <c r="I130" t="s">
        <v>820</v>
      </c>
    </row>
    <row r="131" customHeight="1" spans="1:9">
      <c r="A131" t="s">
        <v>2412</v>
      </c>
      <c r="B131" t="s">
        <v>16</v>
      </c>
      <c r="C131" t="s">
        <v>2890</v>
      </c>
      <c r="D131" t="s">
        <v>2891</v>
      </c>
      <c r="E131" t="s">
        <v>2892</v>
      </c>
      <c r="F131" t="s">
        <v>2495</v>
      </c>
      <c r="G131" t="s">
        <v>22</v>
      </c>
      <c r="H131" t="s">
        <v>2893</v>
      </c>
      <c r="I131" t="s">
        <v>820</v>
      </c>
    </row>
    <row r="132" customHeight="1" spans="1:9">
      <c r="A132" t="s">
        <v>2412</v>
      </c>
      <c r="B132" t="s">
        <v>16</v>
      </c>
      <c r="C132" t="s">
        <v>2894</v>
      </c>
      <c r="D132" t="s">
        <v>2895</v>
      </c>
      <c r="E132" t="s">
        <v>2896</v>
      </c>
      <c r="F132" t="s">
        <v>2678</v>
      </c>
      <c r="G132" t="s">
        <v>22</v>
      </c>
      <c r="H132" t="s">
        <v>22</v>
      </c>
      <c r="I132" t="s">
        <v>820</v>
      </c>
    </row>
    <row r="133" customHeight="1" spans="1:9">
      <c r="A133" t="s">
        <v>2412</v>
      </c>
      <c r="B133" t="s">
        <v>16</v>
      </c>
      <c r="C133" t="s">
        <v>2897</v>
      </c>
      <c r="D133" t="s">
        <v>2898</v>
      </c>
      <c r="E133" t="s">
        <v>2899</v>
      </c>
      <c r="F133" t="s">
        <v>2900</v>
      </c>
      <c r="G133" t="s">
        <v>22</v>
      </c>
      <c r="H133" t="s">
        <v>22</v>
      </c>
      <c r="I133" t="s">
        <v>820</v>
      </c>
    </row>
    <row r="134" customHeight="1" spans="1:9">
      <c r="A134" t="s">
        <v>2412</v>
      </c>
      <c r="B134" t="s">
        <v>16</v>
      </c>
      <c r="C134" t="s">
        <v>2901</v>
      </c>
      <c r="D134" t="s">
        <v>2902</v>
      </c>
      <c r="E134" t="s">
        <v>2903</v>
      </c>
      <c r="F134" t="s">
        <v>2828</v>
      </c>
      <c r="G134" t="s">
        <v>22</v>
      </c>
      <c r="H134" t="s">
        <v>22</v>
      </c>
      <c r="I134" t="s">
        <v>820</v>
      </c>
    </row>
    <row r="135" customHeight="1" spans="1:9">
      <c r="A135" t="s">
        <v>2412</v>
      </c>
      <c r="B135" t="s">
        <v>16</v>
      </c>
      <c r="C135" t="s">
        <v>2904</v>
      </c>
      <c r="D135" t="s">
        <v>2905</v>
      </c>
      <c r="E135" t="s">
        <v>2906</v>
      </c>
      <c r="F135" t="s">
        <v>2666</v>
      </c>
      <c r="G135" t="s">
        <v>22</v>
      </c>
      <c r="H135" t="s">
        <v>22</v>
      </c>
      <c r="I135" t="s">
        <v>820</v>
      </c>
    </row>
    <row r="136" customHeight="1" spans="1:9">
      <c r="A136" t="s">
        <v>2412</v>
      </c>
      <c r="B136" t="s">
        <v>16</v>
      </c>
      <c r="C136" t="s">
        <v>2907</v>
      </c>
      <c r="D136" t="s">
        <v>2908</v>
      </c>
      <c r="E136" t="s">
        <v>2909</v>
      </c>
      <c r="F136" t="s">
        <v>2473</v>
      </c>
      <c r="G136" t="s">
        <v>22</v>
      </c>
      <c r="H136" t="s">
        <v>22</v>
      </c>
      <c r="I136" t="s">
        <v>820</v>
      </c>
    </row>
    <row r="137" customHeight="1" spans="1:9">
      <c r="A137" t="s">
        <v>2412</v>
      </c>
      <c r="B137" t="s">
        <v>16</v>
      </c>
      <c r="C137" t="s">
        <v>2910</v>
      </c>
      <c r="D137" t="s">
        <v>2911</v>
      </c>
      <c r="E137" t="s">
        <v>2912</v>
      </c>
      <c r="F137" t="s">
        <v>2509</v>
      </c>
      <c r="G137" t="s">
        <v>22</v>
      </c>
      <c r="H137" t="s">
        <v>22</v>
      </c>
      <c r="I137" t="s">
        <v>820</v>
      </c>
    </row>
    <row r="138" customHeight="1" spans="1:9">
      <c r="A138" t="s">
        <v>2412</v>
      </c>
      <c r="B138" t="s">
        <v>16</v>
      </c>
      <c r="C138" t="s">
        <v>2913</v>
      </c>
      <c r="D138" t="s">
        <v>2914</v>
      </c>
      <c r="E138" t="s">
        <v>2915</v>
      </c>
      <c r="F138" t="s">
        <v>2659</v>
      </c>
      <c r="G138" t="s">
        <v>22</v>
      </c>
      <c r="H138" t="s">
        <v>22</v>
      </c>
      <c r="I138" t="s">
        <v>820</v>
      </c>
    </row>
    <row r="139" customHeight="1" spans="1:9">
      <c r="A139" t="s">
        <v>2412</v>
      </c>
      <c r="B139" t="s">
        <v>16</v>
      </c>
      <c r="C139" t="s">
        <v>2916</v>
      </c>
      <c r="D139" t="s">
        <v>2917</v>
      </c>
      <c r="E139" t="s">
        <v>2918</v>
      </c>
      <c r="F139" t="s">
        <v>2919</v>
      </c>
      <c r="G139" t="s">
        <v>22</v>
      </c>
      <c r="H139" t="s">
        <v>22</v>
      </c>
      <c r="I139" t="s">
        <v>820</v>
      </c>
    </row>
    <row r="140" customHeight="1" spans="1:9">
      <c r="A140" t="s">
        <v>2412</v>
      </c>
      <c r="B140" t="s">
        <v>16</v>
      </c>
      <c r="C140" t="s">
        <v>2920</v>
      </c>
      <c r="D140" t="s">
        <v>2921</v>
      </c>
      <c r="E140" t="s">
        <v>2922</v>
      </c>
      <c r="F140" t="s">
        <v>2477</v>
      </c>
      <c r="G140" t="s">
        <v>22</v>
      </c>
      <c r="H140" t="s">
        <v>22</v>
      </c>
      <c r="I140" t="s">
        <v>820</v>
      </c>
    </row>
    <row r="141" customHeight="1" spans="1:9">
      <c r="A141" t="s">
        <v>2412</v>
      </c>
      <c r="B141" t="s">
        <v>16</v>
      </c>
      <c r="C141" t="s">
        <v>2923</v>
      </c>
      <c r="D141" t="s">
        <v>2924</v>
      </c>
      <c r="E141" t="s">
        <v>2925</v>
      </c>
      <c r="F141" t="s">
        <v>2495</v>
      </c>
      <c r="G141" t="s">
        <v>2926</v>
      </c>
      <c r="H141" t="s">
        <v>22</v>
      </c>
      <c r="I141" t="s">
        <v>820</v>
      </c>
    </row>
    <row r="142" customHeight="1" spans="1:9">
      <c r="A142" t="s">
        <v>2412</v>
      </c>
      <c r="B142" t="s">
        <v>16</v>
      </c>
      <c r="C142" t="s">
        <v>2927</v>
      </c>
      <c r="D142" t="s">
        <v>2928</v>
      </c>
      <c r="E142" t="s">
        <v>2929</v>
      </c>
      <c r="F142" t="s">
        <v>2930</v>
      </c>
      <c r="G142" t="s">
        <v>22</v>
      </c>
      <c r="H142" t="s">
        <v>22</v>
      </c>
      <c r="I142" t="s">
        <v>820</v>
      </c>
    </row>
    <row r="143" customHeight="1" spans="1:9">
      <c r="A143" t="s">
        <v>2412</v>
      </c>
      <c r="B143" t="s">
        <v>16</v>
      </c>
      <c r="C143" t="s">
        <v>2931</v>
      </c>
      <c r="D143" t="s">
        <v>2932</v>
      </c>
      <c r="E143" t="s">
        <v>2427</v>
      </c>
      <c r="F143" t="s">
        <v>2933</v>
      </c>
      <c r="G143" t="s">
        <v>22</v>
      </c>
      <c r="H143" t="s">
        <v>22</v>
      </c>
      <c r="I143" t="s">
        <v>820</v>
      </c>
    </row>
    <row r="144" customHeight="1" spans="1:9">
      <c r="A144" t="s">
        <v>2412</v>
      </c>
      <c r="B144" t="s">
        <v>16</v>
      </c>
      <c r="C144" t="s">
        <v>2934</v>
      </c>
      <c r="D144" t="s">
        <v>2935</v>
      </c>
      <c r="E144" t="s">
        <v>2936</v>
      </c>
      <c r="F144" t="s">
        <v>2464</v>
      </c>
      <c r="G144" t="s">
        <v>22</v>
      </c>
      <c r="H144" t="s">
        <v>22</v>
      </c>
      <c r="I144" t="s">
        <v>820</v>
      </c>
    </row>
    <row r="145" customHeight="1" spans="1:9">
      <c r="A145" t="s">
        <v>2412</v>
      </c>
      <c r="B145" t="s">
        <v>16</v>
      </c>
      <c r="C145" t="s">
        <v>2937</v>
      </c>
      <c r="D145" t="s">
        <v>2938</v>
      </c>
      <c r="E145" t="s">
        <v>2939</v>
      </c>
      <c r="F145" t="s">
        <v>2940</v>
      </c>
      <c r="G145" t="s">
        <v>22</v>
      </c>
      <c r="H145" t="s">
        <v>22</v>
      </c>
      <c r="I145" t="s">
        <v>820</v>
      </c>
    </row>
    <row r="146" customHeight="1" spans="1:9">
      <c r="A146" t="s">
        <v>2412</v>
      </c>
      <c r="B146" t="s">
        <v>16</v>
      </c>
      <c r="C146" t="s">
        <v>22</v>
      </c>
      <c r="D146" t="s">
        <v>2941</v>
      </c>
      <c r="E146" t="s">
        <v>2942</v>
      </c>
      <c r="F146" t="s">
        <v>2678</v>
      </c>
      <c r="G146" t="s">
        <v>22</v>
      </c>
      <c r="H146" t="s">
        <v>22</v>
      </c>
      <c r="I146" t="s">
        <v>820</v>
      </c>
    </row>
    <row r="147" customHeight="1" spans="1:9">
      <c r="A147" t="s">
        <v>2412</v>
      </c>
      <c r="B147" t="s">
        <v>16</v>
      </c>
      <c r="C147" t="s">
        <v>2943</v>
      </c>
      <c r="D147" t="s">
        <v>2944</v>
      </c>
      <c r="E147" t="s">
        <v>2945</v>
      </c>
      <c r="F147" t="s">
        <v>2946</v>
      </c>
      <c r="G147" t="s">
        <v>22</v>
      </c>
      <c r="H147" t="s">
        <v>22</v>
      </c>
      <c r="I147" t="s">
        <v>820</v>
      </c>
    </row>
    <row r="148" customHeight="1" spans="1:9">
      <c r="A148" t="s">
        <v>2412</v>
      </c>
      <c r="B148" t="s">
        <v>16</v>
      </c>
      <c r="C148" t="s">
        <v>2947</v>
      </c>
      <c r="D148" t="s">
        <v>2948</v>
      </c>
      <c r="E148" t="s">
        <v>2949</v>
      </c>
      <c r="F148" t="s">
        <v>2451</v>
      </c>
      <c r="G148" t="s">
        <v>22</v>
      </c>
      <c r="H148" t="s">
        <v>22</v>
      </c>
      <c r="I148" t="s">
        <v>820</v>
      </c>
    </row>
    <row r="149" customHeight="1" spans="1:9">
      <c r="A149" t="s">
        <v>2412</v>
      </c>
      <c r="B149" t="s">
        <v>16</v>
      </c>
      <c r="C149" t="s">
        <v>2950</v>
      </c>
      <c r="D149" t="s">
        <v>2951</v>
      </c>
      <c r="E149" t="s">
        <v>2945</v>
      </c>
      <c r="F149" t="s">
        <v>2952</v>
      </c>
      <c r="G149" t="s">
        <v>22</v>
      </c>
      <c r="H149" t="s">
        <v>22</v>
      </c>
      <c r="I149" t="s">
        <v>820</v>
      </c>
    </row>
    <row r="150" customHeight="1" spans="1:9">
      <c r="A150" t="s">
        <v>2412</v>
      </c>
      <c r="B150" t="s">
        <v>16</v>
      </c>
      <c r="C150" t="s">
        <v>2953</v>
      </c>
      <c r="D150" t="s">
        <v>2954</v>
      </c>
      <c r="E150" t="s">
        <v>2955</v>
      </c>
      <c r="F150" t="s">
        <v>2659</v>
      </c>
      <c r="G150" t="s">
        <v>22</v>
      </c>
      <c r="H150" t="s">
        <v>22</v>
      </c>
      <c r="I150" t="s">
        <v>820</v>
      </c>
    </row>
    <row r="151" customHeight="1" spans="1:9">
      <c r="A151" t="s">
        <v>2412</v>
      </c>
      <c r="B151" t="s">
        <v>16</v>
      </c>
      <c r="C151" t="s">
        <v>2956</v>
      </c>
      <c r="D151" t="s">
        <v>2957</v>
      </c>
      <c r="E151" t="s">
        <v>2958</v>
      </c>
      <c r="F151" t="s">
        <v>2959</v>
      </c>
      <c r="G151" t="s">
        <v>22</v>
      </c>
      <c r="H151" t="s">
        <v>22</v>
      </c>
      <c r="I151" t="s">
        <v>820</v>
      </c>
    </row>
    <row r="152" customHeight="1" spans="1:9">
      <c r="A152" t="s">
        <v>2412</v>
      </c>
      <c r="B152" t="s">
        <v>16</v>
      </c>
      <c r="C152" t="s">
        <v>2960</v>
      </c>
      <c r="D152" t="s">
        <v>2961</v>
      </c>
      <c r="E152" t="s">
        <v>2962</v>
      </c>
      <c r="F152" t="s">
        <v>2473</v>
      </c>
      <c r="G152" t="s">
        <v>22</v>
      </c>
      <c r="H152" t="s">
        <v>22</v>
      </c>
      <c r="I152" t="s">
        <v>820</v>
      </c>
    </row>
    <row r="153" customHeight="1" spans="1:9">
      <c r="A153" t="s">
        <v>2412</v>
      </c>
      <c r="B153" t="s">
        <v>16</v>
      </c>
      <c r="C153" t="s">
        <v>2963</v>
      </c>
      <c r="D153" t="s">
        <v>2964</v>
      </c>
      <c r="E153" t="s">
        <v>2965</v>
      </c>
      <c r="F153" t="s">
        <v>2666</v>
      </c>
      <c r="G153" t="s">
        <v>22</v>
      </c>
      <c r="H153" t="s">
        <v>22</v>
      </c>
      <c r="I153" t="s">
        <v>820</v>
      </c>
    </row>
    <row r="154" customHeight="1" spans="1:9">
      <c r="A154" t="s">
        <v>2412</v>
      </c>
      <c r="B154" t="s">
        <v>16</v>
      </c>
      <c r="C154" t="s">
        <v>2966</v>
      </c>
      <c r="D154" t="s">
        <v>2967</v>
      </c>
      <c r="E154" t="s">
        <v>2968</v>
      </c>
      <c r="F154" t="s">
        <v>2666</v>
      </c>
      <c r="G154" t="s">
        <v>22</v>
      </c>
      <c r="H154" t="s">
        <v>22</v>
      </c>
      <c r="I154" t="s">
        <v>820</v>
      </c>
    </row>
    <row r="155" customHeight="1" spans="1:9">
      <c r="A155" t="s">
        <v>2412</v>
      </c>
      <c r="B155" t="s">
        <v>16</v>
      </c>
      <c r="C155" t="s">
        <v>2969</v>
      </c>
      <c r="D155" t="s">
        <v>2970</v>
      </c>
      <c r="E155" t="s">
        <v>2971</v>
      </c>
      <c r="F155" t="s">
        <v>2972</v>
      </c>
      <c r="G155" t="s">
        <v>22</v>
      </c>
      <c r="H155" t="s">
        <v>22</v>
      </c>
      <c r="I155" t="s">
        <v>820</v>
      </c>
    </row>
    <row r="156" customHeight="1" spans="1:9">
      <c r="A156" t="s">
        <v>2412</v>
      </c>
      <c r="B156" t="s">
        <v>16</v>
      </c>
      <c r="C156" t="s">
        <v>2973</v>
      </c>
      <c r="D156" t="s">
        <v>2974</v>
      </c>
      <c r="E156" t="s">
        <v>2958</v>
      </c>
      <c r="F156" t="s">
        <v>2975</v>
      </c>
      <c r="G156" t="s">
        <v>22</v>
      </c>
      <c r="H156" t="s">
        <v>22</v>
      </c>
      <c r="I156" t="s">
        <v>820</v>
      </c>
    </row>
    <row r="157" customHeight="1" spans="1:9">
      <c r="A157" t="s">
        <v>2412</v>
      </c>
      <c r="B157" t="s">
        <v>16</v>
      </c>
      <c r="C157" t="s">
        <v>2976</v>
      </c>
      <c r="D157" t="s">
        <v>2977</v>
      </c>
      <c r="E157" t="s">
        <v>2978</v>
      </c>
      <c r="F157" t="s">
        <v>2979</v>
      </c>
      <c r="G157" t="s">
        <v>22</v>
      </c>
      <c r="H157" t="s">
        <v>22</v>
      </c>
      <c r="I157" t="s">
        <v>820</v>
      </c>
    </row>
    <row r="158" customHeight="1" spans="1:9">
      <c r="A158" t="s">
        <v>2412</v>
      </c>
      <c r="B158" t="s">
        <v>16</v>
      </c>
      <c r="C158" t="s">
        <v>2980</v>
      </c>
      <c r="D158" t="s">
        <v>2981</v>
      </c>
      <c r="E158" t="s">
        <v>2978</v>
      </c>
      <c r="F158" t="s">
        <v>2982</v>
      </c>
      <c r="G158" t="s">
        <v>2983</v>
      </c>
      <c r="H158" t="s">
        <v>22</v>
      </c>
      <c r="I158" t="s">
        <v>820</v>
      </c>
    </row>
    <row r="159" customHeight="1" spans="1:9">
      <c r="A159" t="s">
        <v>2412</v>
      </c>
      <c r="B159" t="s">
        <v>16</v>
      </c>
      <c r="C159" t="s">
        <v>2984</v>
      </c>
      <c r="D159" t="s">
        <v>2985</v>
      </c>
      <c r="E159" t="s">
        <v>2986</v>
      </c>
      <c r="F159" t="s">
        <v>2832</v>
      </c>
      <c r="G159" t="s">
        <v>2987</v>
      </c>
      <c r="H159" t="s">
        <v>22</v>
      </c>
      <c r="I159" t="s">
        <v>820</v>
      </c>
    </row>
    <row r="160" customHeight="1" spans="1:9">
      <c r="A160" t="s">
        <v>2412</v>
      </c>
      <c r="B160" t="s">
        <v>16</v>
      </c>
      <c r="C160" t="s">
        <v>2988</v>
      </c>
      <c r="D160" t="s">
        <v>2989</v>
      </c>
      <c r="E160" t="s">
        <v>2472</v>
      </c>
      <c r="F160" t="s">
        <v>2975</v>
      </c>
      <c r="G160" t="s">
        <v>22</v>
      </c>
      <c r="H160" t="s">
        <v>22</v>
      </c>
      <c r="I160" t="s">
        <v>820</v>
      </c>
    </row>
    <row r="161" customHeight="1" spans="1:9">
      <c r="A161" t="s">
        <v>2412</v>
      </c>
      <c r="B161" t="s">
        <v>16</v>
      </c>
      <c r="C161" t="s">
        <v>2990</v>
      </c>
      <c r="D161" t="s">
        <v>2991</v>
      </c>
      <c r="E161" t="s">
        <v>2992</v>
      </c>
      <c r="F161" t="s">
        <v>2993</v>
      </c>
      <c r="G161" t="s">
        <v>22</v>
      </c>
      <c r="H161" t="s">
        <v>22</v>
      </c>
      <c r="I161" t="s">
        <v>820</v>
      </c>
    </row>
    <row r="162" customHeight="1" spans="1:9">
      <c r="A162" t="s">
        <v>2412</v>
      </c>
      <c r="B162" t="s">
        <v>16</v>
      </c>
      <c r="C162" t="s">
        <v>2994</v>
      </c>
      <c r="D162" t="s">
        <v>2995</v>
      </c>
      <c r="E162" t="s">
        <v>2996</v>
      </c>
      <c r="F162" t="s">
        <v>2997</v>
      </c>
      <c r="G162" t="s">
        <v>22</v>
      </c>
      <c r="H162" t="s">
        <v>22</v>
      </c>
      <c r="I162" t="s">
        <v>820</v>
      </c>
    </row>
    <row r="163" customHeight="1" spans="1:9">
      <c r="A163" t="s">
        <v>2412</v>
      </c>
      <c r="B163" t="s">
        <v>16</v>
      </c>
      <c r="C163" t="s">
        <v>2998</v>
      </c>
      <c r="D163" t="s">
        <v>2999</v>
      </c>
      <c r="E163" t="s">
        <v>3000</v>
      </c>
      <c r="F163" t="s">
        <v>3001</v>
      </c>
      <c r="G163" t="s">
        <v>22</v>
      </c>
      <c r="H163" t="s">
        <v>22</v>
      </c>
      <c r="I163" t="s">
        <v>820</v>
      </c>
    </row>
    <row r="164" customHeight="1" spans="1:9">
      <c r="A164" t="s">
        <v>2412</v>
      </c>
      <c r="B164" t="s">
        <v>16</v>
      </c>
      <c r="C164" t="s">
        <v>3002</v>
      </c>
      <c r="D164" t="s">
        <v>3003</v>
      </c>
      <c r="E164" t="s">
        <v>3004</v>
      </c>
      <c r="F164" t="s">
        <v>3005</v>
      </c>
      <c r="G164" t="s">
        <v>22</v>
      </c>
      <c r="H164" t="s">
        <v>22</v>
      </c>
      <c r="I164" t="s">
        <v>820</v>
      </c>
    </row>
    <row r="165" customHeight="1" spans="1:9">
      <c r="A165" t="s">
        <v>2412</v>
      </c>
      <c r="B165" t="s">
        <v>16</v>
      </c>
      <c r="C165" t="s">
        <v>3006</v>
      </c>
      <c r="D165" t="s">
        <v>3007</v>
      </c>
      <c r="E165" t="s">
        <v>2939</v>
      </c>
      <c r="F165" t="s">
        <v>3008</v>
      </c>
      <c r="G165" t="s">
        <v>22</v>
      </c>
      <c r="H165" t="s">
        <v>22</v>
      </c>
      <c r="I165" t="s">
        <v>820</v>
      </c>
    </row>
    <row r="166" customHeight="1" spans="1:9">
      <c r="A166" t="s">
        <v>2412</v>
      </c>
      <c r="B166" t="s">
        <v>16</v>
      </c>
      <c r="C166" t="s">
        <v>3009</v>
      </c>
      <c r="D166" t="s">
        <v>3010</v>
      </c>
      <c r="E166" t="s">
        <v>3011</v>
      </c>
      <c r="F166" t="s">
        <v>3005</v>
      </c>
      <c r="G166" t="s">
        <v>2987</v>
      </c>
      <c r="H166" t="s">
        <v>22</v>
      </c>
      <c r="I166" t="s">
        <v>820</v>
      </c>
    </row>
    <row r="167" customHeight="1" spans="1:9">
      <c r="A167" t="s">
        <v>2412</v>
      </c>
      <c r="B167" t="s">
        <v>16</v>
      </c>
      <c r="C167" t="s">
        <v>13</v>
      </c>
      <c r="D167" t="s">
        <v>46</v>
      </c>
      <c r="E167" t="s">
        <v>49</v>
      </c>
      <c r="F167" t="s">
        <v>51</v>
      </c>
      <c r="G167" t="s">
        <v>2460</v>
      </c>
      <c r="H167" t="s">
        <v>22</v>
      </c>
      <c r="I167" t="s">
        <v>906</v>
      </c>
    </row>
    <row r="168" customHeight="1" spans="1:9">
      <c r="A168" t="s">
        <v>2412</v>
      </c>
      <c r="B168" t="s">
        <v>16</v>
      </c>
      <c r="C168" t="s">
        <v>2461</v>
      </c>
      <c r="D168" t="s">
        <v>2462</v>
      </c>
      <c r="E168" t="s">
        <v>2463</v>
      </c>
      <c r="F168" t="s">
        <v>2464</v>
      </c>
      <c r="G168" t="s">
        <v>22</v>
      </c>
      <c r="H168" t="s">
        <v>22</v>
      </c>
      <c r="I168" t="s">
        <v>906</v>
      </c>
    </row>
    <row r="169" customHeight="1" spans="1:9">
      <c r="A169" t="s">
        <v>2412</v>
      </c>
      <c r="B169" t="s">
        <v>16</v>
      </c>
      <c r="C169" t="s">
        <v>2470</v>
      </c>
      <c r="D169" t="s">
        <v>2471</v>
      </c>
      <c r="E169" t="s">
        <v>2472</v>
      </c>
      <c r="F169" t="s">
        <v>2473</v>
      </c>
      <c r="G169" t="s">
        <v>22</v>
      </c>
      <c r="H169" t="s">
        <v>22</v>
      </c>
      <c r="I169" t="s">
        <v>906</v>
      </c>
    </row>
    <row r="170" customHeight="1" spans="1:9">
      <c r="A170" t="s">
        <v>2412</v>
      </c>
      <c r="B170" t="s">
        <v>16</v>
      </c>
      <c r="C170" t="s">
        <v>2496</v>
      </c>
      <c r="D170" t="s">
        <v>2497</v>
      </c>
      <c r="E170" t="s">
        <v>2498</v>
      </c>
      <c r="F170" t="s">
        <v>51</v>
      </c>
      <c r="G170" t="s">
        <v>22</v>
      </c>
      <c r="H170" t="s">
        <v>22</v>
      </c>
      <c r="I170" t="s">
        <v>906</v>
      </c>
    </row>
    <row r="171" customHeight="1" spans="1:9">
      <c r="A171" t="s">
        <v>2412</v>
      </c>
      <c r="B171" t="s">
        <v>16</v>
      </c>
      <c r="C171" t="s">
        <v>2499</v>
      </c>
      <c r="D171" t="s">
        <v>2500</v>
      </c>
      <c r="E171" t="s">
        <v>2501</v>
      </c>
      <c r="F171" t="s">
        <v>2502</v>
      </c>
      <c r="G171" t="s">
        <v>22</v>
      </c>
      <c r="H171" t="s">
        <v>22</v>
      </c>
      <c r="I171" t="s">
        <v>906</v>
      </c>
    </row>
    <row r="172" customHeight="1" spans="1:9">
      <c r="A172" t="s">
        <v>2412</v>
      </c>
      <c r="B172" t="s">
        <v>16</v>
      </c>
      <c r="C172" t="s">
        <v>2532</v>
      </c>
      <c r="D172" t="s">
        <v>2533</v>
      </c>
      <c r="E172" t="s">
        <v>2534</v>
      </c>
      <c r="F172" t="s">
        <v>2535</v>
      </c>
      <c r="G172" t="s">
        <v>22</v>
      </c>
      <c r="H172" t="s">
        <v>22</v>
      </c>
      <c r="I172" t="s">
        <v>906</v>
      </c>
    </row>
    <row r="173" customHeight="1" spans="1:9">
      <c r="A173" t="s">
        <v>2412</v>
      </c>
      <c r="B173" t="s">
        <v>16</v>
      </c>
      <c r="C173" t="s">
        <v>2536</v>
      </c>
      <c r="D173" t="s">
        <v>2537</v>
      </c>
      <c r="E173" t="s">
        <v>2538</v>
      </c>
      <c r="F173" t="s">
        <v>2539</v>
      </c>
      <c r="G173" t="s">
        <v>22</v>
      </c>
      <c r="H173" t="s">
        <v>22</v>
      </c>
      <c r="I173" t="s">
        <v>906</v>
      </c>
    </row>
    <row r="174" customHeight="1" spans="1:9">
      <c r="A174" t="s">
        <v>2412</v>
      </c>
      <c r="B174" t="s">
        <v>16</v>
      </c>
      <c r="C174" t="s">
        <v>2540</v>
      </c>
      <c r="D174" t="s">
        <v>2541</v>
      </c>
      <c r="E174" t="s">
        <v>2542</v>
      </c>
      <c r="F174" t="s">
        <v>2543</v>
      </c>
      <c r="G174" t="s">
        <v>22</v>
      </c>
      <c r="H174" t="s">
        <v>22</v>
      </c>
      <c r="I174" t="s">
        <v>906</v>
      </c>
    </row>
    <row r="175" customHeight="1" spans="1:9">
      <c r="A175" t="s">
        <v>2412</v>
      </c>
      <c r="B175" t="s">
        <v>16</v>
      </c>
      <c r="C175" t="s">
        <v>2548</v>
      </c>
      <c r="D175" t="s">
        <v>2549</v>
      </c>
      <c r="E175" t="s">
        <v>2550</v>
      </c>
      <c r="F175" t="s">
        <v>2464</v>
      </c>
      <c r="G175" t="s">
        <v>2551</v>
      </c>
      <c r="H175" t="s">
        <v>22</v>
      </c>
      <c r="I175" t="s">
        <v>906</v>
      </c>
    </row>
    <row r="176" customHeight="1" spans="1:9">
      <c r="A176" t="s">
        <v>2412</v>
      </c>
      <c r="B176" t="s">
        <v>16</v>
      </c>
      <c r="C176" t="s">
        <v>2556</v>
      </c>
      <c r="D176" t="s">
        <v>2557</v>
      </c>
      <c r="E176" t="s">
        <v>2558</v>
      </c>
      <c r="F176" t="s">
        <v>2520</v>
      </c>
      <c r="G176" t="s">
        <v>2559</v>
      </c>
      <c r="H176" t="s">
        <v>22</v>
      </c>
      <c r="I176" t="s">
        <v>906</v>
      </c>
    </row>
    <row r="177" customHeight="1" spans="1:9">
      <c r="A177" t="s">
        <v>2412</v>
      </c>
      <c r="B177" t="s">
        <v>16</v>
      </c>
      <c r="C177" t="s">
        <v>2563</v>
      </c>
      <c r="D177" t="s">
        <v>2564</v>
      </c>
      <c r="E177" t="s">
        <v>2565</v>
      </c>
      <c r="F177" t="s">
        <v>2543</v>
      </c>
      <c r="G177" t="s">
        <v>22</v>
      </c>
      <c r="H177" t="s">
        <v>22</v>
      </c>
      <c r="I177" t="s">
        <v>906</v>
      </c>
    </row>
    <row r="178" customHeight="1" spans="1:9">
      <c r="A178" t="s">
        <v>2412</v>
      </c>
      <c r="B178" t="s">
        <v>16</v>
      </c>
      <c r="C178" t="s">
        <v>2570</v>
      </c>
      <c r="D178" t="s">
        <v>2571</v>
      </c>
      <c r="E178" t="s">
        <v>2572</v>
      </c>
      <c r="F178" t="s">
        <v>2527</v>
      </c>
      <c r="G178" t="s">
        <v>2573</v>
      </c>
      <c r="H178" t="s">
        <v>22</v>
      </c>
      <c r="I178" t="s">
        <v>906</v>
      </c>
    </row>
    <row r="179" customHeight="1" spans="1:9">
      <c r="A179" t="s">
        <v>2412</v>
      </c>
      <c r="B179" t="s">
        <v>16</v>
      </c>
      <c r="C179" t="s">
        <v>2574</v>
      </c>
      <c r="D179" t="s">
        <v>2575</v>
      </c>
      <c r="E179" t="s">
        <v>2576</v>
      </c>
      <c r="F179" t="s">
        <v>2577</v>
      </c>
      <c r="G179" t="s">
        <v>22</v>
      </c>
      <c r="H179" t="s">
        <v>22</v>
      </c>
      <c r="I179" t="s">
        <v>906</v>
      </c>
    </row>
    <row r="180" customHeight="1" spans="1:9">
      <c r="A180" t="s">
        <v>2412</v>
      </c>
      <c r="B180" t="s">
        <v>16</v>
      </c>
      <c r="C180" t="s">
        <v>2582</v>
      </c>
      <c r="D180" t="s">
        <v>2583</v>
      </c>
      <c r="E180" t="s">
        <v>2584</v>
      </c>
      <c r="F180" t="s">
        <v>2495</v>
      </c>
      <c r="G180" t="s">
        <v>22</v>
      </c>
      <c r="H180" t="s">
        <v>22</v>
      </c>
      <c r="I180" t="s">
        <v>906</v>
      </c>
    </row>
    <row r="181" customHeight="1" spans="1:9">
      <c r="A181" t="s">
        <v>2412</v>
      </c>
      <c r="B181" t="s">
        <v>16</v>
      </c>
      <c r="C181" t="s">
        <v>2589</v>
      </c>
      <c r="D181" t="s">
        <v>2590</v>
      </c>
      <c r="E181" t="s">
        <v>2591</v>
      </c>
      <c r="F181" t="s">
        <v>2543</v>
      </c>
      <c r="G181" t="s">
        <v>2592</v>
      </c>
      <c r="H181" t="s">
        <v>22</v>
      </c>
      <c r="I181" t="s">
        <v>906</v>
      </c>
    </row>
    <row r="182" customHeight="1" spans="1:9">
      <c r="A182" t="s">
        <v>2412</v>
      </c>
      <c r="B182" t="s">
        <v>16</v>
      </c>
      <c r="C182" t="s">
        <v>2596</v>
      </c>
      <c r="D182" t="s">
        <v>2597</v>
      </c>
      <c r="E182" t="s">
        <v>2598</v>
      </c>
      <c r="F182" t="s">
        <v>2599</v>
      </c>
      <c r="G182" t="s">
        <v>22</v>
      </c>
      <c r="H182" t="s">
        <v>22</v>
      </c>
      <c r="I182" t="s">
        <v>906</v>
      </c>
    </row>
    <row r="183" customHeight="1" spans="1:9">
      <c r="A183" t="s">
        <v>2412</v>
      </c>
      <c r="B183" t="s">
        <v>16</v>
      </c>
      <c r="C183" t="s">
        <v>2610</v>
      </c>
      <c r="D183" t="s">
        <v>2611</v>
      </c>
      <c r="E183" t="s">
        <v>2612</v>
      </c>
      <c r="F183" t="s">
        <v>2451</v>
      </c>
      <c r="G183" t="s">
        <v>22</v>
      </c>
      <c r="H183" t="s">
        <v>22</v>
      </c>
      <c r="I183" t="s">
        <v>906</v>
      </c>
    </row>
    <row r="184" customHeight="1" spans="1:9">
      <c r="A184" t="s">
        <v>2412</v>
      </c>
      <c r="B184" t="s">
        <v>16</v>
      </c>
      <c r="C184" t="s">
        <v>2642</v>
      </c>
      <c r="D184" t="s">
        <v>2643</v>
      </c>
      <c r="E184" t="s">
        <v>2644</v>
      </c>
      <c r="F184" t="s">
        <v>2645</v>
      </c>
      <c r="G184" t="s">
        <v>22</v>
      </c>
      <c r="H184" t="s">
        <v>22</v>
      </c>
      <c r="I184" t="s">
        <v>906</v>
      </c>
    </row>
    <row r="185" customHeight="1" spans="1:9">
      <c r="A185" t="s">
        <v>2412</v>
      </c>
      <c r="B185" t="s">
        <v>16</v>
      </c>
      <c r="C185" t="s">
        <v>2649</v>
      </c>
      <c r="D185" t="s">
        <v>2650</v>
      </c>
      <c r="E185" t="s">
        <v>2651</v>
      </c>
      <c r="F185" t="s">
        <v>2416</v>
      </c>
      <c r="G185" t="s">
        <v>22</v>
      </c>
      <c r="H185" t="s">
        <v>22</v>
      </c>
      <c r="I185" t="s">
        <v>906</v>
      </c>
    </row>
    <row r="186" customHeight="1" spans="1:9">
      <c r="A186" t="s">
        <v>2412</v>
      </c>
      <c r="B186" t="s">
        <v>16</v>
      </c>
      <c r="C186" t="s">
        <v>2652</v>
      </c>
      <c r="D186" t="s">
        <v>2653</v>
      </c>
      <c r="E186" t="s">
        <v>2654</v>
      </c>
      <c r="F186" t="s">
        <v>2655</v>
      </c>
      <c r="G186" t="s">
        <v>22</v>
      </c>
      <c r="H186" t="s">
        <v>22</v>
      </c>
      <c r="I186" t="s">
        <v>906</v>
      </c>
    </row>
    <row r="187" customHeight="1" spans="1:9">
      <c r="A187" t="s">
        <v>2412</v>
      </c>
      <c r="B187" t="s">
        <v>16</v>
      </c>
      <c r="C187" t="s">
        <v>2679</v>
      </c>
      <c r="D187" t="s">
        <v>2680</v>
      </c>
      <c r="E187" t="s">
        <v>2681</v>
      </c>
      <c r="F187" t="s">
        <v>2624</v>
      </c>
      <c r="G187" t="s">
        <v>22</v>
      </c>
      <c r="H187" t="s">
        <v>22</v>
      </c>
      <c r="I187" t="s">
        <v>906</v>
      </c>
    </row>
    <row r="188" customHeight="1" spans="1:9">
      <c r="A188" t="s">
        <v>2412</v>
      </c>
      <c r="B188" t="s">
        <v>16</v>
      </c>
      <c r="C188" t="s">
        <v>2713</v>
      </c>
      <c r="D188" t="s">
        <v>2714</v>
      </c>
      <c r="E188" t="s">
        <v>2715</v>
      </c>
      <c r="F188" t="s">
        <v>2416</v>
      </c>
      <c r="G188" t="s">
        <v>2716</v>
      </c>
      <c r="H188" t="s">
        <v>22</v>
      </c>
      <c r="I188" t="s">
        <v>906</v>
      </c>
    </row>
    <row r="189" customHeight="1" spans="1:9">
      <c r="A189" t="s">
        <v>2412</v>
      </c>
      <c r="B189" t="s">
        <v>16</v>
      </c>
      <c r="C189" t="s">
        <v>2717</v>
      </c>
      <c r="D189" t="s">
        <v>2718</v>
      </c>
      <c r="E189" t="s">
        <v>2719</v>
      </c>
      <c r="F189" t="s">
        <v>2720</v>
      </c>
      <c r="G189" t="s">
        <v>22</v>
      </c>
      <c r="H189" t="s">
        <v>22</v>
      </c>
      <c r="I189" t="s">
        <v>906</v>
      </c>
    </row>
    <row r="190" customHeight="1" spans="1:9">
      <c r="A190" t="s">
        <v>2412</v>
      </c>
      <c r="B190" t="s">
        <v>16</v>
      </c>
      <c r="C190" t="s">
        <v>2725</v>
      </c>
      <c r="D190" t="s">
        <v>2726</v>
      </c>
      <c r="E190" t="s">
        <v>2727</v>
      </c>
      <c r="F190" t="s">
        <v>2720</v>
      </c>
      <c r="G190" t="s">
        <v>2728</v>
      </c>
      <c r="H190" t="s">
        <v>22</v>
      </c>
      <c r="I190" t="s">
        <v>906</v>
      </c>
    </row>
    <row r="191" customHeight="1" spans="1:9">
      <c r="A191" t="s">
        <v>2412</v>
      </c>
      <c r="B191" t="s">
        <v>16</v>
      </c>
      <c r="C191" t="s">
        <v>2733</v>
      </c>
      <c r="D191" t="s">
        <v>2734</v>
      </c>
      <c r="E191" t="s">
        <v>2735</v>
      </c>
      <c r="F191" t="s">
        <v>2692</v>
      </c>
      <c r="G191" t="s">
        <v>2736</v>
      </c>
      <c r="H191" t="s">
        <v>22</v>
      </c>
      <c r="I191" t="s">
        <v>906</v>
      </c>
    </row>
    <row r="192" customHeight="1" spans="1:9">
      <c r="A192" t="s">
        <v>2412</v>
      </c>
      <c r="B192" t="s">
        <v>16</v>
      </c>
      <c r="C192" t="s">
        <v>2737</v>
      </c>
      <c r="D192" t="s">
        <v>2738</v>
      </c>
      <c r="E192" t="s">
        <v>2739</v>
      </c>
      <c r="F192" t="s">
        <v>2520</v>
      </c>
      <c r="G192" t="s">
        <v>2740</v>
      </c>
      <c r="H192" t="s">
        <v>22</v>
      </c>
      <c r="I192" t="s">
        <v>906</v>
      </c>
    </row>
    <row r="193" customHeight="1" spans="1:9">
      <c r="A193" t="s">
        <v>2412</v>
      </c>
      <c r="B193" t="s">
        <v>16</v>
      </c>
      <c r="C193" t="s">
        <v>2784</v>
      </c>
      <c r="D193" t="s">
        <v>2785</v>
      </c>
      <c r="E193" t="s">
        <v>2786</v>
      </c>
      <c r="F193" t="s">
        <v>2692</v>
      </c>
      <c r="G193" t="s">
        <v>22</v>
      </c>
      <c r="H193" t="s">
        <v>22</v>
      </c>
      <c r="I193" t="s">
        <v>906</v>
      </c>
    </row>
    <row r="194" customHeight="1" spans="1:9">
      <c r="A194" t="s">
        <v>2412</v>
      </c>
      <c r="B194" t="s">
        <v>16</v>
      </c>
      <c r="C194" t="s">
        <v>2787</v>
      </c>
      <c r="D194" t="s">
        <v>2788</v>
      </c>
      <c r="E194" t="s">
        <v>2789</v>
      </c>
      <c r="F194" t="s">
        <v>2473</v>
      </c>
      <c r="G194" t="s">
        <v>2790</v>
      </c>
      <c r="H194" t="s">
        <v>22</v>
      </c>
      <c r="I194" t="s">
        <v>906</v>
      </c>
    </row>
    <row r="195" customHeight="1" spans="1:9">
      <c r="A195" t="s">
        <v>2412</v>
      </c>
      <c r="B195" t="s">
        <v>16</v>
      </c>
      <c r="C195" t="s">
        <v>2791</v>
      </c>
      <c r="D195" t="s">
        <v>2792</v>
      </c>
      <c r="E195" t="s">
        <v>2793</v>
      </c>
      <c r="F195" t="s">
        <v>2420</v>
      </c>
      <c r="G195" t="s">
        <v>2794</v>
      </c>
      <c r="H195" t="s">
        <v>22</v>
      </c>
      <c r="I195" t="s">
        <v>906</v>
      </c>
    </row>
    <row r="196" customHeight="1" spans="1:9">
      <c r="A196" t="s">
        <v>2412</v>
      </c>
      <c r="B196" t="s">
        <v>16</v>
      </c>
      <c r="C196" t="s">
        <v>3012</v>
      </c>
      <c r="D196" t="s">
        <v>3013</v>
      </c>
      <c r="E196" t="s">
        <v>2789</v>
      </c>
      <c r="F196" t="s">
        <v>2724</v>
      </c>
      <c r="G196" t="s">
        <v>3014</v>
      </c>
      <c r="H196" t="s">
        <v>22</v>
      </c>
      <c r="I196" t="s">
        <v>906</v>
      </c>
    </row>
    <row r="197" customHeight="1" spans="1:9">
      <c r="A197" t="s">
        <v>2412</v>
      </c>
      <c r="B197" t="s">
        <v>16</v>
      </c>
      <c r="C197" t="s">
        <v>2798</v>
      </c>
      <c r="D197" t="s">
        <v>2799</v>
      </c>
      <c r="E197" t="s">
        <v>2800</v>
      </c>
      <c r="F197" t="s">
        <v>2685</v>
      </c>
      <c r="G197" t="s">
        <v>22</v>
      </c>
      <c r="H197" t="s">
        <v>22</v>
      </c>
      <c r="I197" t="s">
        <v>906</v>
      </c>
    </row>
    <row r="198" customHeight="1" spans="1:9">
      <c r="A198" t="s">
        <v>2412</v>
      </c>
      <c r="B198" t="s">
        <v>16</v>
      </c>
      <c r="C198" t="s">
        <v>2810</v>
      </c>
      <c r="D198" t="s">
        <v>2811</v>
      </c>
      <c r="E198" t="s">
        <v>2803</v>
      </c>
      <c r="F198" t="s">
        <v>2812</v>
      </c>
      <c r="G198" t="s">
        <v>22</v>
      </c>
      <c r="H198" t="s">
        <v>22</v>
      </c>
      <c r="I198" t="s">
        <v>906</v>
      </c>
    </row>
    <row r="199" customHeight="1" spans="1:9">
      <c r="A199" t="s">
        <v>2412</v>
      </c>
      <c r="B199" t="s">
        <v>16</v>
      </c>
      <c r="C199" t="s">
        <v>2846</v>
      </c>
      <c r="D199" t="s">
        <v>2847</v>
      </c>
      <c r="E199" t="s">
        <v>2848</v>
      </c>
      <c r="F199" t="s">
        <v>2473</v>
      </c>
      <c r="G199" t="s">
        <v>2849</v>
      </c>
      <c r="H199" t="s">
        <v>22</v>
      </c>
      <c r="I199" t="s">
        <v>906</v>
      </c>
    </row>
    <row r="200" customHeight="1" spans="1:9">
      <c r="A200" t="s">
        <v>2412</v>
      </c>
      <c r="B200" t="s">
        <v>16</v>
      </c>
      <c r="C200" t="s">
        <v>2855</v>
      </c>
      <c r="D200" t="s">
        <v>2856</v>
      </c>
      <c r="E200" t="s">
        <v>2857</v>
      </c>
      <c r="F200" t="s">
        <v>2720</v>
      </c>
      <c r="G200" t="s">
        <v>22</v>
      </c>
      <c r="H200" t="s">
        <v>2858</v>
      </c>
      <c r="I200" t="s">
        <v>906</v>
      </c>
    </row>
    <row r="201" customHeight="1" spans="1:9">
      <c r="A201" t="s">
        <v>2412</v>
      </c>
      <c r="B201" t="s">
        <v>16</v>
      </c>
      <c r="C201" t="s">
        <v>2865</v>
      </c>
      <c r="D201" t="s">
        <v>2866</v>
      </c>
      <c r="E201" t="s">
        <v>2867</v>
      </c>
      <c r="F201" t="s">
        <v>2868</v>
      </c>
      <c r="G201" t="s">
        <v>22</v>
      </c>
      <c r="H201" t="s">
        <v>22</v>
      </c>
      <c r="I201" t="s">
        <v>906</v>
      </c>
    </row>
    <row r="202" customHeight="1" spans="1:9">
      <c r="A202" t="s">
        <v>2412</v>
      </c>
      <c r="B202" t="s">
        <v>16</v>
      </c>
      <c r="C202" t="s">
        <v>2869</v>
      </c>
      <c r="D202" t="s">
        <v>2870</v>
      </c>
      <c r="E202" t="s">
        <v>2871</v>
      </c>
      <c r="F202" t="s">
        <v>2535</v>
      </c>
      <c r="G202" t="s">
        <v>2872</v>
      </c>
      <c r="H202" t="s">
        <v>22</v>
      </c>
      <c r="I202" t="s">
        <v>906</v>
      </c>
    </row>
    <row r="203" customHeight="1" spans="1:9">
      <c r="A203" t="s">
        <v>2412</v>
      </c>
      <c r="B203" t="s">
        <v>16</v>
      </c>
      <c r="C203" t="s">
        <v>2876</v>
      </c>
      <c r="D203" t="s">
        <v>2877</v>
      </c>
      <c r="E203" t="s">
        <v>2878</v>
      </c>
      <c r="F203" t="s">
        <v>2495</v>
      </c>
      <c r="G203" t="s">
        <v>2879</v>
      </c>
      <c r="H203" t="s">
        <v>22</v>
      </c>
      <c r="I203" t="s">
        <v>906</v>
      </c>
    </row>
    <row r="204" customHeight="1" spans="1:9">
      <c r="A204" t="s">
        <v>2412</v>
      </c>
      <c r="B204" t="s">
        <v>16</v>
      </c>
      <c r="C204" t="s">
        <v>2883</v>
      </c>
      <c r="D204" t="s">
        <v>2884</v>
      </c>
      <c r="E204" t="s">
        <v>2885</v>
      </c>
      <c r="F204" t="s">
        <v>2868</v>
      </c>
      <c r="G204" t="s">
        <v>22</v>
      </c>
      <c r="H204" t="s">
        <v>22</v>
      </c>
      <c r="I204" t="s">
        <v>906</v>
      </c>
    </row>
    <row r="205" customHeight="1" spans="1:9">
      <c r="A205" t="s">
        <v>2412</v>
      </c>
      <c r="B205" t="s">
        <v>16</v>
      </c>
      <c r="C205" t="s">
        <v>2886</v>
      </c>
      <c r="D205" t="s">
        <v>2887</v>
      </c>
      <c r="E205" t="s">
        <v>2888</v>
      </c>
      <c r="F205" t="s">
        <v>2889</v>
      </c>
      <c r="G205" t="s">
        <v>22</v>
      </c>
      <c r="H205" t="s">
        <v>22</v>
      </c>
      <c r="I205" t="s">
        <v>906</v>
      </c>
    </row>
    <row r="206" customHeight="1" spans="1:9">
      <c r="A206" t="s">
        <v>2412</v>
      </c>
      <c r="B206" t="s">
        <v>16</v>
      </c>
      <c r="C206" t="s">
        <v>2897</v>
      </c>
      <c r="D206" t="s">
        <v>2898</v>
      </c>
      <c r="E206" t="s">
        <v>2899</v>
      </c>
      <c r="F206" t="s">
        <v>2900</v>
      </c>
      <c r="G206" t="s">
        <v>22</v>
      </c>
      <c r="H206" t="s">
        <v>22</v>
      </c>
      <c r="I206" t="s">
        <v>906</v>
      </c>
    </row>
    <row r="207" customHeight="1" spans="1:9">
      <c r="A207" t="s">
        <v>2412</v>
      </c>
      <c r="B207" t="s">
        <v>16</v>
      </c>
      <c r="C207" t="s">
        <v>2907</v>
      </c>
      <c r="D207" t="s">
        <v>2908</v>
      </c>
      <c r="E207" t="s">
        <v>2909</v>
      </c>
      <c r="F207" t="s">
        <v>2473</v>
      </c>
      <c r="G207" t="s">
        <v>22</v>
      </c>
      <c r="H207" t="s">
        <v>22</v>
      </c>
      <c r="I207" t="s">
        <v>906</v>
      </c>
    </row>
    <row r="208" customHeight="1" spans="1:9">
      <c r="A208" t="s">
        <v>2412</v>
      </c>
      <c r="B208" t="s">
        <v>16</v>
      </c>
      <c r="C208" t="s">
        <v>2920</v>
      </c>
      <c r="D208" t="s">
        <v>2921</v>
      </c>
      <c r="E208" t="s">
        <v>2922</v>
      </c>
      <c r="F208" t="s">
        <v>2477</v>
      </c>
      <c r="G208" t="s">
        <v>22</v>
      </c>
      <c r="H208" t="s">
        <v>22</v>
      </c>
      <c r="I208" t="s">
        <v>906</v>
      </c>
    </row>
    <row r="209" customHeight="1" spans="1:9">
      <c r="A209" t="s">
        <v>2412</v>
      </c>
      <c r="B209" t="s">
        <v>16</v>
      </c>
      <c r="C209" t="s">
        <v>22</v>
      </c>
      <c r="D209" t="s">
        <v>2941</v>
      </c>
      <c r="E209" t="s">
        <v>2942</v>
      </c>
      <c r="F209" t="s">
        <v>2678</v>
      </c>
      <c r="G209" t="s">
        <v>22</v>
      </c>
      <c r="H209" t="s">
        <v>22</v>
      </c>
      <c r="I209" t="s">
        <v>906</v>
      </c>
    </row>
    <row r="210" customHeight="1" spans="1:9">
      <c r="A210" t="s">
        <v>2412</v>
      </c>
      <c r="B210" t="s">
        <v>16</v>
      </c>
      <c r="C210" t="s">
        <v>2947</v>
      </c>
      <c r="D210" t="s">
        <v>2948</v>
      </c>
      <c r="E210" t="s">
        <v>2949</v>
      </c>
      <c r="F210" t="s">
        <v>2451</v>
      </c>
      <c r="G210" t="s">
        <v>22</v>
      </c>
      <c r="H210" t="s">
        <v>22</v>
      </c>
      <c r="I210" t="s">
        <v>906</v>
      </c>
    </row>
    <row r="211" customHeight="1" spans="1:9">
      <c r="A211" t="s">
        <v>2412</v>
      </c>
      <c r="B211" t="s">
        <v>16</v>
      </c>
      <c r="C211" t="s">
        <v>2950</v>
      </c>
      <c r="D211" t="s">
        <v>2951</v>
      </c>
      <c r="E211" t="s">
        <v>2945</v>
      </c>
      <c r="F211" t="s">
        <v>2952</v>
      </c>
      <c r="G211" t="s">
        <v>22</v>
      </c>
      <c r="H211" t="s">
        <v>22</v>
      </c>
      <c r="I211" t="s">
        <v>906</v>
      </c>
    </row>
    <row r="212" customHeight="1" spans="1:9">
      <c r="A212" t="s">
        <v>2412</v>
      </c>
      <c r="B212" t="s">
        <v>16</v>
      </c>
      <c r="C212" t="s">
        <v>2976</v>
      </c>
      <c r="D212" t="s">
        <v>2977</v>
      </c>
      <c r="E212" t="s">
        <v>2978</v>
      </c>
      <c r="F212" t="s">
        <v>2979</v>
      </c>
      <c r="G212" t="s">
        <v>22</v>
      </c>
      <c r="H212" t="s">
        <v>22</v>
      </c>
      <c r="I212" t="s">
        <v>906</v>
      </c>
    </row>
    <row r="213" customHeight="1" spans="1:9">
      <c r="A213" t="s">
        <v>2412</v>
      </c>
      <c r="B213" t="s">
        <v>16</v>
      </c>
      <c r="C213" t="s">
        <v>2980</v>
      </c>
      <c r="D213" t="s">
        <v>2981</v>
      </c>
      <c r="E213" t="s">
        <v>2978</v>
      </c>
      <c r="F213" t="s">
        <v>2982</v>
      </c>
      <c r="G213" t="s">
        <v>2983</v>
      </c>
      <c r="H213" t="s">
        <v>22</v>
      </c>
      <c r="I213" t="s">
        <v>906</v>
      </c>
    </row>
    <row r="214" customHeight="1" spans="1:9">
      <c r="A214" t="s">
        <v>2412</v>
      </c>
      <c r="B214" t="s">
        <v>16</v>
      </c>
      <c r="C214" t="s">
        <v>2988</v>
      </c>
      <c r="D214" t="s">
        <v>2989</v>
      </c>
      <c r="E214" t="s">
        <v>2472</v>
      </c>
      <c r="F214" t="s">
        <v>2975</v>
      </c>
      <c r="G214" t="s">
        <v>22</v>
      </c>
      <c r="H214" t="s">
        <v>22</v>
      </c>
      <c r="I214" t="s">
        <v>906</v>
      </c>
    </row>
    <row r="215" customHeight="1" spans="1:9">
      <c r="A215" t="s">
        <v>2412</v>
      </c>
      <c r="B215" t="s">
        <v>16</v>
      </c>
      <c r="C215" t="s">
        <v>2994</v>
      </c>
      <c r="D215" t="s">
        <v>2995</v>
      </c>
      <c r="E215" t="s">
        <v>2996</v>
      </c>
      <c r="F215" t="s">
        <v>2997</v>
      </c>
      <c r="G215" t="s">
        <v>22</v>
      </c>
      <c r="H215" t="s">
        <v>22</v>
      </c>
      <c r="I215" t="s">
        <v>906</v>
      </c>
    </row>
    <row r="216" customHeight="1" spans="1:9">
      <c r="A216" t="s">
        <v>2412</v>
      </c>
      <c r="B216" t="s">
        <v>16</v>
      </c>
      <c r="C216" t="s">
        <v>2417</v>
      </c>
      <c r="D216" t="s">
        <v>2418</v>
      </c>
      <c r="E216" t="s">
        <v>2419</v>
      </c>
      <c r="F216" t="s">
        <v>2420</v>
      </c>
      <c r="G216" t="s">
        <v>22</v>
      </c>
      <c r="H216" t="s">
        <v>22</v>
      </c>
      <c r="I216" t="s">
        <v>866</v>
      </c>
    </row>
    <row r="217" customHeight="1" spans="1:9">
      <c r="A217" t="s">
        <v>2412</v>
      </c>
      <c r="B217" t="s">
        <v>16</v>
      </c>
      <c r="C217" t="s">
        <v>2448</v>
      </c>
      <c r="D217" t="s">
        <v>2449</v>
      </c>
      <c r="E217" t="s">
        <v>2450</v>
      </c>
      <c r="F217" t="s">
        <v>2451</v>
      </c>
      <c r="G217" t="s">
        <v>2452</v>
      </c>
      <c r="H217" t="s">
        <v>22</v>
      </c>
      <c r="I217" t="s">
        <v>866</v>
      </c>
    </row>
    <row r="218" customHeight="1" spans="1:9">
      <c r="A218" t="s">
        <v>2412</v>
      </c>
      <c r="B218" t="s">
        <v>16</v>
      </c>
      <c r="C218" t="s">
        <v>3015</v>
      </c>
      <c r="D218" t="s">
        <v>3016</v>
      </c>
      <c r="E218" t="s">
        <v>3017</v>
      </c>
      <c r="F218" t="s">
        <v>2678</v>
      </c>
      <c r="G218" t="s">
        <v>22</v>
      </c>
      <c r="H218" t="s">
        <v>22</v>
      </c>
      <c r="I218" t="s">
        <v>866</v>
      </c>
    </row>
    <row r="219" customHeight="1" spans="1:9">
      <c r="A219" t="s">
        <v>2412</v>
      </c>
      <c r="B219" t="s">
        <v>16</v>
      </c>
      <c r="C219" t="s">
        <v>3018</v>
      </c>
      <c r="D219" t="s">
        <v>3019</v>
      </c>
      <c r="E219" t="s">
        <v>3020</v>
      </c>
      <c r="F219" t="s">
        <v>3021</v>
      </c>
      <c r="G219" t="s">
        <v>22</v>
      </c>
      <c r="H219" t="s">
        <v>22</v>
      </c>
      <c r="I219" t="s">
        <v>866</v>
      </c>
    </row>
    <row r="220" customHeight="1" spans="1:9">
      <c r="A220" t="s">
        <v>2412</v>
      </c>
      <c r="B220" t="s">
        <v>16</v>
      </c>
      <c r="C220" t="s">
        <v>2481</v>
      </c>
      <c r="D220" t="s">
        <v>2482</v>
      </c>
      <c r="E220" t="s">
        <v>2483</v>
      </c>
      <c r="F220" t="s">
        <v>2484</v>
      </c>
      <c r="G220" t="s">
        <v>22</v>
      </c>
      <c r="H220" t="s">
        <v>22</v>
      </c>
      <c r="I220" t="s">
        <v>866</v>
      </c>
    </row>
    <row r="221" customHeight="1" spans="1:9">
      <c r="A221" t="s">
        <v>2412</v>
      </c>
      <c r="B221" t="s">
        <v>16</v>
      </c>
      <c r="C221" t="s">
        <v>3022</v>
      </c>
      <c r="D221" t="s">
        <v>3023</v>
      </c>
      <c r="E221" t="s">
        <v>3024</v>
      </c>
      <c r="F221" t="s">
        <v>2659</v>
      </c>
      <c r="G221" t="s">
        <v>3025</v>
      </c>
      <c r="H221" t="s">
        <v>22</v>
      </c>
      <c r="I221" t="s">
        <v>866</v>
      </c>
    </row>
    <row r="222" customHeight="1" spans="1:9">
      <c r="A222" t="s">
        <v>2412</v>
      </c>
      <c r="B222" t="s">
        <v>16</v>
      </c>
      <c r="C222" t="s">
        <v>2499</v>
      </c>
      <c r="D222" t="s">
        <v>2500</v>
      </c>
      <c r="E222" t="s">
        <v>2501</v>
      </c>
      <c r="F222" t="s">
        <v>2502</v>
      </c>
      <c r="G222" t="s">
        <v>22</v>
      </c>
      <c r="H222" t="s">
        <v>22</v>
      </c>
      <c r="I222" t="s">
        <v>866</v>
      </c>
    </row>
    <row r="223" customHeight="1" spans="1:9">
      <c r="A223" t="s">
        <v>2412</v>
      </c>
      <c r="B223" t="s">
        <v>16</v>
      </c>
      <c r="C223" t="s">
        <v>3026</v>
      </c>
      <c r="D223" t="s">
        <v>3027</v>
      </c>
      <c r="E223" t="s">
        <v>3028</v>
      </c>
      <c r="F223" t="s">
        <v>2678</v>
      </c>
      <c r="G223" t="s">
        <v>3029</v>
      </c>
      <c r="H223" t="s">
        <v>22</v>
      </c>
      <c r="I223" t="s">
        <v>866</v>
      </c>
    </row>
    <row r="224" customHeight="1" spans="1:9">
      <c r="A224" t="s">
        <v>2412</v>
      </c>
      <c r="B224" t="s">
        <v>16</v>
      </c>
      <c r="C224" t="s">
        <v>3030</v>
      </c>
      <c r="D224" t="s">
        <v>3031</v>
      </c>
      <c r="E224" t="s">
        <v>3032</v>
      </c>
      <c r="F224" t="s">
        <v>569</v>
      </c>
      <c r="G224" t="s">
        <v>22</v>
      </c>
      <c r="H224" t="s">
        <v>22</v>
      </c>
      <c r="I224" t="s">
        <v>866</v>
      </c>
    </row>
    <row r="225" customHeight="1" spans="1:9">
      <c r="A225" t="s">
        <v>2412</v>
      </c>
      <c r="B225" t="s">
        <v>16</v>
      </c>
      <c r="C225" t="s">
        <v>3033</v>
      </c>
      <c r="D225" t="s">
        <v>3034</v>
      </c>
      <c r="E225" t="s">
        <v>3035</v>
      </c>
      <c r="F225" t="s">
        <v>2624</v>
      </c>
      <c r="G225" t="s">
        <v>3036</v>
      </c>
      <c r="H225" t="s">
        <v>22</v>
      </c>
      <c r="I225" t="s">
        <v>866</v>
      </c>
    </row>
    <row r="226" customHeight="1" spans="1:9">
      <c r="A226" t="s">
        <v>2412</v>
      </c>
      <c r="B226" t="s">
        <v>16</v>
      </c>
      <c r="C226" t="s">
        <v>2521</v>
      </c>
      <c r="D226" t="s">
        <v>2522</v>
      </c>
      <c r="E226" t="s">
        <v>2523</v>
      </c>
      <c r="F226" t="s">
        <v>2416</v>
      </c>
      <c r="G226" t="s">
        <v>22</v>
      </c>
      <c r="H226" t="s">
        <v>22</v>
      </c>
      <c r="I226" t="s">
        <v>866</v>
      </c>
    </row>
    <row r="227" customHeight="1" spans="1:9">
      <c r="A227" t="s">
        <v>2412</v>
      </c>
      <c r="B227" t="s">
        <v>16</v>
      </c>
      <c r="C227" t="s">
        <v>3037</v>
      </c>
      <c r="D227" t="s">
        <v>3038</v>
      </c>
      <c r="E227" t="s">
        <v>3039</v>
      </c>
      <c r="F227" t="s">
        <v>3040</v>
      </c>
      <c r="G227" t="s">
        <v>22</v>
      </c>
      <c r="H227" t="s">
        <v>22</v>
      </c>
      <c r="I227" t="s">
        <v>866</v>
      </c>
    </row>
    <row r="228" customHeight="1" spans="1:9">
      <c r="A228" t="s">
        <v>2412</v>
      </c>
      <c r="B228" t="s">
        <v>16</v>
      </c>
      <c r="C228" t="s">
        <v>3041</v>
      </c>
      <c r="D228" t="s">
        <v>3042</v>
      </c>
      <c r="E228" t="s">
        <v>3043</v>
      </c>
      <c r="F228" t="s">
        <v>2520</v>
      </c>
      <c r="G228" t="s">
        <v>2845</v>
      </c>
      <c r="H228" t="s">
        <v>22</v>
      </c>
      <c r="I228" t="s">
        <v>866</v>
      </c>
    </row>
    <row r="229" customHeight="1" spans="1:9">
      <c r="A229" t="s">
        <v>2412</v>
      </c>
      <c r="B229" t="s">
        <v>16</v>
      </c>
      <c r="C229" t="s">
        <v>3044</v>
      </c>
      <c r="D229" t="s">
        <v>3045</v>
      </c>
      <c r="E229" t="s">
        <v>3046</v>
      </c>
      <c r="F229" t="s">
        <v>3047</v>
      </c>
      <c r="G229" t="s">
        <v>22</v>
      </c>
      <c r="H229" t="s">
        <v>22</v>
      </c>
      <c r="I229" t="s">
        <v>866</v>
      </c>
    </row>
    <row r="230" customHeight="1" spans="1:9">
      <c r="A230" t="s">
        <v>2412</v>
      </c>
      <c r="B230" t="s">
        <v>16</v>
      </c>
      <c r="C230" t="s">
        <v>2536</v>
      </c>
      <c r="D230" t="s">
        <v>2537</v>
      </c>
      <c r="E230" t="s">
        <v>2538</v>
      </c>
      <c r="F230" t="s">
        <v>2539</v>
      </c>
      <c r="G230" t="s">
        <v>22</v>
      </c>
      <c r="H230" t="s">
        <v>22</v>
      </c>
      <c r="I230" t="s">
        <v>866</v>
      </c>
    </row>
    <row r="231" customHeight="1" spans="1:9">
      <c r="A231" t="s">
        <v>2412</v>
      </c>
      <c r="B231" t="s">
        <v>16</v>
      </c>
      <c r="C231" t="s">
        <v>2540</v>
      </c>
      <c r="D231" t="s">
        <v>2541</v>
      </c>
      <c r="E231" t="s">
        <v>2542</v>
      </c>
      <c r="F231" t="s">
        <v>2543</v>
      </c>
      <c r="G231" t="s">
        <v>22</v>
      </c>
      <c r="H231" t="s">
        <v>22</v>
      </c>
      <c r="I231" t="s">
        <v>866</v>
      </c>
    </row>
    <row r="232" customHeight="1" spans="1:9">
      <c r="A232" t="s">
        <v>2412</v>
      </c>
      <c r="B232" t="s">
        <v>16</v>
      </c>
      <c r="C232" t="s">
        <v>3048</v>
      </c>
      <c r="D232" t="s">
        <v>3049</v>
      </c>
      <c r="E232" t="s">
        <v>3050</v>
      </c>
      <c r="F232" t="s">
        <v>2637</v>
      </c>
      <c r="G232" t="s">
        <v>22</v>
      </c>
      <c r="H232" t="s">
        <v>22</v>
      </c>
      <c r="I232" t="s">
        <v>866</v>
      </c>
    </row>
    <row r="233" customHeight="1" spans="1:9">
      <c r="A233" t="s">
        <v>2412</v>
      </c>
      <c r="B233" t="s">
        <v>16</v>
      </c>
      <c r="C233" t="s">
        <v>2544</v>
      </c>
      <c r="D233" t="s">
        <v>2545</v>
      </c>
      <c r="E233" t="s">
        <v>2546</v>
      </c>
      <c r="F233" t="s">
        <v>2547</v>
      </c>
      <c r="G233" t="s">
        <v>22</v>
      </c>
      <c r="H233" t="s">
        <v>22</v>
      </c>
      <c r="I233" t="s">
        <v>866</v>
      </c>
    </row>
    <row r="234" customHeight="1" spans="1:9">
      <c r="A234" t="s">
        <v>2412</v>
      </c>
      <c r="B234" t="s">
        <v>16</v>
      </c>
      <c r="C234" t="s">
        <v>3051</v>
      </c>
      <c r="D234" t="s">
        <v>3052</v>
      </c>
      <c r="E234" t="s">
        <v>3053</v>
      </c>
      <c r="F234" t="s">
        <v>2599</v>
      </c>
      <c r="G234" t="s">
        <v>3054</v>
      </c>
      <c r="H234" t="s">
        <v>22</v>
      </c>
      <c r="I234" t="s">
        <v>866</v>
      </c>
    </row>
    <row r="235" customHeight="1" spans="1:9">
      <c r="A235" t="s">
        <v>2412</v>
      </c>
      <c r="B235" t="s">
        <v>16</v>
      </c>
      <c r="C235" t="s">
        <v>3055</v>
      </c>
      <c r="D235" t="s">
        <v>3056</v>
      </c>
      <c r="E235" t="s">
        <v>3057</v>
      </c>
      <c r="F235" t="s">
        <v>2844</v>
      </c>
      <c r="G235" t="s">
        <v>3058</v>
      </c>
      <c r="H235" t="s">
        <v>22</v>
      </c>
      <c r="I235" t="s">
        <v>866</v>
      </c>
    </row>
    <row r="236" customHeight="1" spans="1:9">
      <c r="A236" t="s">
        <v>2412</v>
      </c>
      <c r="B236" t="s">
        <v>16</v>
      </c>
      <c r="C236" t="s">
        <v>3059</v>
      </c>
      <c r="D236" t="s">
        <v>3056</v>
      </c>
      <c r="E236" t="s">
        <v>3060</v>
      </c>
      <c r="F236" t="s">
        <v>2674</v>
      </c>
      <c r="G236" t="s">
        <v>22</v>
      </c>
      <c r="H236" t="s">
        <v>22</v>
      </c>
      <c r="I236" t="s">
        <v>866</v>
      </c>
    </row>
    <row r="237" customHeight="1" spans="1:9">
      <c r="A237" t="s">
        <v>2412</v>
      </c>
      <c r="B237" t="s">
        <v>16</v>
      </c>
      <c r="C237" t="s">
        <v>3061</v>
      </c>
      <c r="D237" t="s">
        <v>3056</v>
      </c>
      <c r="E237" t="s">
        <v>3062</v>
      </c>
      <c r="F237" t="s">
        <v>3063</v>
      </c>
      <c r="G237" t="s">
        <v>22</v>
      </c>
      <c r="H237" t="s">
        <v>22</v>
      </c>
      <c r="I237" t="s">
        <v>866</v>
      </c>
    </row>
    <row r="238" customHeight="1" spans="1:9">
      <c r="A238" t="s">
        <v>2412</v>
      </c>
      <c r="B238" t="s">
        <v>16</v>
      </c>
      <c r="C238" t="s">
        <v>3064</v>
      </c>
      <c r="D238" t="s">
        <v>3065</v>
      </c>
      <c r="E238" t="s">
        <v>3066</v>
      </c>
      <c r="F238" t="s">
        <v>2520</v>
      </c>
      <c r="G238" t="s">
        <v>3067</v>
      </c>
      <c r="H238" t="s">
        <v>22</v>
      </c>
      <c r="I238" t="s">
        <v>866</v>
      </c>
    </row>
    <row r="239" customHeight="1" spans="1:9">
      <c r="A239" t="s">
        <v>2412</v>
      </c>
      <c r="B239" t="s">
        <v>16</v>
      </c>
      <c r="C239" t="s">
        <v>3068</v>
      </c>
      <c r="D239" t="s">
        <v>3069</v>
      </c>
      <c r="E239" t="s">
        <v>3070</v>
      </c>
      <c r="F239" t="s">
        <v>2637</v>
      </c>
      <c r="G239" t="s">
        <v>22</v>
      </c>
      <c r="H239" t="s">
        <v>22</v>
      </c>
      <c r="I239" t="s">
        <v>866</v>
      </c>
    </row>
    <row r="240" customHeight="1" spans="1:9">
      <c r="A240" t="s">
        <v>2412</v>
      </c>
      <c r="B240" t="s">
        <v>16</v>
      </c>
      <c r="C240" t="s">
        <v>3071</v>
      </c>
      <c r="D240" t="s">
        <v>3072</v>
      </c>
      <c r="E240" t="s">
        <v>3073</v>
      </c>
      <c r="F240" t="s">
        <v>3074</v>
      </c>
      <c r="G240" t="s">
        <v>3075</v>
      </c>
      <c r="H240" t="s">
        <v>22</v>
      </c>
      <c r="I240" t="s">
        <v>866</v>
      </c>
    </row>
    <row r="241" customHeight="1" spans="1:9">
      <c r="A241" t="s">
        <v>2412</v>
      </c>
      <c r="B241" t="s">
        <v>16</v>
      </c>
      <c r="C241" t="s">
        <v>3076</v>
      </c>
      <c r="D241" t="s">
        <v>3077</v>
      </c>
      <c r="E241" t="s">
        <v>3078</v>
      </c>
      <c r="F241" t="s">
        <v>2839</v>
      </c>
      <c r="G241" t="s">
        <v>22</v>
      </c>
      <c r="H241" t="s">
        <v>22</v>
      </c>
      <c r="I241" t="s">
        <v>866</v>
      </c>
    </row>
    <row r="242" customHeight="1" spans="1:9">
      <c r="A242" t="s">
        <v>2412</v>
      </c>
      <c r="B242" t="s">
        <v>16</v>
      </c>
      <c r="C242" t="s">
        <v>2570</v>
      </c>
      <c r="D242" t="s">
        <v>2571</v>
      </c>
      <c r="E242" t="s">
        <v>2572</v>
      </c>
      <c r="F242" t="s">
        <v>2527</v>
      </c>
      <c r="G242" t="s">
        <v>2573</v>
      </c>
      <c r="H242" t="s">
        <v>22</v>
      </c>
      <c r="I242" t="s">
        <v>866</v>
      </c>
    </row>
    <row r="243" customHeight="1" spans="1:9">
      <c r="A243" t="s">
        <v>2412</v>
      </c>
      <c r="B243" t="s">
        <v>16</v>
      </c>
      <c r="C243" t="s">
        <v>3079</v>
      </c>
      <c r="D243" t="s">
        <v>3080</v>
      </c>
      <c r="E243" t="s">
        <v>3081</v>
      </c>
      <c r="F243" t="s">
        <v>2616</v>
      </c>
      <c r="G243" t="s">
        <v>3082</v>
      </c>
      <c r="H243" t="s">
        <v>22</v>
      </c>
      <c r="I243" t="s">
        <v>866</v>
      </c>
    </row>
    <row r="244" customHeight="1" spans="1:9">
      <c r="A244" t="s">
        <v>2412</v>
      </c>
      <c r="B244" t="s">
        <v>16</v>
      </c>
      <c r="C244" t="s">
        <v>3083</v>
      </c>
      <c r="D244" t="s">
        <v>3084</v>
      </c>
      <c r="E244" t="s">
        <v>3085</v>
      </c>
      <c r="F244" t="s">
        <v>2645</v>
      </c>
      <c r="G244" t="s">
        <v>22</v>
      </c>
      <c r="H244" t="s">
        <v>22</v>
      </c>
      <c r="I244" t="s">
        <v>866</v>
      </c>
    </row>
    <row r="245" customHeight="1" spans="1:9">
      <c r="A245" t="s">
        <v>2412</v>
      </c>
      <c r="B245" t="s">
        <v>16</v>
      </c>
      <c r="C245" t="s">
        <v>3086</v>
      </c>
      <c r="D245" t="s">
        <v>3087</v>
      </c>
      <c r="E245" t="s">
        <v>3088</v>
      </c>
      <c r="F245" t="s">
        <v>2771</v>
      </c>
      <c r="G245" t="s">
        <v>3089</v>
      </c>
      <c r="H245" t="s">
        <v>22</v>
      </c>
      <c r="I245" t="s">
        <v>866</v>
      </c>
    </row>
    <row r="246" customHeight="1" spans="1:9">
      <c r="A246" t="s">
        <v>2412</v>
      </c>
      <c r="B246" t="s">
        <v>16</v>
      </c>
      <c r="C246" t="s">
        <v>3090</v>
      </c>
      <c r="D246" t="s">
        <v>3091</v>
      </c>
      <c r="E246" t="s">
        <v>3092</v>
      </c>
      <c r="F246" t="s">
        <v>2900</v>
      </c>
      <c r="G246" t="s">
        <v>3093</v>
      </c>
      <c r="H246" t="s">
        <v>22</v>
      </c>
      <c r="I246" t="s">
        <v>866</v>
      </c>
    </row>
    <row r="247" customHeight="1" spans="1:9">
      <c r="A247" t="s">
        <v>2412</v>
      </c>
      <c r="B247" t="s">
        <v>16</v>
      </c>
      <c r="C247" t="s">
        <v>2607</v>
      </c>
      <c r="D247" t="s">
        <v>2608</v>
      </c>
      <c r="E247" t="s">
        <v>2609</v>
      </c>
      <c r="F247" t="s">
        <v>2464</v>
      </c>
      <c r="G247" t="s">
        <v>22</v>
      </c>
      <c r="H247" t="s">
        <v>22</v>
      </c>
      <c r="I247" t="s">
        <v>866</v>
      </c>
    </row>
    <row r="248" customHeight="1" spans="1:9">
      <c r="A248" t="s">
        <v>2412</v>
      </c>
      <c r="B248" t="s">
        <v>16</v>
      </c>
      <c r="C248" t="s">
        <v>3094</v>
      </c>
      <c r="D248" t="s">
        <v>3095</v>
      </c>
      <c r="E248" t="s">
        <v>3096</v>
      </c>
      <c r="F248" t="s">
        <v>2645</v>
      </c>
      <c r="G248" t="s">
        <v>22</v>
      </c>
      <c r="H248" t="s">
        <v>22</v>
      </c>
      <c r="I248" t="s">
        <v>866</v>
      </c>
    </row>
    <row r="249" customHeight="1" spans="1:9">
      <c r="A249" t="s">
        <v>2412</v>
      </c>
      <c r="B249" t="s">
        <v>16</v>
      </c>
      <c r="C249" t="s">
        <v>2617</v>
      </c>
      <c r="D249" t="s">
        <v>2618</v>
      </c>
      <c r="E249" t="s">
        <v>2619</v>
      </c>
      <c r="F249" t="s">
        <v>2620</v>
      </c>
      <c r="G249" t="s">
        <v>22</v>
      </c>
      <c r="H249" t="s">
        <v>22</v>
      </c>
      <c r="I249" t="s">
        <v>866</v>
      </c>
    </row>
    <row r="250" customHeight="1" spans="1:9">
      <c r="A250" t="s">
        <v>2412</v>
      </c>
      <c r="B250" t="s">
        <v>16</v>
      </c>
      <c r="C250" t="s">
        <v>3097</v>
      </c>
      <c r="D250" t="s">
        <v>3098</v>
      </c>
      <c r="E250" t="s">
        <v>3099</v>
      </c>
      <c r="F250" t="s">
        <v>2531</v>
      </c>
      <c r="G250" t="s">
        <v>22</v>
      </c>
      <c r="H250" t="s">
        <v>22</v>
      </c>
      <c r="I250" t="s">
        <v>866</v>
      </c>
    </row>
    <row r="251" customHeight="1" spans="1:9">
      <c r="A251" t="s">
        <v>2412</v>
      </c>
      <c r="B251" t="s">
        <v>16</v>
      </c>
      <c r="C251" t="s">
        <v>3100</v>
      </c>
      <c r="D251" t="s">
        <v>3101</v>
      </c>
      <c r="E251" t="s">
        <v>3102</v>
      </c>
      <c r="F251" t="s">
        <v>2972</v>
      </c>
      <c r="G251" t="s">
        <v>3103</v>
      </c>
      <c r="H251" t="s">
        <v>22</v>
      </c>
      <c r="I251" t="s">
        <v>866</v>
      </c>
    </row>
    <row r="252" customHeight="1" spans="1:9">
      <c r="A252" t="s">
        <v>2412</v>
      </c>
      <c r="B252" t="s">
        <v>16</v>
      </c>
      <c r="C252" t="s">
        <v>3104</v>
      </c>
      <c r="D252" t="s">
        <v>3105</v>
      </c>
      <c r="E252" t="s">
        <v>3106</v>
      </c>
      <c r="F252" t="s">
        <v>2588</v>
      </c>
      <c r="G252" t="s">
        <v>22</v>
      </c>
      <c r="H252" t="s">
        <v>22</v>
      </c>
      <c r="I252" t="s">
        <v>866</v>
      </c>
    </row>
    <row r="253" customHeight="1" spans="1:9">
      <c r="A253" t="s">
        <v>2412</v>
      </c>
      <c r="B253" t="s">
        <v>16</v>
      </c>
      <c r="C253" t="s">
        <v>3107</v>
      </c>
      <c r="D253" t="s">
        <v>3108</v>
      </c>
      <c r="E253" t="s">
        <v>3109</v>
      </c>
      <c r="F253" t="s">
        <v>2633</v>
      </c>
      <c r="G253" t="s">
        <v>22</v>
      </c>
      <c r="H253" t="s">
        <v>22</v>
      </c>
      <c r="I253" t="s">
        <v>866</v>
      </c>
    </row>
    <row r="254" customHeight="1" spans="1:9">
      <c r="A254" t="s">
        <v>2412</v>
      </c>
      <c r="B254" t="s">
        <v>16</v>
      </c>
      <c r="C254" t="s">
        <v>3110</v>
      </c>
      <c r="D254" t="s">
        <v>3111</v>
      </c>
      <c r="E254" t="s">
        <v>3112</v>
      </c>
      <c r="F254" t="s">
        <v>3113</v>
      </c>
      <c r="G254" t="s">
        <v>3114</v>
      </c>
      <c r="H254" t="s">
        <v>22</v>
      </c>
      <c r="I254" t="s">
        <v>866</v>
      </c>
    </row>
    <row r="255" customHeight="1" spans="1:9">
      <c r="A255" t="s">
        <v>2412</v>
      </c>
      <c r="B255" t="s">
        <v>16</v>
      </c>
      <c r="C255" t="s">
        <v>3115</v>
      </c>
      <c r="D255" t="s">
        <v>3116</v>
      </c>
      <c r="E255" t="s">
        <v>3117</v>
      </c>
      <c r="F255" t="s">
        <v>3118</v>
      </c>
      <c r="G255" t="s">
        <v>22</v>
      </c>
      <c r="H255" t="s">
        <v>22</v>
      </c>
      <c r="I255" t="s">
        <v>866</v>
      </c>
    </row>
    <row r="256" customHeight="1" spans="1:9">
      <c r="A256" t="s">
        <v>2412</v>
      </c>
      <c r="B256" t="s">
        <v>16</v>
      </c>
      <c r="C256" t="s">
        <v>2621</v>
      </c>
      <c r="D256" t="s">
        <v>2622</v>
      </c>
      <c r="E256" t="s">
        <v>2623</v>
      </c>
      <c r="F256" t="s">
        <v>2624</v>
      </c>
      <c r="G256" t="s">
        <v>2625</v>
      </c>
      <c r="H256" t="s">
        <v>22</v>
      </c>
      <c r="I256" t="s">
        <v>866</v>
      </c>
    </row>
    <row r="257" customHeight="1" spans="1:9">
      <c r="A257" t="s">
        <v>2412</v>
      </c>
      <c r="B257" t="s">
        <v>16</v>
      </c>
      <c r="C257" t="s">
        <v>2626</v>
      </c>
      <c r="D257" t="s">
        <v>2627</v>
      </c>
      <c r="E257" t="s">
        <v>2628</v>
      </c>
      <c r="F257" t="s">
        <v>2629</v>
      </c>
      <c r="G257" t="s">
        <v>22</v>
      </c>
      <c r="H257" t="s">
        <v>22</v>
      </c>
      <c r="I257" t="s">
        <v>866</v>
      </c>
    </row>
    <row r="258" customHeight="1" spans="1:9">
      <c r="A258" t="s">
        <v>2412</v>
      </c>
      <c r="B258" t="s">
        <v>16</v>
      </c>
      <c r="C258" t="s">
        <v>2638</v>
      </c>
      <c r="D258" t="s">
        <v>2639</v>
      </c>
      <c r="E258" t="s">
        <v>2640</v>
      </c>
      <c r="F258" t="s">
        <v>2641</v>
      </c>
      <c r="G258" t="s">
        <v>22</v>
      </c>
      <c r="H258" t="s">
        <v>22</v>
      </c>
      <c r="I258" t="s">
        <v>866</v>
      </c>
    </row>
    <row r="259" customHeight="1" spans="1:9">
      <c r="A259" t="s">
        <v>2412</v>
      </c>
      <c r="B259" t="s">
        <v>16</v>
      </c>
      <c r="C259" t="s">
        <v>3119</v>
      </c>
      <c r="D259" t="s">
        <v>3120</v>
      </c>
      <c r="E259" t="s">
        <v>3121</v>
      </c>
      <c r="F259" t="s">
        <v>2752</v>
      </c>
      <c r="G259" t="s">
        <v>22</v>
      </c>
      <c r="H259" t="s">
        <v>22</v>
      </c>
      <c r="I259" t="s">
        <v>866</v>
      </c>
    </row>
    <row r="260" customHeight="1" spans="1:9">
      <c r="A260" t="s">
        <v>2412</v>
      </c>
      <c r="B260" t="s">
        <v>16</v>
      </c>
      <c r="C260" t="s">
        <v>3122</v>
      </c>
      <c r="D260" t="s">
        <v>3123</v>
      </c>
      <c r="E260" t="s">
        <v>3124</v>
      </c>
      <c r="F260" t="s">
        <v>3125</v>
      </c>
      <c r="G260" t="s">
        <v>22</v>
      </c>
      <c r="H260" t="s">
        <v>22</v>
      </c>
      <c r="I260" t="s">
        <v>866</v>
      </c>
    </row>
    <row r="261" customHeight="1" spans="1:9">
      <c r="A261" t="s">
        <v>2412</v>
      </c>
      <c r="B261" t="s">
        <v>16</v>
      </c>
      <c r="C261" t="s">
        <v>3126</v>
      </c>
      <c r="D261" t="s">
        <v>3127</v>
      </c>
      <c r="E261" t="s">
        <v>3128</v>
      </c>
      <c r="F261" t="s">
        <v>2531</v>
      </c>
      <c r="G261" t="s">
        <v>22</v>
      </c>
      <c r="H261" t="s">
        <v>22</v>
      </c>
      <c r="I261" t="s">
        <v>866</v>
      </c>
    </row>
    <row r="262" customHeight="1" spans="1:9">
      <c r="A262" t="s">
        <v>2412</v>
      </c>
      <c r="B262" t="s">
        <v>16</v>
      </c>
      <c r="C262" t="s">
        <v>3129</v>
      </c>
      <c r="D262" t="s">
        <v>3130</v>
      </c>
      <c r="E262" t="s">
        <v>3131</v>
      </c>
      <c r="F262" t="s">
        <v>2603</v>
      </c>
      <c r="G262" t="s">
        <v>22</v>
      </c>
      <c r="H262" t="s">
        <v>22</v>
      </c>
      <c r="I262" t="s">
        <v>866</v>
      </c>
    </row>
    <row r="263" customHeight="1" spans="1:9">
      <c r="A263" t="s">
        <v>2412</v>
      </c>
      <c r="B263" t="s">
        <v>16</v>
      </c>
      <c r="C263" t="s">
        <v>3132</v>
      </c>
      <c r="D263" t="s">
        <v>3133</v>
      </c>
      <c r="E263" t="s">
        <v>3134</v>
      </c>
      <c r="F263" t="s">
        <v>2451</v>
      </c>
      <c r="G263" t="s">
        <v>22</v>
      </c>
      <c r="H263" t="s">
        <v>22</v>
      </c>
      <c r="I263" t="s">
        <v>866</v>
      </c>
    </row>
    <row r="264" customHeight="1" spans="1:9">
      <c r="A264" t="s">
        <v>2412</v>
      </c>
      <c r="B264" t="s">
        <v>16</v>
      </c>
      <c r="C264" t="s">
        <v>3135</v>
      </c>
      <c r="D264" t="s">
        <v>3136</v>
      </c>
      <c r="E264" t="s">
        <v>3137</v>
      </c>
      <c r="F264" t="s">
        <v>2659</v>
      </c>
      <c r="G264" t="s">
        <v>22</v>
      </c>
      <c r="H264" t="s">
        <v>22</v>
      </c>
      <c r="I264" t="s">
        <v>866</v>
      </c>
    </row>
    <row r="265" customHeight="1" spans="1:9">
      <c r="A265" t="s">
        <v>2412</v>
      </c>
      <c r="B265" t="s">
        <v>16</v>
      </c>
      <c r="C265" t="s">
        <v>3138</v>
      </c>
      <c r="D265" t="s">
        <v>3139</v>
      </c>
      <c r="E265" t="s">
        <v>3140</v>
      </c>
      <c r="F265" t="s">
        <v>2659</v>
      </c>
      <c r="G265" t="s">
        <v>22</v>
      </c>
      <c r="H265" t="s">
        <v>22</v>
      </c>
      <c r="I265" t="s">
        <v>866</v>
      </c>
    </row>
    <row r="266" customHeight="1" spans="1:9">
      <c r="A266" t="s">
        <v>2412</v>
      </c>
      <c r="B266" t="s">
        <v>16</v>
      </c>
      <c r="C266" t="s">
        <v>3141</v>
      </c>
      <c r="D266" t="s">
        <v>3142</v>
      </c>
      <c r="E266" t="s">
        <v>3143</v>
      </c>
      <c r="F266" t="s">
        <v>2543</v>
      </c>
      <c r="G266" t="s">
        <v>22</v>
      </c>
      <c r="H266" t="s">
        <v>22</v>
      </c>
      <c r="I266" t="s">
        <v>866</v>
      </c>
    </row>
    <row r="267" customHeight="1" spans="1:9">
      <c r="A267" t="s">
        <v>2412</v>
      </c>
      <c r="B267" t="s">
        <v>16</v>
      </c>
      <c r="C267" t="s">
        <v>2693</v>
      </c>
      <c r="D267" t="s">
        <v>2694</v>
      </c>
      <c r="E267" t="s">
        <v>2695</v>
      </c>
      <c r="F267" t="s">
        <v>2603</v>
      </c>
      <c r="G267" t="s">
        <v>22</v>
      </c>
      <c r="H267" t="s">
        <v>22</v>
      </c>
      <c r="I267" t="s">
        <v>866</v>
      </c>
    </row>
    <row r="268" customHeight="1" spans="1:9">
      <c r="A268" t="s">
        <v>2412</v>
      </c>
      <c r="B268" t="s">
        <v>16</v>
      </c>
      <c r="C268" t="s">
        <v>3144</v>
      </c>
      <c r="D268" t="s">
        <v>3145</v>
      </c>
      <c r="E268" t="s">
        <v>3146</v>
      </c>
      <c r="F268" t="s">
        <v>2527</v>
      </c>
      <c r="G268" t="s">
        <v>22</v>
      </c>
      <c r="H268" t="s">
        <v>22</v>
      </c>
      <c r="I268" t="s">
        <v>866</v>
      </c>
    </row>
    <row r="269" customHeight="1" spans="1:9">
      <c r="A269" t="s">
        <v>2412</v>
      </c>
      <c r="B269" t="s">
        <v>16</v>
      </c>
      <c r="C269" t="s">
        <v>3147</v>
      </c>
      <c r="D269" t="s">
        <v>3148</v>
      </c>
      <c r="E269" t="s">
        <v>3149</v>
      </c>
      <c r="F269" t="s">
        <v>2451</v>
      </c>
      <c r="G269" t="s">
        <v>3150</v>
      </c>
      <c r="H269" t="s">
        <v>22</v>
      </c>
      <c r="I269" t="s">
        <v>866</v>
      </c>
    </row>
    <row r="270" customHeight="1" spans="1:9">
      <c r="A270" t="s">
        <v>2412</v>
      </c>
      <c r="B270" t="s">
        <v>16</v>
      </c>
      <c r="C270" t="s">
        <v>3151</v>
      </c>
      <c r="D270" t="s">
        <v>3152</v>
      </c>
      <c r="E270" t="s">
        <v>3153</v>
      </c>
      <c r="F270" t="s">
        <v>2972</v>
      </c>
      <c r="G270" t="s">
        <v>22</v>
      </c>
      <c r="H270" t="s">
        <v>22</v>
      </c>
      <c r="I270" t="s">
        <v>866</v>
      </c>
    </row>
    <row r="271" customHeight="1" spans="1:9">
      <c r="A271" t="s">
        <v>2412</v>
      </c>
      <c r="B271" t="s">
        <v>16</v>
      </c>
      <c r="C271" t="s">
        <v>3154</v>
      </c>
      <c r="D271" t="s">
        <v>3155</v>
      </c>
      <c r="E271" t="s">
        <v>3156</v>
      </c>
      <c r="F271" t="s">
        <v>2868</v>
      </c>
      <c r="G271" t="s">
        <v>22</v>
      </c>
      <c r="H271" t="s">
        <v>3157</v>
      </c>
      <c r="I271" t="s">
        <v>866</v>
      </c>
    </row>
    <row r="272" customHeight="1" spans="1:9">
      <c r="A272" t="s">
        <v>2412</v>
      </c>
      <c r="B272" t="s">
        <v>16</v>
      </c>
      <c r="C272" t="s">
        <v>3158</v>
      </c>
      <c r="D272" t="s">
        <v>3159</v>
      </c>
      <c r="E272" t="s">
        <v>3160</v>
      </c>
      <c r="F272" t="s">
        <v>2543</v>
      </c>
      <c r="G272" t="s">
        <v>3161</v>
      </c>
      <c r="H272" t="s">
        <v>22</v>
      </c>
      <c r="I272" t="s">
        <v>866</v>
      </c>
    </row>
    <row r="273" customHeight="1" spans="1:9">
      <c r="A273" t="s">
        <v>2412</v>
      </c>
      <c r="B273" t="s">
        <v>16</v>
      </c>
      <c r="C273" t="s">
        <v>3162</v>
      </c>
      <c r="D273" t="s">
        <v>3163</v>
      </c>
      <c r="E273" t="s">
        <v>3164</v>
      </c>
      <c r="F273" t="s">
        <v>2539</v>
      </c>
      <c r="G273" t="s">
        <v>22</v>
      </c>
      <c r="H273" t="s">
        <v>22</v>
      </c>
      <c r="I273" t="s">
        <v>866</v>
      </c>
    </row>
    <row r="274" customHeight="1" spans="1:9">
      <c r="A274" t="s">
        <v>2412</v>
      </c>
      <c r="B274" t="s">
        <v>16</v>
      </c>
      <c r="C274" t="s">
        <v>3165</v>
      </c>
      <c r="D274" t="s">
        <v>3166</v>
      </c>
      <c r="E274" t="s">
        <v>3167</v>
      </c>
      <c r="F274" t="s">
        <v>3168</v>
      </c>
      <c r="G274" t="s">
        <v>22</v>
      </c>
      <c r="H274" t="s">
        <v>22</v>
      </c>
      <c r="I274" t="s">
        <v>866</v>
      </c>
    </row>
    <row r="275" customHeight="1" spans="1:9">
      <c r="A275" t="s">
        <v>2412</v>
      </c>
      <c r="B275" t="s">
        <v>16</v>
      </c>
      <c r="C275" t="s">
        <v>2729</v>
      </c>
      <c r="D275" t="s">
        <v>2730</v>
      </c>
      <c r="E275" t="s">
        <v>2731</v>
      </c>
      <c r="F275" t="s">
        <v>2678</v>
      </c>
      <c r="G275" t="s">
        <v>2732</v>
      </c>
      <c r="H275" t="s">
        <v>22</v>
      </c>
      <c r="I275" t="s">
        <v>866</v>
      </c>
    </row>
    <row r="276" customHeight="1" spans="1:9">
      <c r="A276" t="s">
        <v>2412</v>
      </c>
      <c r="B276" t="s">
        <v>16</v>
      </c>
      <c r="C276" t="s">
        <v>3169</v>
      </c>
      <c r="D276" t="s">
        <v>3170</v>
      </c>
      <c r="E276" t="s">
        <v>3171</v>
      </c>
      <c r="F276" t="s">
        <v>3172</v>
      </c>
      <c r="G276" t="s">
        <v>22</v>
      </c>
      <c r="H276" t="s">
        <v>22</v>
      </c>
      <c r="I276" t="s">
        <v>866</v>
      </c>
    </row>
    <row r="277" customHeight="1" spans="1:9">
      <c r="A277" t="s">
        <v>2412</v>
      </c>
      <c r="B277" t="s">
        <v>16</v>
      </c>
      <c r="C277" t="s">
        <v>3173</v>
      </c>
      <c r="D277" t="s">
        <v>3174</v>
      </c>
      <c r="E277" t="s">
        <v>3175</v>
      </c>
      <c r="F277" t="s">
        <v>2678</v>
      </c>
      <c r="G277" t="s">
        <v>3176</v>
      </c>
      <c r="H277" t="s">
        <v>22</v>
      </c>
      <c r="I277" t="s">
        <v>866</v>
      </c>
    </row>
    <row r="278" customHeight="1" spans="1:9">
      <c r="A278" t="s">
        <v>2412</v>
      </c>
      <c r="B278" t="s">
        <v>16</v>
      </c>
      <c r="C278" t="s">
        <v>3177</v>
      </c>
      <c r="D278" t="s">
        <v>3178</v>
      </c>
      <c r="E278" t="s">
        <v>3179</v>
      </c>
      <c r="F278" t="s">
        <v>2685</v>
      </c>
      <c r="G278" t="s">
        <v>3180</v>
      </c>
      <c r="H278" t="s">
        <v>22</v>
      </c>
      <c r="I278" t="s">
        <v>866</v>
      </c>
    </row>
    <row r="279" customHeight="1" spans="1:9">
      <c r="A279" t="s">
        <v>2412</v>
      </c>
      <c r="B279" t="s">
        <v>16</v>
      </c>
      <c r="C279" t="s">
        <v>2768</v>
      </c>
      <c r="D279" t="s">
        <v>2769</v>
      </c>
      <c r="E279" t="s">
        <v>2770</v>
      </c>
      <c r="F279" t="s">
        <v>2771</v>
      </c>
      <c r="G279" t="s">
        <v>22</v>
      </c>
      <c r="H279" t="s">
        <v>22</v>
      </c>
      <c r="I279" t="s">
        <v>866</v>
      </c>
    </row>
    <row r="280" customHeight="1" spans="1:9">
      <c r="A280" t="s">
        <v>2412</v>
      </c>
      <c r="B280" t="s">
        <v>16</v>
      </c>
      <c r="C280" t="s">
        <v>3181</v>
      </c>
      <c r="D280" t="s">
        <v>3182</v>
      </c>
      <c r="E280" t="s">
        <v>3183</v>
      </c>
      <c r="F280" t="s">
        <v>2451</v>
      </c>
      <c r="G280" t="s">
        <v>22</v>
      </c>
      <c r="H280" t="s">
        <v>22</v>
      </c>
      <c r="I280" t="s">
        <v>866</v>
      </c>
    </row>
    <row r="281" customHeight="1" spans="1:9">
      <c r="A281" t="s">
        <v>2412</v>
      </c>
      <c r="B281" t="s">
        <v>16</v>
      </c>
      <c r="C281" t="s">
        <v>3184</v>
      </c>
      <c r="D281" t="s">
        <v>3185</v>
      </c>
      <c r="E281" t="s">
        <v>3186</v>
      </c>
      <c r="F281" t="s">
        <v>2527</v>
      </c>
      <c r="G281" t="s">
        <v>3187</v>
      </c>
      <c r="H281" t="s">
        <v>22</v>
      </c>
      <c r="I281" t="s">
        <v>866</v>
      </c>
    </row>
    <row r="282" customHeight="1" spans="1:9">
      <c r="A282" t="s">
        <v>2412</v>
      </c>
      <c r="B282" t="s">
        <v>16</v>
      </c>
      <c r="C282" t="s">
        <v>3188</v>
      </c>
      <c r="D282" t="s">
        <v>3189</v>
      </c>
      <c r="E282" t="s">
        <v>3190</v>
      </c>
      <c r="F282" t="s">
        <v>2900</v>
      </c>
      <c r="G282" t="s">
        <v>22</v>
      </c>
      <c r="H282" t="s">
        <v>22</v>
      </c>
      <c r="I282" t="s">
        <v>866</v>
      </c>
    </row>
    <row r="283" customHeight="1" spans="1:9">
      <c r="A283" t="s">
        <v>2412</v>
      </c>
      <c r="B283" t="s">
        <v>16</v>
      </c>
      <c r="C283" t="s">
        <v>3191</v>
      </c>
      <c r="D283" t="s">
        <v>3192</v>
      </c>
      <c r="E283" t="s">
        <v>3193</v>
      </c>
      <c r="F283" t="s">
        <v>2828</v>
      </c>
      <c r="G283" t="s">
        <v>22</v>
      </c>
      <c r="H283" t="s">
        <v>22</v>
      </c>
      <c r="I283" t="s">
        <v>866</v>
      </c>
    </row>
    <row r="284" customHeight="1" spans="1:9">
      <c r="A284" t="s">
        <v>2412</v>
      </c>
      <c r="B284" t="s">
        <v>16</v>
      </c>
      <c r="C284" t="s">
        <v>3194</v>
      </c>
      <c r="D284" t="s">
        <v>3195</v>
      </c>
      <c r="E284" t="s">
        <v>3196</v>
      </c>
      <c r="F284" t="s">
        <v>2868</v>
      </c>
      <c r="G284" t="s">
        <v>22</v>
      </c>
      <c r="H284" t="s">
        <v>22</v>
      </c>
      <c r="I284" t="s">
        <v>866</v>
      </c>
    </row>
    <row r="285" customHeight="1" spans="1:9">
      <c r="A285" t="s">
        <v>2412</v>
      </c>
      <c r="B285" t="s">
        <v>16</v>
      </c>
      <c r="C285" t="s">
        <v>3197</v>
      </c>
      <c r="D285" t="s">
        <v>3198</v>
      </c>
      <c r="E285" t="s">
        <v>3199</v>
      </c>
      <c r="F285" t="s">
        <v>2599</v>
      </c>
      <c r="G285" t="s">
        <v>3200</v>
      </c>
      <c r="H285" t="s">
        <v>22</v>
      </c>
      <c r="I285" t="s">
        <v>866</v>
      </c>
    </row>
    <row r="286" customHeight="1" spans="1:9">
      <c r="A286" t="s">
        <v>2412</v>
      </c>
      <c r="B286" t="s">
        <v>16</v>
      </c>
      <c r="C286" t="s">
        <v>2927</v>
      </c>
      <c r="D286" t="s">
        <v>2928</v>
      </c>
      <c r="E286" t="s">
        <v>2929</v>
      </c>
      <c r="F286" t="s">
        <v>2930</v>
      </c>
      <c r="G286" t="s">
        <v>22</v>
      </c>
      <c r="H286" t="s">
        <v>22</v>
      </c>
      <c r="I286" t="s">
        <v>866</v>
      </c>
    </row>
    <row r="287" customHeight="1" spans="1:9">
      <c r="A287" t="s">
        <v>2412</v>
      </c>
      <c r="B287" t="s">
        <v>16</v>
      </c>
      <c r="C287" t="s">
        <v>3201</v>
      </c>
      <c r="D287" t="s">
        <v>3202</v>
      </c>
      <c r="E287" t="s">
        <v>3203</v>
      </c>
      <c r="F287" t="s">
        <v>2495</v>
      </c>
      <c r="G287" t="s">
        <v>22</v>
      </c>
      <c r="H287" t="s">
        <v>22</v>
      </c>
      <c r="I287" t="s">
        <v>866</v>
      </c>
    </row>
    <row r="288" customHeight="1" spans="1:9">
      <c r="A288" t="s">
        <v>2412</v>
      </c>
      <c r="B288" t="s">
        <v>16</v>
      </c>
      <c r="C288" t="s">
        <v>3204</v>
      </c>
      <c r="D288" t="s">
        <v>3205</v>
      </c>
      <c r="E288" t="s">
        <v>3206</v>
      </c>
      <c r="F288" t="s">
        <v>3207</v>
      </c>
      <c r="G288" t="s">
        <v>3150</v>
      </c>
      <c r="H288" t="s">
        <v>22</v>
      </c>
      <c r="I288" t="s">
        <v>866</v>
      </c>
    </row>
    <row r="289" customHeight="1" spans="1:9">
      <c r="A289" t="s">
        <v>2412</v>
      </c>
      <c r="B289" t="s">
        <v>16</v>
      </c>
      <c r="C289" t="s">
        <v>3208</v>
      </c>
      <c r="D289" t="s">
        <v>3209</v>
      </c>
      <c r="E289" t="s">
        <v>3210</v>
      </c>
      <c r="F289" t="s">
        <v>2464</v>
      </c>
      <c r="G289" t="s">
        <v>22</v>
      </c>
      <c r="H289" t="s">
        <v>22</v>
      </c>
      <c r="I289" t="s">
        <v>866</v>
      </c>
    </row>
    <row r="290" customHeight="1" spans="1:9">
      <c r="A290" t="s">
        <v>2412</v>
      </c>
      <c r="B290" t="s">
        <v>16</v>
      </c>
      <c r="C290" t="s">
        <v>3211</v>
      </c>
      <c r="D290" t="s">
        <v>3212</v>
      </c>
      <c r="E290" t="s">
        <v>3213</v>
      </c>
      <c r="F290" t="s">
        <v>2527</v>
      </c>
      <c r="G290" t="s">
        <v>22</v>
      </c>
      <c r="H290" t="s">
        <v>22</v>
      </c>
      <c r="I290" t="s">
        <v>866</v>
      </c>
    </row>
    <row r="291" customHeight="1" spans="1:9">
      <c r="A291" t="s">
        <v>2412</v>
      </c>
      <c r="B291" t="s">
        <v>16</v>
      </c>
      <c r="C291" t="s">
        <v>22</v>
      </c>
      <c r="D291" t="s">
        <v>2941</v>
      </c>
      <c r="E291" t="s">
        <v>2942</v>
      </c>
      <c r="F291" t="s">
        <v>2678</v>
      </c>
      <c r="G291" t="s">
        <v>22</v>
      </c>
      <c r="H291" t="s">
        <v>22</v>
      </c>
      <c r="I291" t="s">
        <v>866</v>
      </c>
    </row>
    <row r="292" customHeight="1" spans="1:9">
      <c r="A292" t="s">
        <v>2412</v>
      </c>
      <c r="B292" t="s">
        <v>16</v>
      </c>
      <c r="C292" t="s">
        <v>3214</v>
      </c>
      <c r="D292" t="s">
        <v>3215</v>
      </c>
      <c r="E292" t="s">
        <v>3216</v>
      </c>
      <c r="F292" t="s">
        <v>2674</v>
      </c>
      <c r="G292" t="s">
        <v>22</v>
      </c>
      <c r="H292" t="s">
        <v>22</v>
      </c>
      <c r="I292" t="s">
        <v>866</v>
      </c>
    </row>
    <row r="293" customHeight="1" spans="1:9">
      <c r="A293" t="s">
        <v>2412</v>
      </c>
      <c r="B293" t="s">
        <v>16</v>
      </c>
      <c r="C293" t="s">
        <v>2950</v>
      </c>
      <c r="D293" t="s">
        <v>2951</v>
      </c>
      <c r="E293" t="s">
        <v>2945</v>
      </c>
      <c r="F293" t="s">
        <v>2952</v>
      </c>
      <c r="G293" t="s">
        <v>22</v>
      </c>
      <c r="H293" t="s">
        <v>22</v>
      </c>
      <c r="I293" t="s">
        <v>866</v>
      </c>
    </row>
    <row r="294" customHeight="1" spans="1:9">
      <c r="A294" t="s">
        <v>2412</v>
      </c>
      <c r="B294" t="s">
        <v>16</v>
      </c>
      <c r="C294" t="s">
        <v>3217</v>
      </c>
      <c r="D294" t="s">
        <v>3218</v>
      </c>
      <c r="E294" t="s">
        <v>3219</v>
      </c>
      <c r="F294" t="s">
        <v>2451</v>
      </c>
      <c r="G294" t="s">
        <v>3220</v>
      </c>
      <c r="H294" t="s">
        <v>22</v>
      </c>
      <c r="I294" t="s">
        <v>866</v>
      </c>
    </row>
    <row r="295" customHeight="1" spans="1:9">
      <c r="A295" t="s">
        <v>2412</v>
      </c>
      <c r="B295" t="s">
        <v>16</v>
      </c>
      <c r="C295" t="s">
        <v>3221</v>
      </c>
      <c r="D295" t="s">
        <v>3222</v>
      </c>
      <c r="E295" t="s">
        <v>3223</v>
      </c>
      <c r="F295" t="s">
        <v>2666</v>
      </c>
      <c r="G295" t="s">
        <v>22</v>
      </c>
      <c r="H295" t="s">
        <v>22</v>
      </c>
      <c r="I295" t="s">
        <v>866</v>
      </c>
    </row>
    <row r="296" customHeight="1" spans="1:9">
      <c r="A296" t="s">
        <v>2412</v>
      </c>
      <c r="B296" t="s">
        <v>16</v>
      </c>
      <c r="C296" t="s">
        <v>2963</v>
      </c>
      <c r="D296" t="s">
        <v>2964</v>
      </c>
      <c r="E296" t="s">
        <v>2965</v>
      </c>
      <c r="F296" t="s">
        <v>2666</v>
      </c>
      <c r="G296" t="s">
        <v>22</v>
      </c>
      <c r="H296" t="s">
        <v>22</v>
      </c>
      <c r="I296" t="s">
        <v>866</v>
      </c>
    </row>
    <row r="297" customHeight="1" spans="1:9">
      <c r="A297" t="s">
        <v>2412</v>
      </c>
      <c r="B297" t="s">
        <v>16</v>
      </c>
      <c r="C297" t="s">
        <v>2966</v>
      </c>
      <c r="D297" t="s">
        <v>2967</v>
      </c>
      <c r="E297" t="s">
        <v>2968</v>
      </c>
      <c r="F297" t="s">
        <v>2666</v>
      </c>
      <c r="G297" t="s">
        <v>22</v>
      </c>
      <c r="H297" t="s">
        <v>22</v>
      </c>
      <c r="I297" t="s">
        <v>866</v>
      </c>
    </row>
    <row r="298" customHeight="1" spans="1:9">
      <c r="A298" t="s">
        <v>2412</v>
      </c>
      <c r="B298" t="s">
        <v>16</v>
      </c>
      <c r="C298" t="s">
        <v>2969</v>
      </c>
      <c r="D298" t="s">
        <v>2970</v>
      </c>
      <c r="E298" t="s">
        <v>2971</v>
      </c>
      <c r="F298" t="s">
        <v>2972</v>
      </c>
      <c r="G298" t="s">
        <v>22</v>
      </c>
      <c r="H298" t="s">
        <v>22</v>
      </c>
      <c r="I298" t="s">
        <v>866</v>
      </c>
    </row>
    <row r="299" customHeight="1" spans="1:9">
      <c r="A299" t="s">
        <v>2412</v>
      </c>
      <c r="B299" t="s">
        <v>16</v>
      </c>
      <c r="C299" t="s">
        <v>2976</v>
      </c>
      <c r="D299" t="s">
        <v>2977</v>
      </c>
      <c r="E299" t="s">
        <v>2978</v>
      </c>
      <c r="F299" t="s">
        <v>2979</v>
      </c>
      <c r="G299" t="s">
        <v>22</v>
      </c>
      <c r="H299" t="s">
        <v>22</v>
      </c>
      <c r="I299" t="s">
        <v>866</v>
      </c>
    </row>
    <row r="300" customHeight="1" spans="1:9">
      <c r="A300" t="s">
        <v>2412</v>
      </c>
      <c r="B300" t="s">
        <v>16</v>
      </c>
      <c r="C300" t="s">
        <v>2980</v>
      </c>
      <c r="D300" t="s">
        <v>2981</v>
      </c>
      <c r="E300" t="s">
        <v>2978</v>
      </c>
      <c r="F300" t="s">
        <v>2982</v>
      </c>
      <c r="G300" t="s">
        <v>2983</v>
      </c>
      <c r="H300" t="s">
        <v>22</v>
      </c>
      <c r="I300" t="s">
        <v>866</v>
      </c>
    </row>
    <row r="301" customHeight="1" spans="1:9">
      <c r="A301" t="s">
        <v>2412</v>
      </c>
      <c r="B301" t="s">
        <v>16</v>
      </c>
      <c r="C301" t="s">
        <v>2994</v>
      </c>
      <c r="D301" t="s">
        <v>2995</v>
      </c>
      <c r="E301" t="s">
        <v>2996</v>
      </c>
      <c r="F301" t="s">
        <v>2997</v>
      </c>
      <c r="G301" t="s">
        <v>22</v>
      </c>
      <c r="H301" t="s">
        <v>22</v>
      </c>
      <c r="I301" t="s">
        <v>866</v>
      </c>
    </row>
    <row r="302" customHeight="1" spans="1:9">
      <c r="A302" t="s">
        <v>2412</v>
      </c>
      <c r="B302" t="s">
        <v>16</v>
      </c>
      <c r="C302" t="s">
        <v>3224</v>
      </c>
      <c r="D302" t="s">
        <v>3225</v>
      </c>
      <c r="E302" t="s">
        <v>3226</v>
      </c>
      <c r="F302" t="s">
        <v>2678</v>
      </c>
      <c r="G302" t="s">
        <v>22</v>
      </c>
      <c r="H302" t="s">
        <v>22</v>
      </c>
      <c r="I302" t="s">
        <v>919</v>
      </c>
    </row>
    <row r="303" customHeight="1" spans="1:9">
      <c r="A303" t="s">
        <v>2412</v>
      </c>
      <c r="B303" t="s">
        <v>16</v>
      </c>
      <c r="C303" t="s">
        <v>2448</v>
      </c>
      <c r="D303" t="s">
        <v>2449</v>
      </c>
      <c r="E303" t="s">
        <v>2450</v>
      </c>
      <c r="F303" t="s">
        <v>2451</v>
      </c>
      <c r="G303" t="s">
        <v>2452</v>
      </c>
      <c r="H303" t="s">
        <v>22</v>
      </c>
      <c r="I303" t="s">
        <v>919</v>
      </c>
    </row>
    <row r="304" customHeight="1" spans="1:9">
      <c r="A304" t="s">
        <v>2412</v>
      </c>
      <c r="B304" t="s">
        <v>16</v>
      </c>
      <c r="C304" t="s">
        <v>3015</v>
      </c>
      <c r="D304" t="s">
        <v>3016</v>
      </c>
      <c r="E304" t="s">
        <v>3017</v>
      </c>
      <c r="F304" t="s">
        <v>2678</v>
      </c>
      <c r="G304" t="s">
        <v>22</v>
      </c>
      <c r="H304" t="s">
        <v>22</v>
      </c>
      <c r="I304" t="s">
        <v>919</v>
      </c>
    </row>
    <row r="305" customHeight="1" spans="1:9">
      <c r="A305" t="s">
        <v>2412</v>
      </c>
      <c r="B305" t="s">
        <v>16</v>
      </c>
      <c r="C305" t="s">
        <v>3227</v>
      </c>
      <c r="D305" t="s">
        <v>3228</v>
      </c>
      <c r="E305" t="s">
        <v>3229</v>
      </c>
      <c r="F305" t="s">
        <v>51</v>
      </c>
      <c r="G305" t="s">
        <v>22</v>
      </c>
      <c r="H305" t="s">
        <v>22</v>
      </c>
      <c r="I305" t="s">
        <v>919</v>
      </c>
    </row>
    <row r="306" customHeight="1" spans="1:9">
      <c r="A306" t="s">
        <v>2412</v>
      </c>
      <c r="B306" t="s">
        <v>16</v>
      </c>
      <c r="C306" t="s">
        <v>3022</v>
      </c>
      <c r="D306" t="s">
        <v>3023</v>
      </c>
      <c r="E306" t="s">
        <v>3024</v>
      </c>
      <c r="F306" t="s">
        <v>2659</v>
      </c>
      <c r="G306" t="s">
        <v>3025</v>
      </c>
      <c r="H306" t="s">
        <v>22</v>
      </c>
      <c r="I306" t="s">
        <v>919</v>
      </c>
    </row>
    <row r="307" customHeight="1" spans="1:9">
      <c r="A307" t="s">
        <v>2412</v>
      </c>
      <c r="B307" t="s">
        <v>16</v>
      </c>
      <c r="C307" t="s">
        <v>2499</v>
      </c>
      <c r="D307" t="s">
        <v>2500</v>
      </c>
      <c r="E307" t="s">
        <v>2501</v>
      </c>
      <c r="F307" t="s">
        <v>2502</v>
      </c>
      <c r="G307" t="s">
        <v>22</v>
      </c>
      <c r="H307" t="s">
        <v>22</v>
      </c>
      <c r="I307" t="s">
        <v>919</v>
      </c>
    </row>
    <row r="308" customHeight="1" spans="1:9">
      <c r="A308" t="s">
        <v>2412</v>
      </c>
      <c r="B308" t="s">
        <v>16</v>
      </c>
      <c r="C308" t="s">
        <v>3026</v>
      </c>
      <c r="D308" t="s">
        <v>3027</v>
      </c>
      <c r="E308" t="s">
        <v>3028</v>
      </c>
      <c r="F308" t="s">
        <v>2678</v>
      </c>
      <c r="G308" t="s">
        <v>3029</v>
      </c>
      <c r="H308" t="s">
        <v>22</v>
      </c>
      <c r="I308" t="s">
        <v>919</v>
      </c>
    </row>
    <row r="309" customHeight="1" spans="1:9">
      <c r="A309" t="s">
        <v>2412</v>
      </c>
      <c r="B309" t="s">
        <v>16</v>
      </c>
      <c r="C309" t="s">
        <v>2521</v>
      </c>
      <c r="D309" t="s">
        <v>2522</v>
      </c>
      <c r="E309" t="s">
        <v>2523</v>
      </c>
      <c r="F309" t="s">
        <v>2416</v>
      </c>
      <c r="G309" t="s">
        <v>22</v>
      </c>
      <c r="H309" t="s">
        <v>22</v>
      </c>
      <c r="I309" t="s">
        <v>919</v>
      </c>
    </row>
    <row r="310" customHeight="1" spans="1:9">
      <c r="A310" t="s">
        <v>2412</v>
      </c>
      <c r="B310" t="s">
        <v>16</v>
      </c>
      <c r="C310" t="s">
        <v>3230</v>
      </c>
      <c r="D310" t="s">
        <v>3231</v>
      </c>
      <c r="E310" t="s">
        <v>3232</v>
      </c>
      <c r="F310" t="s">
        <v>51</v>
      </c>
      <c r="G310" t="s">
        <v>3233</v>
      </c>
      <c r="H310" t="s">
        <v>22</v>
      </c>
      <c r="I310" t="s">
        <v>919</v>
      </c>
    </row>
    <row r="311" customHeight="1" spans="1:9">
      <c r="A311" t="s">
        <v>2412</v>
      </c>
      <c r="B311" t="s">
        <v>16</v>
      </c>
      <c r="C311" t="s">
        <v>3041</v>
      </c>
      <c r="D311" t="s">
        <v>3042</v>
      </c>
      <c r="E311" t="s">
        <v>3043</v>
      </c>
      <c r="F311" t="s">
        <v>2520</v>
      </c>
      <c r="G311" t="s">
        <v>2845</v>
      </c>
      <c r="H311" t="s">
        <v>22</v>
      </c>
      <c r="I311" t="s">
        <v>919</v>
      </c>
    </row>
    <row r="312" customHeight="1" spans="1:9">
      <c r="A312" t="s">
        <v>2412</v>
      </c>
      <c r="B312" t="s">
        <v>16</v>
      </c>
      <c r="C312" t="s">
        <v>2540</v>
      </c>
      <c r="D312" t="s">
        <v>2541</v>
      </c>
      <c r="E312" t="s">
        <v>2542</v>
      </c>
      <c r="F312" t="s">
        <v>2543</v>
      </c>
      <c r="G312" t="s">
        <v>22</v>
      </c>
      <c r="H312" t="s">
        <v>22</v>
      </c>
      <c r="I312" t="s">
        <v>919</v>
      </c>
    </row>
    <row r="313" customHeight="1" spans="1:9">
      <c r="A313" t="s">
        <v>2412</v>
      </c>
      <c r="B313" t="s">
        <v>16</v>
      </c>
      <c r="C313" t="s">
        <v>3048</v>
      </c>
      <c r="D313" t="s">
        <v>3049</v>
      </c>
      <c r="E313" t="s">
        <v>3050</v>
      </c>
      <c r="F313" t="s">
        <v>2637</v>
      </c>
      <c r="G313" t="s">
        <v>22</v>
      </c>
      <c r="H313" t="s">
        <v>22</v>
      </c>
      <c r="I313" t="s">
        <v>919</v>
      </c>
    </row>
    <row r="314" customHeight="1" spans="1:9">
      <c r="A314" t="s">
        <v>2412</v>
      </c>
      <c r="B314" t="s">
        <v>16</v>
      </c>
      <c r="C314" t="s">
        <v>3061</v>
      </c>
      <c r="D314" t="s">
        <v>3056</v>
      </c>
      <c r="E314" t="s">
        <v>3062</v>
      </c>
      <c r="F314" t="s">
        <v>3063</v>
      </c>
      <c r="G314" t="s">
        <v>22</v>
      </c>
      <c r="H314" t="s">
        <v>22</v>
      </c>
      <c r="I314" t="s">
        <v>919</v>
      </c>
    </row>
    <row r="315" customHeight="1" spans="1:9">
      <c r="A315" t="s">
        <v>2412</v>
      </c>
      <c r="B315" t="s">
        <v>16</v>
      </c>
      <c r="C315" t="s">
        <v>3068</v>
      </c>
      <c r="D315" t="s">
        <v>3069</v>
      </c>
      <c r="E315" t="s">
        <v>3070</v>
      </c>
      <c r="F315" t="s">
        <v>2637</v>
      </c>
      <c r="G315" t="s">
        <v>22</v>
      </c>
      <c r="H315" t="s">
        <v>22</v>
      </c>
      <c r="I315" t="s">
        <v>919</v>
      </c>
    </row>
    <row r="316" customHeight="1" spans="1:9">
      <c r="A316" t="s">
        <v>2412</v>
      </c>
      <c r="B316" t="s">
        <v>16</v>
      </c>
      <c r="C316" t="s">
        <v>3071</v>
      </c>
      <c r="D316" t="s">
        <v>3072</v>
      </c>
      <c r="E316" t="s">
        <v>3073</v>
      </c>
      <c r="F316" t="s">
        <v>3074</v>
      </c>
      <c r="G316" t="s">
        <v>3075</v>
      </c>
      <c r="H316" t="s">
        <v>22</v>
      </c>
      <c r="I316" t="s">
        <v>919</v>
      </c>
    </row>
    <row r="317" customHeight="1" spans="1:9">
      <c r="A317" t="s">
        <v>2412</v>
      </c>
      <c r="B317" t="s">
        <v>16</v>
      </c>
      <c r="C317" t="s">
        <v>3076</v>
      </c>
      <c r="D317" t="s">
        <v>3077</v>
      </c>
      <c r="E317" t="s">
        <v>3078</v>
      </c>
      <c r="F317" t="s">
        <v>2839</v>
      </c>
      <c r="G317" t="s">
        <v>22</v>
      </c>
      <c r="H317" t="s">
        <v>22</v>
      </c>
      <c r="I317" t="s">
        <v>919</v>
      </c>
    </row>
    <row r="318" customHeight="1" spans="1:9">
      <c r="A318" t="s">
        <v>2412</v>
      </c>
      <c r="B318" t="s">
        <v>16</v>
      </c>
      <c r="C318" t="s">
        <v>3079</v>
      </c>
      <c r="D318" t="s">
        <v>3080</v>
      </c>
      <c r="E318" t="s">
        <v>3081</v>
      </c>
      <c r="F318" t="s">
        <v>2616</v>
      </c>
      <c r="G318" t="s">
        <v>3082</v>
      </c>
      <c r="H318" t="s">
        <v>22</v>
      </c>
      <c r="I318" t="s">
        <v>919</v>
      </c>
    </row>
    <row r="319" customHeight="1" spans="1:9">
      <c r="A319" t="s">
        <v>2412</v>
      </c>
      <c r="B319" t="s">
        <v>16</v>
      </c>
      <c r="C319" t="s">
        <v>2607</v>
      </c>
      <c r="D319" t="s">
        <v>2608</v>
      </c>
      <c r="E319" t="s">
        <v>2609</v>
      </c>
      <c r="F319" t="s">
        <v>2464</v>
      </c>
      <c r="G319" t="s">
        <v>22</v>
      </c>
      <c r="H319" t="s">
        <v>22</v>
      </c>
      <c r="I319" t="s">
        <v>919</v>
      </c>
    </row>
    <row r="320" customHeight="1" spans="1:9">
      <c r="A320" t="s">
        <v>2412</v>
      </c>
      <c r="B320" t="s">
        <v>16</v>
      </c>
      <c r="C320" t="s">
        <v>3094</v>
      </c>
      <c r="D320" t="s">
        <v>3095</v>
      </c>
      <c r="E320" t="s">
        <v>3096</v>
      </c>
      <c r="F320" t="s">
        <v>2645</v>
      </c>
      <c r="G320" t="s">
        <v>22</v>
      </c>
      <c r="H320" t="s">
        <v>22</v>
      </c>
      <c r="I320" t="s">
        <v>919</v>
      </c>
    </row>
    <row r="321" customHeight="1" spans="1:9">
      <c r="A321" t="s">
        <v>2412</v>
      </c>
      <c r="B321" t="s">
        <v>16</v>
      </c>
      <c r="C321" t="s">
        <v>2617</v>
      </c>
      <c r="D321" t="s">
        <v>2618</v>
      </c>
      <c r="E321" t="s">
        <v>2619</v>
      </c>
      <c r="F321" t="s">
        <v>2620</v>
      </c>
      <c r="G321" t="s">
        <v>22</v>
      </c>
      <c r="H321" t="s">
        <v>22</v>
      </c>
      <c r="I321" t="s">
        <v>919</v>
      </c>
    </row>
    <row r="322" customHeight="1" spans="1:9">
      <c r="A322" t="s">
        <v>2412</v>
      </c>
      <c r="B322" t="s">
        <v>16</v>
      </c>
      <c r="C322" t="s">
        <v>3100</v>
      </c>
      <c r="D322" t="s">
        <v>3101</v>
      </c>
      <c r="E322" t="s">
        <v>3102</v>
      </c>
      <c r="F322" t="s">
        <v>2972</v>
      </c>
      <c r="G322" t="s">
        <v>3103</v>
      </c>
      <c r="H322" t="s">
        <v>22</v>
      </c>
      <c r="I322" t="s">
        <v>919</v>
      </c>
    </row>
    <row r="323" customHeight="1" spans="1:9">
      <c r="A323" t="s">
        <v>2412</v>
      </c>
      <c r="B323" t="s">
        <v>16</v>
      </c>
      <c r="C323" t="s">
        <v>3107</v>
      </c>
      <c r="D323" t="s">
        <v>3108</v>
      </c>
      <c r="E323" t="s">
        <v>3109</v>
      </c>
      <c r="F323" t="s">
        <v>2633</v>
      </c>
      <c r="G323" t="s">
        <v>22</v>
      </c>
      <c r="H323" t="s">
        <v>22</v>
      </c>
      <c r="I323" t="s">
        <v>919</v>
      </c>
    </row>
    <row r="324" customHeight="1" spans="1:9">
      <c r="A324" t="s">
        <v>2412</v>
      </c>
      <c r="B324" t="s">
        <v>16</v>
      </c>
      <c r="C324" t="s">
        <v>3110</v>
      </c>
      <c r="D324" t="s">
        <v>3111</v>
      </c>
      <c r="E324" t="s">
        <v>3112</v>
      </c>
      <c r="F324" t="s">
        <v>3113</v>
      </c>
      <c r="G324" t="s">
        <v>3114</v>
      </c>
      <c r="H324" t="s">
        <v>22</v>
      </c>
      <c r="I324" t="s">
        <v>919</v>
      </c>
    </row>
    <row r="325" customHeight="1" spans="1:9">
      <c r="A325" t="s">
        <v>2412</v>
      </c>
      <c r="B325" t="s">
        <v>16</v>
      </c>
      <c r="C325" t="s">
        <v>2621</v>
      </c>
      <c r="D325" t="s">
        <v>2622</v>
      </c>
      <c r="E325" t="s">
        <v>2623</v>
      </c>
      <c r="F325" t="s">
        <v>2624</v>
      </c>
      <c r="G325" t="s">
        <v>2625</v>
      </c>
      <c r="H325" t="s">
        <v>22</v>
      </c>
      <c r="I325" t="s">
        <v>919</v>
      </c>
    </row>
    <row r="326" customHeight="1" spans="1:9">
      <c r="A326" t="s">
        <v>2412</v>
      </c>
      <c r="B326" t="s">
        <v>16</v>
      </c>
      <c r="C326" t="s">
        <v>2626</v>
      </c>
      <c r="D326" t="s">
        <v>2627</v>
      </c>
      <c r="E326" t="s">
        <v>2628</v>
      </c>
      <c r="F326" t="s">
        <v>2629</v>
      </c>
      <c r="G326" t="s">
        <v>22</v>
      </c>
      <c r="H326" t="s">
        <v>22</v>
      </c>
      <c r="I326" t="s">
        <v>919</v>
      </c>
    </row>
    <row r="327" customHeight="1" spans="1:9">
      <c r="A327" t="s">
        <v>2412</v>
      </c>
      <c r="B327" t="s">
        <v>16</v>
      </c>
      <c r="C327" t="s">
        <v>3126</v>
      </c>
      <c r="D327" t="s">
        <v>3127</v>
      </c>
      <c r="E327" t="s">
        <v>3128</v>
      </c>
      <c r="F327" t="s">
        <v>2531</v>
      </c>
      <c r="G327" t="s">
        <v>22</v>
      </c>
      <c r="H327" t="s">
        <v>22</v>
      </c>
      <c r="I327" t="s">
        <v>919</v>
      </c>
    </row>
    <row r="328" customHeight="1" spans="1:9">
      <c r="A328" t="s">
        <v>2412</v>
      </c>
      <c r="B328" t="s">
        <v>16</v>
      </c>
      <c r="C328" t="s">
        <v>3129</v>
      </c>
      <c r="D328" t="s">
        <v>3130</v>
      </c>
      <c r="E328" t="s">
        <v>3131</v>
      </c>
      <c r="F328" t="s">
        <v>2603</v>
      </c>
      <c r="G328" t="s">
        <v>22</v>
      </c>
      <c r="H328" t="s">
        <v>22</v>
      </c>
      <c r="I328" t="s">
        <v>919</v>
      </c>
    </row>
    <row r="329" customHeight="1" spans="1:9">
      <c r="A329" t="s">
        <v>2412</v>
      </c>
      <c r="B329" t="s">
        <v>16</v>
      </c>
      <c r="C329" t="s">
        <v>3132</v>
      </c>
      <c r="D329" t="s">
        <v>3133</v>
      </c>
      <c r="E329" t="s">
        <v>3134</v>
      </c>
      <c r="F329" t="s">
        <v>2451</v>
      </c>
      <c r="G329" t="s">
        <v>22</v>
      </c>
      <c r="H329" t="s">
        <v>22</v>
      </c>
      <c r="I329" t="s">
        <v>919</v>
      </c>
    </row>
    <row r="330" customHeight="1" spans="1:9">
      <c r="A330" t="s">
        <v>2412</v>
      </c>
      <c r="B330" t="s">
        <v>16</v>
      </c>
      <c r="C330" t="s">
        <v>3135</v>
      </c>
      <c r="D330" t="s">
        <v>3136</v>
      </c>
      <c r="E330" t="s">
        <v>3137</v>
      </c>
      <c r="F330" t="s">
        <v>2659</v>
      </c>
      <c r="G330" t="s">
        <v>22</v>
      </c>
      <c r="H330" t="s">
        <v>22</v>
      </c>
      <c r="I330" t="s">
        <v>919</v>
      </c>
    </row>
    <row r="331" customHeight="1" spans="1:9">
      <c r="A331" t="s">
        <v>2412</v>
      </c>
      <c r="B331" t="s">
        <v>16</v>
      </c>
      <c r="C331" t="s">
        <v>3138</v>
      </c>
      <c r="D331" t="s">
        <v>3139</v>
      </c>
      <c r="E331" t="s">
        <v>3140</v>
      </c>
      <c r="F331" t="s">
        <v>2659</v>
      </c>
      <c r="G331" t="s">
        <v>22</v>
      </c>
      <c r="H331" t="s">
        <v>22</v>
      </c>
      <c r="I331" t="s">
        <v>919</v>
      </c>
    </row>
    <row r="332" customHeight="1" spans="1:9">
      <c r="A332" t="s">
        <v>2412</v>
      </c>
      <c r="B332" t="s">
        <v>16</v>
      </c>
      <c r="C332" t="s">
        <v>3141</v>
      </c>
      <c r="D332" t="s">
        <v>3142</v>
      </c>
      <c r="E332" t="s">
        <v>3143</v>
      </c>
      <c r="F332" t="s">
        <v>2543</v>
      </c>
      <c r="G332" t="s">
        <v>22</v>
      </c>
      <c r="H332" t="s">
        <v>22</v>
      </c>
      <c r="I332" t="s">
        <v>919</v>
      </c>
    </row>
    <row r="333" customHeight="1" spans="1:9">
      <c r="A333" t="s">
        <v>2412</v>
      </c>
      <c r="B333" t="s">
        <v>16</v>
      </c>
      <c r="C333" t="s">
        <v>2693</v>
      </c>
      <c r="D333" t="s">
        <v>2694</v>
      </c>
      <c r="E333" t="s">
        <v>2695</v>
      </c>
      <c r="F333" t="s">
        <v>2603</v>
      </c>
      <c r="G333" t="s">
        <v>22</v>
      </c>
      <c r="H333" t="s">
        <v>22</v>
      </c>
      <c r="I333" t="s">
        <v>919</v>
      </c>
    </row>
    <row r="334" customHeight="1" spans="1:9">
      <c r="A334" t="s">
        <v>2412</v>
      </c>
      <c r="B334" t="s">
        <v>16</v>
      </c>
      <c r="C334" t="s">
        <v>3144</v>
      </c>
      <c r="D334" t="s">
        <v>3145</v>
      </c>
      <c r="E334" t="s">
        <v>3146</v>
      </c>
      <c r="F334" t="s">
        <v>2527</v>
      </c>
      <c r="G334" t="s">
        <v>22</v>
      </c>
      <c r="H334" t="s">
        <v>22</v>
      </c>
      <c r="I334" t="s">
        <v>919</v>
      </c>
    </row>
    <row r="335" customHeight="1" spans="1:9">
      <c r="A335" t="s">
        <v>2412</v>
      </c>
      <c r="B335" t="s">
        <v>16</v>
      </c>
      <c r="C335" t="s">
        <v>3234</v>
      </c>
      <c r="D335" t="s">
        <v>3235</v>
      </c>
      <c r="E335" t="s">
        <v>3236</v>
      </c>
      <c r="F335" t="s">
        <v>2416</v>
      </c>
      <c r="G335" t="s">
        <v>22</v>
      </c>
      <c r="H335" t="s">
        <v>22</v>
      </c>
      <c r="I335" t="s">
        <v>919</v>
      </c>
    </row>
    <row r="336" customHeight="1" spans="1:9">
      <c r="A336" t="s">
        <v>2412</v>
      </c>
      <c r="B336" t="s">
        <v>16</v>
      </c>
      <c r="C336" t="s">
        <v>3147</v>
      </c>
      <c r="D336" t="s">
        <v>3148</v>
      </c>
      <c r="E336" t="s">
        <v>3149</v>
      </c>
      <c r="F336" t="s">
        <v>2451</v>
      </c>
      <c r="G336" t="s">
        <v>3150</v>
      </c>
      <c r="H336" t="s">
        <v>22</v>
      </c>
      <c r="I336" t="s">
        <v>919</v>
      </c>
    </row>
    <row r="337" customHeight="1" spans="1:9">
      <c r="A337" t="s">
        <v>2412</v>
      </c>
      <c r="B337" t="s">
        <v>16</v>
      </c>
      <c r="C337" t="s">
        <v>3237</v>
      </c>
      <c r="D337" t="s">
        <v>3238</v>
      </c>
      <c r="E337" t="s">
        <v>3239</v>
      </c>
      <c r="F337" t="s">
        <v>2868</v>
      </c>
      <c r="G337" t="s">
        <v>3240</v>
      </c>
      <c r="H337" t="s">
        <v>22</v>
      </c>
      <c r="I337" t="s">
        <v>919</v>
      </c>
    </row>
    <row r="338" customHeight="1" spans="1:9">
      <c r="A338" t="s">
        <v>2412</v>
      </c>
      <c r="B338" t="s">
        <v>16</v>
      </c>
      <c r="C338" t="s">
        <v>3151</v>
      </c>
      <c r="D338" t="s">
        <v>3152</v>
      </c>
      <c r="E338" t="s">
        <v>3153</v>
      </c>
      <c r="F338" t="s">
        <v>2972</v>
      </c>
      <c r="G338" t="s">
        <v>22</v>
      </c>
      <c r="H338" t="s">
        <v>22</v>
      </c>
      <c r="I338" t="s">
        <v>919</v>
      </c>
    </row>
    <row r="339" customHeight="1" spans="1:9">
      <c r="A339" t="s">
        <v>2412</v>
      </c>
      <c r="B339" t="s">
        <v>16</v>
      </c>
      <c r="C339" t="s">
        <v>3154</v>
      </c>
      <c r="D339" t="s">
        <v>3155</v>
      </c>
      <c r="E339" t="s">
        <v>3156</v>
      </c>
      <c r="F339" t="s">
        <v>2868</v>
      </c>
      <c r="G339" t="s">
        <v>22</v>
      </c>
      <c r="H339" t="s">
        <v>3157</v>
      </c>
      <c r="I339" t="s">
        <v>919</v>
      </c>
    </row>
    <row r="340" customHeight="1" spans="1:9">
      <c r="A340" t="s">
        <v>2412</v>
      </c>
      <c r="B340" t="s">
        <v>16</v>
      </c>
      <c r="C340" t="s">
        <v>3241</v>
      </c>
      <c r="D340" t="s">
        <v>3242</v>
      </c>
      <c r="E340" t="s">
        <v>3243</v>
      </c>
      <c r="F340" t="s">
        <v>2659</v>
      </c>
      <c r="G340" t="s">
        <v>22</v>
      </c>
      <c r="H340" t="s">
        <v>22</v>
      </c>
      <c r="I340" t="s">
        <v>919</v>
      </c>
    </row>
    <row r="341" customHeight="1" spans="1:9">
      <c r="A341" t="s">
        <v>2412</v>
      </c>
      <c r="B341" t="s">
        <v>16</v>
      </c>
      <c r="C341" t="s">
        <v>3158</v>
      </c>
      <c r="D341" t="s">
        <v>3159</v>
      </c>
      <c r="E341" t="s">
        <v>3160</v>
      </c>
      <c r="F341" t="s">
        <v>2543</v>
      </c>
      <c r="G341" t="s">
        <v>3161</v>
      </c>
      <c r="H341" t="s">
        <v>22</v>
      </c>
      <c r="I341" t="s">
        <v>919</v>
      </c>
    </row>
    <row r="342" customHeight="1" spans="1:9">
      <c r="A342" t="s">
        <v>2412</v>
      </c>
      <c r="B342" t="s">
        <v>16</v>
      </c>
      <c r="C342" t="s">
        <v>3169</v>
      </c>
      <c r="D342" t="s">
        <v>3170</v>
      </c>
      <c r="E342" t="s">
        <v>3171</v>
      </c>
      <c r="F342" t="s">
        <v>3172</v>
      </c>
      <c r="G342" t="s">
        <v>22</v>
      </c>
      <c r="H342" t="s">
        <v>22</v>
      </c>
      <c r="I342" t="s">
        <v>919</v>
      </c>
    </row>
    <row r="343" customHeight="1" spans="1:9">
      <c r="A343" t="s">
        <v>2412</v>
      </c>
      <c r="B343" t="s">
        <v>16</v>
      </c>
      <c r="C343" t="s">
        <v>3173</v>
      </c>
      <c r="D343" t="s">
        <v>3174</v>
      </c>
      <c r="E343" t="s">
        <v>3175</v>
      </c>
      <c r="F343" t="s">
        <v>2678</v>
      </c>
      <c r="G343" t="s">
        <v>3176</v>
      </c>
      <c r="H343" t="s">
        <v>22</v>
      </c>
      <c r="I343" t="s">
        <v>919</v>
      </c>
    </row>
    <row r="344" customHeight="1" spans="1:9">
      <c r="A344" t="s">
        <v>2412</v>
      </c>
      <c r="B344" t="s">
        <v>16</v>
      </c>
      <c r="C344" t="s">
        <v>3244</v>
      </c>
      <c r="D344" t="s">
        <v>3245</v>
      </c>
      <c r="E344" t="s">
        <v>3246</v>
      </c>
      <c r="F344" t="s">
        <v>2477</v>
      </c>
      <c r="G344" t="s">
        <v>22</v>
      </c>
      <c r="H344" t="s">
        <v>22</v>
      </c>
      <c r="I344" t="s">
        <v>919</v>
      </c>
    </row>
    <row r="345" customHeight="1" spans="1:9">
      <c r="A345" t="s">
        <v>2412</v>
      </c>
      <c r="B345" t="s">
        <v>16</v>
      </c>
      <c r="C345" t="s">
        <v>2775</v>
      </c>
      <c r="D345" t="s">
        <v>2776</v>
      </c>
      <c r="E345" t="s">
        <v>2777</v>
      </c>
      <c r="F345" t="s">
        <v>2778</v>
      </c>
      <c r="G345" t="s">
        <v>22</v>
      </c>
      <c r="H345" t="s">
        <v>22</v>
      </c>
      <c r="I345" t="s">
        <v>919</v>
      </c>
    </row>
    <row r="346" customHeight="1" spans="1:9">
      <c r="A346" t="s">
        <v>2412</v>
      </c>
      <c r="B346" t="s">
        <v>16</v>
      </c>
      <c r="C346" t="s">
        <v>3184</v>
      </c>
      <c r="D346" t="s">
        <v>3185</v>
      </c>
      <c r="E346" t="s">
        <v>3186</v>
      </c>
      <c r="F346" t="s">
        <v>2527</v>
      </c>
      <c r="G346" t="s">
        <v>3187</v>
      </c>
      <c r="H346" t="s">
        <v>22</v>
      </c>
      <c r="I346" t="s">
        <v>919</v>
      </c>
    </row>
    <row r="347" customHeight="1" spans="1:9">
      <c r="A347" t="s">
        <v>2412</v>
      </c>
      <c r="B347" t="s">
        <v>16</v>
      </c>
      <c r="C347" t="s">
        <v>3247</v>
      </c>
      <c r="D347" t="s">
        <v>3248</v>
      </c>
      <c r="E347" t="s">
        <v>3249</v>
      </c>
      <c r="F347" t="s">
        <v>2979</v>
      </c>
      <c r="G347" t="s">
        <v>3250</v>
      </c>
      <c r="H347" t="s">
        <v>22</v>
      </c>
      <c r="I347" t="s">
        <v>919</v>
      </c>
    </row>
    <row r="348" customHeight="1" spans="1:9">
      <c r="A348" t="s">
        <v>2412</v>
      </c>
      <c r="B348" t="s">
        <v>16</v>
      </c>
      <c r="C348" t="s">
        <v>3188</v>
      </c>
      <c r="D348" t="s">
        <v>3189</v>
      </c>
      <c r="E348" t="s">
        <v>3190</v>
      </c>
      <c r="F348" t="s">
        <v>2900</v>
      </c>
      <c r="G348" t="s">
        <v>22</v>
      </c>
      <c r="H348" t="s">
        <v>22</v>
      </c>
      <c r="I348" t="s">
        <v>919</v>
      </c>
    </row>
    <row r="349" customHeight="1" spans="1:9">
      <c r="A349" t="s">
        <v>2412</v>
      </c>
      <c r="B349" t="s">
        <v>16</v>
      </c>
      <c r="C349" t="s">
        <v>3251</v>
      </c>
      <c r="D349" t="s">
        <v>3252</v>
      </c>
      <c r="E349" t="s">
        <v>3253</v>
      </c>
      <c r="F349" t="s">
        <v>2674</v>
      </c>
      <c r="G349" t="s">
        <v>3254</v>
      </c>
      <c r="H349" t="s">
        <v>22</v>
      </c>
      <c r="I349" t="s">
        <v>919</v>
      </c>
    </row>
    <row r="350" customHeight="1" spans="1:9">
      <c r="A350" t="s">
        <v>2412</v>
      </c>
      <c r="B350" t="s">
        <v>16</v>
      </c>
      <c r="C350" t="s">
        <v>3255</v>
      </c>
      <c r="D350" t="s">
        <v>3256</v>
      </c>
      <c r="E350" t="s">
        <v>3257</v>
      </c>
      <c r="F350" t="s">
        <v>2495</v>
      </c>
      <c r="G350" t="s">
        <v>3258</v>
      </c>
      <c r="H350" t="s">
        <v>22</v>
      </c>
      <c r="I350" t="s">
        <v>919</v>
      </c>
    </row>
    <row r="351" customHeight="1" spans="1:9">
      <c r="A351" t="s">
        <v>2412</v>
      </c>
      <c r="B351" t="s">
        <v>16</v>
      </c>
      <c r="C351" t="s">
        <v>2913</v>
      </c>
      <c r="D351" t="s">
        <v>2914</v>
      </c>
      <c r="E351" t="s">
        <v>2915</v>
      </c>
      <c r="F351" t="s">
        <v>2659</v>
      </c>
      <c r="G351" t="s">
        <v>22</v>
      </c>
      <c r="H351" t="s">
        <v>22</v>
      </c>
      <c r="I351" t="s">
        <v>919</v>
      </c>
    </row>
    <row r="352" customHeight="1" spans="1:9">
      <c r="A352" t="s">
        <v>2412</v>
      </c>
      <c r="B352" t="s">
        <v>16</v>
      </c>
      <c r="C352" t="s">
        <v>2927</v>
      </c>
      <c r="D352" t="s">
        <v>2928</v>
      </c>
      <c r="E352" t="s">
        <v>2929</v>
      </c>
      <c r="F352" t="s">
        <v>2930</v>
      </c>
      <c r="G352" t="s">
        <v>22</v>
      </c>
      <c r="H352" t="s">
        <v>22</v>
      </c>
      <c r="I352" t="s">
        <v>919</v>
      </c>
    </row>
    <row r="353" customHeight="1" spans="1:9">
      <c r="A353" t="s">
        <v>2412</v>
      </c>
      <c r="B353" t="s">
        <v>16</v>
      </c>
      <c r="C353" t="s">
        <v>3201</v>
      </c>
      <c r="D353" t="s">
        <v>3202</v>
      </c>
      <c r="E353" t="s">
        <v>3203</v>
      </c>
      <c r="F353" t="s">
        <v>2495</v>
      </c>
      <c r="G353" t="s">
        <v>22</v>
      </c>
      <c r="H353" t="s">
        <v>22</v>
      </c>
      <c r="I353" t="s">
        <v>919</v>
      </c>
    </row>
    <row r="354" customHeight="1" spans="1:9">
      <c r="A354" t="s">
        <v>2412</v>
      </c>
      <c r="B354" t="s">
        <v>16</v>
      </c>
      <c r="C354" t="s">
        <v>3204</v>
      </c>
      <c r="D354" t="s">
        <v>3205</v>
      </c>
      <c r="E354" t="s">
        <v>3206</v>
      </c>
      <c r="F354" t="s">
        <v>3207</v>
      </c>
      <c r="G354" t="s">
        <v>3150</v>
      </c>
      <c r="H354" t="s">
        <v>22</v>
      </c>
      <c r="I354" t="s">
        <v>919</v>
      </c>
    </row>
    <row r="355" customHeight="1" spans="1:9">
      <c r="A355" t="s">
        <v>2412</v>
      </c>
      <c r="B355" t="s">
        <v>16</v>
      </c>
      <c r="C355" t="s">
        <v>22</v>
      </c>
      <c r="D355" t="s">
        <v>2941</v>
      </c>
      <c r="E355" t="s">
        <v>2942</v>
      </c>
      <c r="F355" t="s">
        <v>2678</v>
      </c>
      <c r="G355" t="s">
        <v>22</v>
      </c>
      <c r="H355" t="s">
        <v>22</v>
      </c>
      <c r="I355" t="s">
        <v>919</v>
      </c>
    </row>
    <row r="356" customHeight="1" spans="1:9">
      <c r="A356" t="s">
        <v>2412</v>
      </c>
      <c r="B356" t="s">
        <v>16</v>
      </c>
      <c r="C356" t="s">
        <v>2950</v>
      </c>
      <c r="D356" t="s">
        <v>2951</v>
      </c>
      <c r="E356" t="s">
        <v>2945</v>
      </c>
      <c r="F356" t="s">
        <v>2952</v>
      </c>
      <c r="G356" t="s">
        <v>22</v>
      </c>
      <c r="H356" t="s">
        <v>22</v>
      </c>
      <c r="I356" t="s">
        <v>919</v>
      </c>
    </row>
    <row r="357" customHeight="1" spans="1:9">
      <c r="A357" t="s">
        <v>2412</v>
      </c>
      <c r="B357" t="s">
        <v>16</v>
      </c>
      <c r="C357" t="s">
        <v>3221</v>
      </c>
      <c r="D357" t="s">
        <v>3222</v>
      </c>
      <c r="E357" t="s">
        <v>3223</v>
      </c>
      <c r="F357" t="s">
        <v>2666</v>
      </c>
      <c r="G357" t="s">
        <v>22</v>
      </c>
      <c r="H357" t="s">
        <v>22</v>
      </c>
      <c r="I357" t="s">
        <v>919</v>
      </c>
    </row>
    <row r="358" customHeight="1" spans="1:9">
      <c r="A358" t="s">
        <v>2412</v>
      </c>
      <c r="B358" t="s">
        <v>16</v>
      </c>
      <c r="C358" t="s">
        <v>2963</v>
      </c>
      <c r="D358" t="s">
        <v>2964</v>
      </c>
      <c r="E358" t="s">
        <v>2965</v>
      </c>
      <c r="F358" t="s">
        <v>2666</v>
      </c>
      <c r="G358" t="s">
        <v>22</v>
      </c>
      <c r="H358" t="s">
        <v>22</v>
      </c>
      <c r="I358" t="s">
        <v>919</v>
      </c>
    </row>
    <row r="359" customHeight="1" spans="1:9">
      <c r="A359" t="s">
        <v>2412</v>
      </c>
      <c r="B359" t="s">
        <v>16</v>
      </c>
      <c r="C359" t="s">
        <v>2966</v>
      </c>
      <c r="D359" t="s">
        <v>2967</v>
      </c>
      <c r="E359" t="s">
        <v>2968</v>
      </c>
      <c r="F359" t="s">
        <v>2666</v>
      </c>
      <c r="G359" t="s">
        <v>22</v>
      </c>
      <c r="H359" t="s">
        <v>22</v>
      </c>
      <c r="I359" t="s">
        <v>919</v>
      </c>
    </row>
    <row r="360" customHeight="1" spans="1:9">
      <c r="A360" t="s">
        <v>2412</v>
      </c>
      <c r="B360" t="s">
        <v>16</v>
      </c>
      <c r="C360" t="s">
        <v>2969</v>
      </c>
      <c r="D360" t="s">
        <v>2970</v>
      </c>
      <c r="E360" t="s">
        <v>2971</v>
      </c>
      <c r="F360" t="s">
        <v>2972</v>
      </c>
      <c r="G360" t="s">
        <v>22</v>
      </c>
      <c r="H360" t="s">
        <v>22</v>
      </c>
      <c r="I360" t="s">
        <v>919</v>
      </c>
    </row>
    <row r="361" customHeight="1" spans="1:9">
      <c r="A361" t="s">
        <v>2412</v>
      </c>
      <c r="B361" t="s">
        <v>16</v>
      </c>
      <c r="C361" t="s">
        <v>2976</v>
      </c>
      <c r="D361" t="s">
        <v>2977</v>
      </c>
      <c r="E361" t="s">
        <v>2978</v>
      </c>
      <c r="F361" t="s">
        <v>2979</v>
      </c>
      <c r="G361" t="s">
        <v>22</v>
      </c>
      <c r="H361" t="s">
        <v>22</v>
      </c>
      <c r="I361" t="s">
        <v>919</v>
      </c>
    </row>
    <row r="362" customHeight="1" spans="1:9">
      <c r="A362" t="s">
        <v>2412</v>
      </c>
      <c r="B362" t="s">
        <v>16</v>
      </c>
      <c r="C362" t="s">
        <v>2980</v>
      </c>
      <c r="D362" t="s">
        <v>2981</v>
      </c>
      <c r="E362" t="s">
        <v>2978</v>
      </c>
      <c r="F362" t="s">
        <v>2982</v>
      </c>
      <c r="G362" t="s">
        <v>2983</v>
      </c>
      <c r="H362" t="s">
        <v>22</v>
      </c>
      <c r="I362" t="s">
        <v>919</v>
      </c>
    </row>
    <row r="363" customHeight="1" spans="1:9">
      <c r="A363" t="s">
        <v>2412</v>
      </c>
      <c r="B363" t="s">
        <v>16</v>
      </c>
      <c r="C363" t="s">
        <v>2994</v>
      </c>
      <c r="D363" t="s">
        <v>2995</v>
      </c>
      <c r="E363" t="s">
        <v>2996</v>
      </c>
      <c r="F363" t="s">
        <v>2997</v>
      </c>
      <c r="G363" t="s">
        <v>22</v>
      </c>
      <c r="H363" t="s">
        <v>22</v>
      </c>
      <c r="I363" t="s">
        <v>919</v>
      </c>
    </row>
    <row r="364" customHeight="1" spans="1:9">
      <c r="A364" t="s">
        <v>2412</v>
      </c>
      <c r="B364" t="s">
        <v>16</v>
      </c>
      <c r="C364" t="s">
        <v>2456</v>
      </c>
      <c r="D364" t="s">
        <v>2457</v>
      </c>
      <c r="E364" t="s">
        <v>2458</v>
      </c>
      <c r="F364" t="s">
        <v>2459</v>
      </c>
      <c r="G364" t="s">
        <v>22</v>
      </c>
      <c r="H364" t="s">
        <v>22</v>
      </c>
      <c r="I364" t="s">
        <v>1805</v>
      </c>
    </row>
    <row r="365" customHeight="1" spans="1:9">
      <c r="A365" t="s">
        <v>2412</v>
      </c>
      <c r="B365" t="s">
        <v>16</v>
      </c>
      <c r="C365" t="s">
        <v>3018</v>
      </c>
      <c r="D365" t="s">
        <v>3019</v>
      </c>
      <c r="E365" t="s">
        <v>3020</v>
      </c>
      <c r="F365" t="s">
        <v>3021</v>
      </c>
      <c r="G365" t="s">
        <v>22</v>
      </c>
      <c r="H365" t="s">
        <v>22</v>
      </c>
      <c r="I365" t="s">
        <v>1805</v>
      </c>
    </row>
    <row r="366" customHeight="1" spans="1:9">
      <c r="A366" t="s">
        <v>2412</v>
      </c>
      <c r="B366" t="s">
        <v>16</v>
      </c>
      <c r="C366" t="s">
        <v>2481</v>
      </c>
      <c r="D366" t="s">
        <v>2482</v>
      </c>
      <c r="E366" t="s">
        <v>2483</v>
      </c>
      <c r="F366" t="s">
        <v>2484</v>
      </c>
      <c r="G366" t="s">
        <v>22</v>
      </c>
      <c r="H366" t="s">
        <v>22</v>
      </c>
      <c r="I366" t="s">
        <v>1805</v>
      </c>
    </row>
    <row r="367" customHeight="1" spans="1:9">
      <c r="A367" t="s">
        <v>2412</v>
      </c>
      <c r="B367" t="s">
        <v>16</v>
      </c>
      <c r="C367" t="s">
        <v>2499</v>
      </c>
      <c r="D367" t="s">
        <v>2500</v>
      </c>
      <c r="E367" t="s">
        <v>2501</v>
      </c>
      <c r="F367" t="s">
        <v>2502</v>
      </c>
      <c r="G367" t="s">
        <v>22</v>
      </c>
      <c r="H367" t="s">
        <v>22</v>
      </c>
      <c r="I367" t="s">
        <v>1805</v>
      </c>
    </row>
    <row r="368" customHeight="1" spans="1:9">
      <c r="A368" t="s">
        <v>2412</v>
      </c>
      <c r="B368" t="s">
        <v>16</v>
      </c>
      <c r="C368" t="s">
        <v>3259</v>
      </c>
      <c r="D368" t="s">
        <v>3260</v>
      </c>
      <c r="E368" t="s">
        <v>3261</v>
      </c>
      <c r="F368" t="s">
        <v>569</v>
      </c>
      <c r="G368" t="s">
        <v>22</v>
      </c>
      <c r="H368" t="s">
        <v>22</v>
      </c>
      <c r="I368" t="s">
        <v>1805</v>
      </c>
    </row>
    <row r="369" customHeight="1" spans="1:9">
      <c r="A369" t="s">
        <v>2412</v>
      </c>
      <c r="B369" t="s">
        <v>16</v>
      </c>
      <c r="C369" t="s">
        <v>3262</v>
      </c>
      <c r="D369" t="s">
        <v>3263</v>
      </c>
      <c r="E369" t="s">
        <v>3264</v>
      </c>
      <c r="F369" t="s">
        <v>569</v>
      </c>
      <c r="G369" t="s">
        <v>22</v>
      </c>
      <c r="H369" t="s">
        <v>22</v>
      </c>
      <c r="I369" t="s">
        <v>1805</v>
      </c>
    </row>
    <row r="370" customHeight="1" spans="1:9">
      <c r="A370" t="s">
        <v>2412</v>
      </c>
      <c r="B370" t="s">
        <v>16</v>
      </c>
      <c r="C370" t="s">
        <v>3265</v>
      </c>
      <c r="D370" t="s">
        <v>3266</v>
      </c>
      <c r="E370" t="s">
        <v>3267</v>
      </c>
      <c r="F370" t="s">
        <v>569</v>
      </c>
      <c r="G370" t="s">
        <v>22</v>
      </c>
      <c r="H370" t="s">
        <v>22</v>
      </c>
      <c r="I370" t="s">
        <v>1805</v>
      </c>
    </row>
    <row r="371" customHeight="1" spans="1:9">
      <c r="A371" t="s">
        <v>2412</v>
      </c>
      <c r="B371" t="s">
        <v>16</v>
      </c>
      <c r="C371" t="s">
        <v>3268</v>
      </c>
      <c r="D371" t="s">
        <v>3269</v>
      </c>
      <c r="E371" t="s">
        <v>3270</v>
      </c>
      <c r="F371" t="s">
        <v>569</v>
      </c>
      <c r="G371" t="s">
        <v>22</v>
      </c>
      <c r="H371" t="s">
        <v>22</v>
      </c>
      <c r="I371" t="s">
        <v>1805</v>
      </c>
    </row>
    <row r="372" customHeight="1" spans="1:9">
      <c r="A372" t="s">
        <v>2412</v>
      </c>
      <c r="B372" t="s">
        <v>16</v>
      </c>
      <c r="C372" t="s">
        <v>3271</v>
      </c>
      <c r="D372" t="s">
        <v>3272</v>
      </c>
      <c r="E372" t="s">
        <v>3273</v>
      </c>
      <c r="F372" t="s">
        <v>569</v>
      </c>
      <c r="G372" t="s">
        <v>22</v>
      </c>
      <c r="H372" t="s">
        <v>22</v>
      </c>
      <c r="I372" t="s">
        <v>1805</v>
      </c>
    </row>
    <row r="373" customHeight="1" spans="1:9">
      <c r="A373" t="s">
        <v>2412</v>
      </c>
      <c r="B373" t="s">
        <v>16</v>
      </c>
      <c r="C373" t="s">
        <v>3274</v>
      </c>
      <c r="D373" t="s">
        <v>3275</v>
      </c>
      <c r="E373" t="s">
        <v>3276</v>
      </c>
      <c r="F373" t="s">
        <v>569</v>
      </c>
      <c r="G373" t="s">
        <v>22</v>
      </c>
      <c r="H373" t="s">
        <v>22</v>
      </c>
      <c r="I373" t="s">
        <v>1805</v>
      </c>
    </row>
    <row r="374" customHeight="1" spans="1:9">
      <c r="A374" t="s">
        <v>2412</v>
      </c>
      <c r="B374" t="s">
        <v>16</v>
      </c>
      <c r="C374" t="s">
        <v>3277</v>
      </c>
      <c r="D374" t="s">
        <v>3278</v>
      </c>
      <c r="E374" t="s">
        <v>3279</v>
      </c>
      <c r="F374" t="s">
        <v>3280</v>
      </c>
      <c r="G374" t="s">
        <v>22</v>
      </c>
      <c r="H374" t="s">
        <v>22</v>
      </c>
      <c r="I374" t="s">
        <v>1805</v>
      </c>
    </row>
    <row r="375" customHeight="1" spans="1:9">
      <c r="A375" t="s">
        <v>2412</v>
      </c>
      <c r="B375" t="s">
        <v>16</v>
      </c>
      <c r="C375" t="s">
        <v>3076</v>
      </c>
      <c r="D375" t="s">
        <v>3077</v>
      </c>
      <c r="E375" t="s">
        <v>3078</v>
      </c>
      <c r="F375" t="s">
        <v>2839</v>
      </c>
      <c r="G375" t="s">
        <v>22</v>
      </c>
      <c r="H375" t="s">
        <v>22</v>
      </c>
      <c r="I375" t="s">
        <v>1805</v>
      </c>
    </row>
    <row r="376" customHeight="1" spans="1:9">
      <c r="A376" t="s">
        <v>2412</v>
      </c>
      <c r="B376" t="s">
        <v>16</v>
      </c>
      <c r="C376" t="s">
        <v>3281</v>
      </c>
      <c r="D376" t="s">
        <v>3282</v>
      </c>
      <c r="E376" t="s">
        <v>3283</v>
      </c>
      <c r="F376" t="s">
        <v>2645</v>
      </c>
      <c r="G376" t="s">
        <v>22</v>
      </c>
      <c r="H376" t="s">
        <v>3284</v>
      </c>
      <c r="I376" t="s">
        <v>1805</v>
      </c>
    </row>
    <row r="377" customHeight="1" spans="1:9">
      <c r="A377" t="s">
        <v>2412</v>
      </c>
      <c r="B377" t="s">
        <v>16</v>
      </c>
      <c r="C377" t="s">
        <v>2617</v>
      </c>
      <c r="D377" t="s">
        <v>2618</v>
      </c>
      <c r="E377" t="s">
        <v>2619</v>
      </c>
      <c r="F377" t="s">
        <v>2620</v>
      </c>
      <c r="G377" t="s">
        <v>22</v>
      </c>
      <c r="H377" t="s">
        <v>22</v>
      </c>
      <c r="I377" t="s">
        <v>1805</v>
      </c>
    </row>
    <row r="378" customHeight="1" spans="1:9">
      <c r="A378" t="s">
        <v>2412</v>
      </c>
      <c r="B378" t="s">
        <v>16</v>
      </c>
      <c r="C378" t="s">
        <v>3115</v>
      </c>
      <c r="D378" t="s">
        <v>3116</v>
      </c>
      <c r="E378" t="s">
        <v>3117</v>
      </c>
      <c r="F378" t="s">
        <v>3118</v>
      </c>
      <c r="G378" t="s">
        <v>22</v>
      </c>
      <c r="H378" t="s">
        <v>22</v>
      </c>
      <c r="I378" t="s">
        <v>1805</v>
      </c>
    </row>
    <row r="379" customHeight="1" spans="1:9">
      <c r="A379" t="s">
        <v>2412</v>
      </c>
      <c r="B379" t="s">
        <v>16</v>
      </c>
      <c r="C379" t="s">
        <v>2621</v>
      </c>
      <c r="D379" t="s">
        <v>2622</v>
      </c>
      <c r="E379" t="s">
        <v>2623</v>
      </c>
      <c r="F379" t="s">
        <v>2624</v>
      </c>
      <c r="G379" t="s">
        <v>2625</v>
      </c>
      <c r="H379" t="s">
        <v>22</v>
      </c>
      <c r="I379" t="s">
        <v>1805</v>
      </c>
    </row>
    <row r="380" customHeight="1" spans="1:9">
      <c r="A380" t="s">
        <v>2412</v>
      </c>
      <c r="B380" t="s">
        <v>16</v>
      </c>
      <c r="C380" t="s">
        <v>2630</v>
      </c>
      <c r="D380" t="s">
        <v>2631</v>
      </c>
      <c r="E380" t="s">
        <v>2632</v>
      </c>
      <c r="F380" t="s">
        <v>2633</v>
      </c>
      <c r="G380" t="s">
        <v>22</v>
      </c>
      <c r="H380" t="s">
        <v>22</v>
      </c>
      <c r="I380" t="s">
        <v>1805</v>
      </c>
    </row>
    <row r="381" customHeight="1" spans="1:9">
      <c r="A381" t="s">
        <v>2412</v>
      </c>
      <c r="B381" t="s">
        <v>16</v>
      </c>
      <c r="C381" t="s">
        <v>2638</v>
      </c>
      <c r="D381" t="s">
        <v>2639</v>
      </c>
      <c r="E381" t="s">
        <v>2640</v>
      </c>
      <c r="F381" t="s">
        <v>2641</v>
      </c>
      <c r="G381" t="s">
        <v>22</v>
      </c>
      <c r="H381" t="s">
        <v>22</v>
      </c>
      <c r="I381" t="s">
        <v>1805</v>
      </c>
    </row>
    <row r="382" customHeight="1" spans="1:9">
      <c r="A382" t="s">
        <v>2412</v>
      </c>
      <c r="B382" t="s">
        <v>16</v>
      </c>
      <c r="C382" t="s">
        <v>3285</v>
      </c>
      <c r="D382" t="s">
        <v>3286</v>
      </c>
      <c r="E382" t="s">
        <v>3287</v>
      </c>
      <c r="F382" t="s">
        <v>2624</v>
      </c>
      <c r="G382" t="s">
        <v>22</v>
      </c>
      <c r="H382" t="s">
        <v>22</v>
      </c>
      <c r="I382" t="s">
        <v>1805</v>
      </c>
    </row>
    <row r="383" customHeight="1" spans="1:9">
      <c r="A383" t="s">
        <v>2412</v>
      </c>
      <c r="B383" t="s">
        <v>16</v>
      </c>
      <c r="C383" t="s">
        <v>3288</v>
      </c>
      <c r="D383" t="s">
        <v>3289</v>
      </c>
      <c r="E383" t="s">
        <v>3290</v>
      </c>
      <c r="F383" t="s">
        <v>2919</v>
      </c>
      <c r="G383" t="s">
        <v>22</v>
      </c>
      <c r="H383" t="s">
        <v>22</v>
      </c>
      <c r="I383" t="s">
        <v>1805</v>
      </c>
    </row>
    <row r="384" customHeight="1" spans="1:9">
      <c r="A384" t="s">
        <v>2412</v>
      </c>
      <c r="B384" t="s">
        <v>16</v>
      </c>
      <c r="C384" t="s">
        <v>3291</v>
      </c>
      <c r="D384" t="s">
        <v>3292</v>
      </c>
      <c r="E384" t="s">
        <v>3293</v>
      </c>
      <c r="F384" t="s">
        <v>569</v>
      </c>
      <c r="G384" t="s">
        <v>22</v>
      </c>
      <c r="H384" t="s">
        <v>22</v>
      </c>
      <c r="I384" t="s">
        <v>1805</v>
      </c>
    </row>
    <row r="385" customHeight="1" spans="1:9">
      <c r="A385" t="s">
        <v>2412</v>
      </c>
      <c r="B385" t="s">
        <v>16</v>
      </c>
      <c r="C385" t="s">
        <v>3294</v>
      </c>
      <c r="D385" t="s">
        <v>3295</v>
      </c>
      <c r="E385" t="s">
        <v>3296</v>
      </c>
      <c r="F385" t="s">
        <v>2868</v>
      </c>
      <c r="G385" t="s">
        <v>22</v>
      </c>
      <c r="H385" t="s">
        <v>22</v>
      </c>
      <c r="I385" t="s">
        <v>1805</v>
      </c>
    </row>
    <row r="386" customHeight="1" spans="1:9">
      <c r="A386" t="s">
        <v>2412</v>
      </c>
      <c r="B386" t="s">
        <v>16</v>
      </c>
      <c r="C386" t="s">
        <v>3297</v>
      </c>
      <c r="D386" t="s">
        <v>3298</v>
      </c>
      <c r="E386" t="s">
        <v>3299</v>
      </c>
      <c r="F386" t="s">
        <v>2420</v>
      </c>
      <c r="G386" t="s">
        <v>22</v>
      </c>
      <c r="H386" t="s">
        <v>22</v>
      </c>
      <c r="I386" t="s">
        <v>1805</v>
      </c>
    </row>
    <row r="387" customHeight="1" spans="1:9">
      <c r="A387" t="s">
        <v>2412</v>
      </c>
      <c r="B387" t="s">
        <v>16</v>
      </c>
      <c r="C387" t="s">
        <v>3300</v>
      </c>
      <c r="D387" t="s">
        <v>3301</v>
      </c>
      <c r="E387" t="s">
        <v>3302</v>
      </c>
      <c r="F387" t="s">
        <v>2420</v>
      </c>
      <c r="G387" t="s">
        <v>22</v>
      </c>
      <c r="H387" t="s">
        <v>22</v>
      </c>
      <c r="I387" t="s">
        <v>1805</v>
      </c>
    </row>
    <row r="388" customHeight="1" spans="1:9">
      <c r="A388" t="s">
        <v>2412</v>
      </c>
      <c r="B388" t="s">
        <v>16</v>
      </c>
      <c r="C388" t="s">
        <v>3303</v>
      </c>
      <c r="D388" t="s">
        <v>3304</v>
      </c>
      <c r="E388" t="s">
        <v>3305</v>
      </c>
      <c r="F388" t="s">
        <v>3306</v>
      </c>
      <c r="G388" t="s">
        <v>22</v>
      </c>
      <c r="H388" t="s">
        <v>22</v>
      </c>
      <c r="I388" t="s">
        <v>1805</v>
      </c>
    </row>
    <row r="389" customHeight="1" spans="1:9">
      <c r="A389" t="s">
        <v>2412</v>
      </c>
      <c r="B389" t="s">
        <v>16</v>
      </c>
      <c r="C389" t="s">
        <v>3307</v>
      </c>
      <c r="D389" t="s">
        <v>3308</v>
      </c>
      <c r="E389" t="s">
        <v>3309</v>
      </c>
      <c r="F389" t="s">
        <v>2495</v>
      </c>
      <c r="G389" t="s">
        <v>22</v>
      </c>
      <c r="H389" t="s">
        <v>22</v>
      </c>
      <c r="I389" t="s">
        <v>1805</v>
      </c>
    </row>
    <row r="390" customHeight="1" spans="1:9">
      <c r="A390" t="s">
        <v>2412</v>
      </c>
      <c r="B390" t="s">
        <v>16</v>
      </c>
      <c r="C390" t="s">
        <v>3310</v>
      </c>
      <c r="D390" t="s">
        <v>3311</v>
      </c>
      <c r="E390" t="s">
        <v>3312</v>
      </c>
      <c r="F390" t="s">
        <v>3313</v>
      </c>
      <c r="G390" t="s">
        <v>22</v>
      </c>
      <c r="H390" t="s">
        <v>22</v>
      </c>
      <c r="I390" t="s">
        <v>1805</v>
      </c>
    </row>
    <row r="391" customHeight="1" spans="1:9">
      <c r="A391" t="s">
        <v>2412</v>
      </c>
      <c r="B391" t="s">
        <v>16</v>
      </c>
      <c r="C391" t="s">
        <v>3314</v>
      </c>
      <c r="D391" t="s">
        <v>3315</v>
      </c>
      <c r="E391" t="s">
        <v>3316</v>
      </c>
      <c r="F391" t="s">
        <v>2543</v>
      </c>
      <c r="G391" t="s">
        <v>22</v>
      </c>
      <c r="H391" t="s">
        <v>22</v>
      </c>
      <c r="I391" t="s">
        <v>1805</v>
      </c>
    </row>
    <row r="392" customHeight="1" spans="1:9">
      <c r="A392" t="s">
        <v>2412</v>
      </c>
      <c r="B392" t="s">
        <v>16</v>
      </c>
      <c r="C392" t="s">
        <v>3317</v>
      </c>
      <c r="D392" t="s">
        <v>3318</v>
      </c>
      <c r="E392" t="s">
        <v>3319</v>
      </c>
      <c r="F392" t="s">
        <v>2543</v>
      </c>
      <c r="G392" t="s">
        <v>22</v>
      </c>
      <c r="H392" t="s">
        <v>22</v>
      </c>
      <c r="I392" t="s">
        <v>1805</v>
      </c>
    </row>
    <row r="393" customHeight="1" spans="1:9">
      <c r="A393" t="s">
        <v>2412</v>
      </c>
      <c r="B393" t="s">
        <v>16</v>
      </c>
      <c r="C393" t="s">
        <v>3320</v>
      </c>
      <c r="D393" t="s">
        <v>3318</v>
      </c>
      <c r="E393" t="s">
        <v>3321</v>
      </c>
      <c r="F393" t="s">
        <v>2577</v>
      </c>
      <c r="G393" t="s">
        <v>22</v>
      </c>
      <c r="H393" t="s">
        <v>22</v>
      </c>
      <c r="I393" t="s">
        <v>1805</v>
      </c>
    </row>
    <row r="394" customHeight="1" spans="1:9">
      <c r="A394" t="s">
        <v>2412</v>
      </c>
      <c r="B394" t="s">
        <v>16</v>
      </c>
      <c r="C394" t="s">
        <v>3322</v>
      </c>
      <c r="D394" t="s">
        <v>3323</v>
      </c>
      <c r="E394" t="s">
        <v>3324</v>
      </c>
      <c r="F394" t="s">
        <v>2535</v>
      </c>
      <c r="G394" t="s">
        <v>22</v>
      </c>
      <c r="H394" t="s">
        <v>22</v>
      </c>
      <c r="I394" t="s">
        <v>1805</v>
      </c>
    </row>
    <row r="395" customHeight="1" spans="1:9">
      <c r="A395" t="s">
        <v>2412</v>
      </c>
      <c r="B395" t="s">
        <v>16</v>
      </c>
      <c r="C395" t="s">
        <v>3325</v>
      </c>
      <c r="D395" t="s">
        <v>3326</v>
      </c>
      <c r="E395" t="s">
        <v>3327</v>
      </c>
      <c r="F395" t="s">
        <v>2543</v>
      </c>
      <c r="G395" t="s">
        <v>22</v>
      </c>
      <c r="H395" t="s">
        <v>22</v>
      </c>
      <c r="I395" t="s">
        <v>1805</v>
      </c>
    </row>
    <row r="396" customHeight="1" spans="1:9">
      <c r="A396" t="s">
        <v>2412</v>
      </c>
      <c r="B396" t="s">
        <v>16</v>
      </c>
      <c r="C396" t="s">
        <v>3328</v>
      </c>
      <c r="D396" t="s">
        <v>3329</v>
      </c>
      <c r="E396" t="s">
        <v>3330</v>
      </c>
      <c r="F396" t="s">
        <v>3074</v>
      </c>
      <c r="G396" t="s">
        <v>22</v>
      </c>
      <c r="H396" t="s">
        <v>22</v>
      </c>
      <c r="I396" t="s">
        <v>1805</v>
      </c>
    </row>
    <row r="397" customHeight="1" spans="1:9">
      <c r="A397" t="s">
        <v>2412</v>
      </c>
      <c r="B397" t="s">
        <v>16</v>
      </c>
      <c r="C397" t="s">
        <v>3331</v>
      </c>
      <c r="D397" t="s">
        <v>3332</v>
      </c>
      <c r="E397" t="s">
        <v>3333</v>
      </c>
      <c r="F397" t="s">
        <v>2451</v>
      </c>
      <c r="G397" t="s">
        <v>22</v>
      </c>
      <c r="H397" t="s">
        <v>22</v>
      </c>
      <c r="I397" t="s">
        <v>1805</v>
      </c>
    </row>
    <row r="398" customHeight="1" spans="1:9">
      <c r="A398" t="s">
        <v>2412</v>
      </c>
      <c r="B398" t="s">
        <v>16</v>
      </c>
      <c r="C398" t="s">
        <v>3334</v>
      </c>
      <c r="D398" t="s">
        <v>3335</v>
      </c>
      <c r="E398" t="s">
        <v>3290</v>
      </c>
      <c r="F398" t="s">
        <v>3336</v>
      </c>
      <c r="G398" t="s">
        <v>3337</v>
      </c>
      <c r="H398" t="s">
        <v>22</v>
      </c>
      <c r="I398" t="s">
        <v>1805</v>
      </c>
    </row>
    <row r="399" customHeight="1" spans="1:9">
      <c r="A399" t="s">
        <v>2412</v>
      </c>
      <c r="B399" t="s">
        <v>16</v>
      </c>
      <c r="C399" t="s">
        <v>3338</v>
      </c>
      <c r="D399" t="s">
        <v>3339</v>
      </c>
      <c r="E399" t="s">
        <v>3340</v>
      </c>
      <c r="F399" t="s">
        <v>3306</v>
      </c>
      <c r="G399" t="s">
        <v>22</v>
      </c>
      <c r="H399" t="s">
        <v>22</v>
      </c>
      <c r="I399" t="s">
        <v>1805</v>
      </c>
    </row>
    <row r="400" customHeight="1" spans="1:9">
      <c r="A400" t="s">
        <v>2412</v>
      </c>
      <c r="B400" t="s">
        <v>16</v>
      </c>
      <c r="C400" t="s">
        <v>3341</v>
      </c>
      <c r="D400" t="s">
        <v>3342</v>
      </c>
      <c r="E400" t="s">
        <v>3343</v>
      </c>
      <c r="F400" t="s">
        <v>2685</v>
      </c>
      <c r="G400" t="s">
        <v>22</v>
      </c>
      <c r="H400" t="s">
        <v>22</v>
      </c>
      <c r="I400" t="s">
        <v>1805</v>
      </c>
    </row>
    <row r="401" customHeight="1" spans="1:9">
      <c r="A401" t="s">
        <v>2412</v>
      </c>
      <c r="B401" t="s">
        <v>16</v>
      </c>
      <c r="C401" t="s">
        <v>3344</v>
      </c>
      <c r="D401" t="s">
        <v>3345</v>
      </c>
      <c r="E401" t="s">
        <v>3346</v>
      </c>
      <c r="F401" t="s">
        <v>3313</v>
      </c>
      <c r="G401" t="s">
        <v>22</v>
      </c>
      <c r="H401" t="s">
        <v>22</v>
      </c>
      <c r="I401" t="s">
        <v>1805</v>
      </c>
    </row>
    <row r="402" customHeight="1" spans="1:9">
      <c r="A402" t="s">
        <v>2412</v>
      </c>
      <c r="B402" t="s">
        <v>16</v>
      </c>
      <c r="C402" t="s">
        <v>3347</v>
      </c>
      <c r="D402" t="s">
        <v>3348</v>
      </c>
      <c r="E402" t="s">
        <v>3349</v>
      </c>
      <c r="F402" t="s">
        <v>2477</v>
      </c>
      <c r="G402" t="s">
        <v>22</v>
      </c>
      <c r="H402" t="s">
        <v>22</v>
      </c>
      <c r="I402" t="s">
        <v>1805</v>
      </c>
    </row>
    <row r="403" customHeight="1" spans="1:9">
      <c r="A403" t="s">
        <v>2412</v>
      </c>
      <c r="B403" t="s">
        <v>16</v>
      </c>
      <c r="C403" t="s">
        <v>3350</v>
      </c>
      <c r="D403" t="s">
        <v>3351</v>
      </c>
      <c r="E403" t="s">
        <v>3352</v>
      </c>
      <c r="F403" t="s">
        <v>2666</v>
      </c>
      <c r="G403" t="s">
        <v>22</v>
      </c>
      <c r="H403" t="s">
        <v>22</v>
      </c>
      <c r="I403" t="s">
        <v>1805</v>
      </c>
    </row>
    <row r="404" customHeight="1" spans="1:9">
      <c r="A404" t="s">
        <v>2412</v>
      </c>
      <c r="B404" t="s">
        <v>16</v>
      </c>
      <c r="C404" t="s">
        <v>3353</v>
      </c>
      <c r="D404" t="s">
        <v>3354</v>
      </c>
      <c r="E404" t="s">
        <v>3355</v>
      </c>
      <c r="F404" t="s">
        <v>2416</v>
      </c>
      <c r="G404" t="s">
        <v>22</v>
      </c>
      <c r="H404" t="s">
        <v>22</v>
      </c>
      <c r="I404" t="s">
        <v>1805</v>
      </c>
    </row>
    <row r="405" customHeight="1" spans="1:9">
      <c r="A405" t="s">
        <v>2412</v>
      </c>
      <c r="B405" t="s">
        <v>16</v>
      </c>
      <c r="C405" t="s">
        <v>3356</v>
      </c>
      <c r="D405" t="s">
        <v>3357</v>
      </c>
      <c r="E405" t="s">
        <v>3358</v>
      </c>
      <c r="F405" t="s">
        <v>2889</v>
      </c>
      <c r="G405" t="s">
        <v>22</v>
      </c>
      <c r="H405" t="s">
        <v>22</v>
      </c>
      <c r="I405" t="s">
        <v>1805</v>
      </c>
    </row>
    <row r="406" customHeight="1" spans="1:9">
      <c r="A406" t="s">
        <v>2412</v>
      </c>
      <c r="B406" t="s">
        <v>16</v>
      </c>
      <c r="C406" t="s">
        <v>3359</v>
      </c>
      <c r="D406" t="s">
        <v>3360</v>
      </c>
      <c r="E406" t="s">
        <v>3361</v>
      </c>
      <c r="F406" t="s">
        <v>2473</v>
      </c>
      <c r="G406" t="s">
        <v>3362</v>
      </c>
      <c r="H406" t="s">
        <v>22</v>
      </c>
      <c r="I406" t="s">
        <v>1805</v>
      </c>
    </row>
    <row r="407" customHeight="1" spans="1:9">
      <c r="A407" t="s">
        <v>2412</v>
      </c>
      <c r="B407" t="s">
        <v>16</v>
      </c>
      <c r="C407" t="s">
        <v>3363</v>
      </c>
      <c r="D407" t="s">
        <v>3364</v>
      </c>
      <c r="E407" t="s">
        <v>3365</v>
      </c>
      <c r="F407" t="s">
        <v>3074</v>
      </c>
      <c r="G407" t="s">
        <v>22</v>
      </c>
      <c r="H407" t="s">
        <v>22</v>
      </c>
      <c r="I407" t="s">
        <v>1805</v>
      </c>
    </row>
    <row r="408" customHeight="1" spans="1:9">
      <c r="A408" t="s">
        <v>2412</v>
      </c>
      <c r="B408" t="s">
        <v>16</v>
      </c>
      <c r="C408" t="s">
        <v>3366</v>
      </c>
      <c r="D408" t="s">
        <v>3364</v>
      </c>
      <c r="E408" t="s">
        <v>3367</v>
      </c>
      <c r="F408" t="s">
        <v>2527</v>
      </c>
      <c r="G408" t="s">
        <v>3368</v>
      </c>
      <c r="H408" t="s">
        <v>22</v>
      </c>
      <c r="I408" t="s">
        <v>1805</v>
      </c>
    </row>
    <row r="409" customHeight="1" spans="1:9">
      <c r="A409" t="s">
        <v>2412</v>
      </c>
      <c r="B409" t="s">
        <v>16</v>
      </c>
      <c r="C409" t="s">
        <v>2897</v>
      </c>
      <c r="D409" t="s">
        <v>2898</v>
      </c>
      <c r="E409" t="s">
        <v>2899</v>
      </c>
      <c r="F409" t="s">
        <v>2900</v>
      </c>
      <c r="G409" t="s">
        <v>22</v>
      </c>
      <c r="H409" t="s">
        <v>22</v>
      </c>
      <c r="I409" t="s">
        <v>1805</v>
      </c>
    </row>
    <row r="410" customHeight="1" spans="1:9">
      <c r="A410" t="s">
        <v>2412</v>
      </c>
      <c r="B410" t="s">
        <v>16</v>
      </c>
      <c r="C410" t="s">
        <v>3369</v>
      </c>
      <c r="D410" t="s">
        <v>3370</v>
      </c>
      <c r="E410" t="s">
        <v>3371</v>
      </c>
      <c r="F410" t="s">
        <v>2527</v>
      </c>
      <c r="G410" t="s">
        <v>22</v>
      </c>
      <c r="H410" t="s">
        <v>22</v>
      </c>
      <c r="I410" t="s">
        <v>1805</v>
      </c>
    </row>
    <row r="411" customHeight="1" spans="1:9">
      <c r="A411" t="s">
        <v>2412</v>
      </c>
      <c r="B411" t="s">
        <v>16</v>
      </c>
      <c r="C411" t="s">
        <v>3372</v>
      </c>
      <c r="D411" t="s">
        <v>3373</v>
      </c>
      <c r="E411" t="s">
        <v>3374</v>
      </c>
      <c r="F411" t="s">
        <v>2495</v>
      </c>
      <c r="G411" t="s">
        <v>3375</v>
      </c>
      <c r="H411" t="s">
        <v>22</v>
      </c>
      <c r="I411" t="s">
        <v>1805</v>
      </c>
    </row>
    <row r="412" customHeight="1" spans="1:9">
      <c r="A412" t="s">
        <v>2412</v>
      </c>
      <c r="B412" t="s">
        <v>16</v>
      </c>
      <c r="C412" t="s">
        <v>3376</v>
      </c>
      <c r="D412" t="s">
        <v>3377</v>
      </c>
      <c r="E412" t="s">
        <v>3378</v>
      </c>
      <c r="F412" t="s">
        <v>2495</v>
      </c>
      <c r="G412" t="s">
        <v>22</v>
      </c>
      <c r="H412" t="s">
        <v>22</v>
      </c>
      <c r="I412" t="s">
        <v>1805</v>
      </c>
    </row>
    <row r="413" customHeight="1" spans="1:9">
      <c r="A413" t="s">
        <v>2412</v>
      </c>
      <c r="B413" t="s">
        <v>16</v>
      </c>
      <c r="C413" t="s">
        <v>3379</v>
      </c>
      <c r="D413" t="s">
        <v>3380</v>
      </c>
      <c r="E413" t="s">
        <v>3381</v>
      </c>
      <c r="F413" t="s">
        <v>2477</v>
      </c>
      <c r="G413" t="s">
        <v>22</v>
      </c>
      <c r="H413" t="s">
        <v>22</v>
      </c>
      <c r="I413" t="s">
        <v>1805</v>
      </c>
    </row>
    <row r="414" customHeight="1" spans="1:9">
      <c r="A414" t="s">
        <v>2412</v>
      </c>
      <c r="B414" t="s">
        <v>16</v>
      </c>
      <c r="C414" t="s">
        <v>3382</v>
      </c>
      <c r="D414" t="s">
        <v>3383</v>
      </c>
      <c r="E414" t="s">
        <v>3384</v>
      </c>
      <c r="F414" t="s">
        <v>2919</v>
      </c>
      <c r="G414" t="s">
        <v>22</v>
      </c>
      <c r="H414" t="s">
        <v>22</v>
      </c>
      <c r="I414" t="s">
        <v>1805</v>
      </c>
    </row>
    <row r="415" customHeight="1" spans="1:9">
      <c r="A415" t="s">
        <v>2412</v>
      </c>
      <c r="B415" t="s">
        <v>16</v>
      </c>
      <c r="C415" t="s">
        <v>3385</v>
      </c>
      <c r="D415" t="s">
        <v>3386</v>
      </c>
      <c r="E415" t="s">
        <v>3387</v>
      </c>
      <c r="F415" t="s">
        <v>2678</v>
      </c>
      <c r="G415" t="s">
        <v>22</v>
      </c>
      <c r="H415" t="s">
        <v>22</v>
      </c>
      <c r="I415" t="s">
        <v>1805</v>
      </c>
    </row>
    <row r="416" customHeight="1" spans="1:9">
      <c r="A416" t="s">
        <v>2412</v>
      </c>
      <c r="B416" t="s">
        <v>16</v>
      </c>
      <c r="C416" t="s">
        <v>3388</v>
      </c>
      <c r="D416" t="s">
        <v>3389</v>
      </c>
      <c r="E416" t="s">
        <v>3390</v>
      </c>
      <c r="F416" t="s">
        <v>2868</v>
      </c>
      <c r="G416" t="s">
        <v>3391</v>
      </c>
      <c r="H416" t="s">
        <v>22</v>
      </c>
      <c r="I416" t="s">
        <v>1805</v>
      </c>
    </row>
    <row r="417" customHeight="1" spans="1:9">
      <c r="A417" t="s">
        <v>2412</v>
      </c>
      <c r="B417" t="s">
        <v>16</v>
      </c>
      <c r="C417" t="s">
        <v>3392</v>
      </c>
      <c r="D417" t="s">
        <v>3393</v>
      </c>
      <c r="E417" t="s">
        <v>3394</v>
      </c>
      <c r="F417" t="s">
        <v>2832</v>
      </c>
      <c r="G417" t="s">
        <v>22</v>
      </c>
      <c r="H417" t="s">
        <v>22</v>
      </c>
      <c r="I417" t="s">
        <v>1805</v>
      </c>
    </row>
    <row r="418" customHeight="1" spans="1:9">
      <c r="A418" t="s">
        <v>2412</v>
      </c>
      <c r="B418" t="s">
        <v>16</v>
      </c>
      <c r="C418" t="s">
        <v>3395</v>
      </c>
      <c r="D418" t="s">
        <v>3396</v>
      </c>
      <c r="E418" t="s">
        <v>3397</v>
      </c>
      <c r="F418" t="s">
        <v>2599</v>
      </c>
      <c r="G418" t="s">
        <v>22</v>
      </c>
      <c r="H418" t="s">
        <v>22</v>
      </c>
      <c r="I418" t="s">
        <v>1805</v>
      </c>
    </row>
    <row r="419" customHeight="1" spans="1:9">
      <c r="A419" t="s">
        <v>2412</v>
      </c>
      <c r="B419" t="s">
        <v>16</v>
      </c>
      <c r="C419" t="s">
        <v>3398</v>
      </c>
      <c r="D419" t="s">
        <v>3399</v>
      </c>
      <c r="E419" t="s">
        <v>3400</v>
      </c>
      <c r="F419" t="s">
        <v>2531</v>
      </c>
      <c r="G419" t="s">
        <v>22</v>
      </c>
      <c r="H419" t="s">
        <v>22</v>
      </c>
      <c r="I419" t="s">
        <v>1805</v>
      </c>
    </row>
    <row r="420" customHeight="1" spans="1:9">
      <c r="A420" t="s">
        <v>2412</v>
      </c>
      <c r="B420" t="s">
        <v>16</v>
      </c>
      <c r="C420" t="s">
        <v>3401</v>
      </c>
      <c r="D420" t="s">
        <v>3402</v>
      </c>
      <c r="E420" t="s">
        <v>3403</v>
      </c>
      <c r="F420" t="s">
        <v>2685</v>
      </c>
      <c r="G420" t="s">
        <v>22</v>
      </c>
      <c r="H420" t="s">
        <v>22</v>
      </c>
      <c r="I420" t="s">
        <v>1805</v>
      </c>
    </row>
    <row r="421" customHeight="1" spans="1:9">
      <c r="A421" t="s">
        <v>2412</v>
      </c>
      <c r="B421" t="s">
        <v>16</v>
      </c>
      <c r="C421" t="s">
        <v>3404</v>
      </c>
      <c r="D421" t="s">
        <v>3405</v>
      </c>
      <c r="E421" t="s">
        <v>3406</v>
      </c>
      <c r="F421" t="s">
        <v>2451</v>
      </c>
      <c r="G421" t="s">
        <v>22</v>
      </c>
      <c r="H421" t="s">
        <v>22</v>
      </c>
      <c r="I421" t="s">
        <v>1805</v>
      </c>
    </row>
    <row r="422" customHeight="1" spans="1:9">
      <c r="A422" t="s">
        <v>2412</v>
      </c>
      <c r="B422" t="s">
        <v>16</v>
      </c>
      <c r="C422" t="s">
        <v>3407</v>
      </c>
      <c r="D422" t="s">
        <v>3408</v>
      </c>
      <c r="E422" t="s">
        <v>3409</v>
      </c>
      <c r="F422" t="s">
        <v>2659</v>
      </c>
      <c r="G422" t="s">
        <v>22</v>
      </c>
      <c r="H422" t="s">
        <v>22</v>
      </c>
      <c r="I422" t="s">
        <v>1805</v>
      </c>
    </row>
    <row r="423" customHeight="1" spans="1:9">
      <c r="A423" t="s">
        <v>2412</v>
      </c>
      <c r="B423" t="s">
        <v>16</v>
      </c>
      <c r="C423" t="s">
        <v>3410</v>
      </c>
      <c r="D423" t="s">
        <v>3411</v>
      </c>
      <c r="E423" t="s">
        <v>3412</v>
      </c>
      <c r="F423" t="s">
        <v>3413</v>
      </c>
      <c r="G423" t="s">
        <v>22</v>
      </c>
      <c r="H423" t="s">
        <v>22</v>
      </c>
      <c r="I423" t="s">
        <v>1805</v>
      </c>
    </row>
    <row r="424" customHeight="1" spans="1:9">
      <c r="A424" t="s">
        <v>2412</v>
      </c>
      <c r="B424" t="s">
        <v>16</v>
      </c>
      <c r="C424" t="s">
        <v>3414</v>
      </c>
      <c r="D424" t="s">
        <v>3415</v>
      </c>
      <c r="E424" t="s">
        <v>3416</v>
      </c>
      <c r="F424" t="s">
        <v>2535</v>
      </c>
      <c r="G424" t="s">
        <v>22</v>
      </c>
      <c r="H424" t="s">
        <v>22</v>
      </c>
      <c r="I424" t="s">
        <v>1805</v>
      </c>
    </row>
    <row r="425" customHeight="1" spans="1:9">
      <c r="A425" t="s">
        <v>2412</v>
      </c>
      <c r="B425" t="s">
        <v>16</v>
      </c>
      <c r="C425" t="s">
        <v>22</v>
      </c>
      <c r="D425" t="s">
        <v>2941</v>
      </c>
      <c r="E425" t="s">
        <v>2942</v>
      </c>
      <c r="F425" t="s">
        <v>2678</v>
      </c>
      <c r="G425" t="s">
        <v>22</v>
      </c>
      <c r="H425" t="s">
        <v>22</v>
      </c>
      <c r="I425" t="s">
        <v>1805</v>
      </c>
    </row>
  </sheetData>
  <sheetProtection formatColumns="0" formatRows="0" insertRows="0" deleteColumns="0" deleteRows="0" sort="0" autoFilter="0"/>
  <pageMargins left="0.75" right="0.75" top="1" bottom="1" header="0.5" footer="0.5"/>
  <pageSetup paperSize="1" orientation="portrait"/>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G464"/>
  <sheetViews>
    <sheetView showGridLines="0" workbookViewId="0">
      <selection activeCell="A1" sqref="A1"/>
    </sheetView>
  </sheetViews>
  <sheetFormatPr defaultColWidth="9" defaultRowHeight="11.25" customHeight="1" outlineLevelCol="6"/>
  <cols>
    <col min="1" max="1" width="9.14285714285714"/>
  </cols>
  <sheetData>
    <row r="1" customHeight="1" spans="1:7">
      <c r="A1" t="s">
        <v>3417</v>
      </c>
      <c r="B1" s="12" t="s">
        <v>3418</v>
      </c>
      <c r="C1" s="12" t="s">
        <v>3419</v>
      </c>
      <c r="D1" s="12" t="s">
        <v>3420</v>
      </c>
      <c r="E1" s="12" t="s">
        <v>3421</v>
      </c>
      <c r="F1" s="12" t="s">
        <v>3422</v>
      </c>
      <c r="G1" s="12" t="s">
        <v>3423</v>
      </c>
    </row>
    <row r="2" customHeight="1" spans="1:7">
      <c r="A2" t="s">
        <v>16</v>
      </c>
      <c r="B2" t="s">
        <v>3424</v>
      </c>
      <c r="C2" t="s">
        <v>3425</v>
      </c>
      <c r="D2" t="s">
        <v>3424</v>
      </c>
      <c r="E2" t="s">
        <v>3425</v>
      </c>
      <c r="F2" t="s">
        <v>3426</v>
      </c>
      <c r="G2" t="s">
        <v>107</v>
      </c>
    </row>
    <row r="3" customHeight="1" spans="1:7">
      <c r="A3" t="s">
        <v>16</v>
      </c>
      <c r="B3" t="s">
        <v>3424</v>
      </c>
      <c r="C3" t="s">
        <v>3425</v>
      </c>
      <c r="D3" t="s">
        <v>3427</v>
      </c>
      <c r="E3" t="s">
        <v>3428</v>
      </c>
      <c r="F3" t="s">
        <v>3429</v>
      </c>
      <c r="G3" t="s">
        <v>108</v>
      </c>
    </row>
    <row r="4" customHeight="1" spans="1:7">
      <c r="A4" t="s">
        <v>16</v>
      </c>
      <c r="B4" t="s">
        <v>3424</v>
      </c>
      <c r="C4" t="s">
        <v>3425</v>
      </c>
      <c r="D4" t="s">
        <v>3430</v>
      </c>
      <c r="E4" t="s">
        <v>3431</v>
      </c>
      <c r="F4" t="s">
        <v>3429</v>
      </c>
      <c r="G4" t="s">
        <v>91</v>
      </c>
    </row>
    <row r="5" customHeight="1" spans="1:7">
      <c r="A5" t="s">
        <v>16</v>
      </c>
      <c r="B5" t="s">
        <v>3424</v>
      </c>
      <c r="C5" t="s">
        <v>3425</v>
      </c>
      <c r="D5" t="s">
        <v>3432</v>
      </c>
      <c r="E5" t="s">
        <v>3433</v>
      </c>
      <c r="F5" t="s">
        <v>3429</v>
      </c>
      <c r="G5" t="s">
        <v>92</v>
      </c>
    </row>
    <row r="6" customHeight="1" spans="1:7">
      <c r="A6" t="s">
        <v>16</v>
      </c>
      <c r="B6" t="s">
        <v>3424</v>
      </c>
      <c r="C6" t="s">
        <v>3425</v>
      </c>
      <c r="D6" t="s">
        <v>3434</v>
      </c>
      <c r="E6" t="s">
        <v>3435</v>
      </c>
      <c r="F6" t="s">
        <v>3429</v>
      </c>
      <c r="G6" t="s">
        <v>109</v>
      </c>
    </row>
    <row r="7" customHeight="1" spans="1:7">
      <c r="A7" t="s">
        <v>16</v>
      </c>
      <c r="B7" t="s">
        <v>3424</v>
      </c>
      <c r="C7" t="s">
        <v>3425</v>
      </c>
      <c r="D7" t="s">
        <v>3436</v>
      </c>
      <c r="E7" t="s">
        <v>3437</v>
      </c>
      <c r="F7" t="s">
        <v>3429</v>
      </c>
      <c r="G7" t="s">
        <v>93</v>
      </c>
    </row>
    <row r="8" customHeight="1" spans="1:7">
      <c r="A8" t="s">
        <v>16</v>
      </c>
      <c r="B8" t="s">
        <v>3424</v>
      </c>
      <c r="C8" t="s">
        <v>3425</v>
      </c>
      <c r="D8" t="s">
        <v>3438</v>
      </c>
      <c r="E8" t="s">
        <v>3439</v>
      </c>
      <c r="F8" t="s">
        <v>3429</v>
      </c>
      <c r="G8" t="s">
        <v>94</v>
      </c>
    </row>
    <row r="9" customHeight="1" spans="1:7">
      <c r="A9" t="s">
        <v>16</v>
      </c>
      <c r="B9" t="s">
        <v>3424</v>
      </c>
      <c r="C9" t="s">
        <v>3425</v>
      </c>
      <c r="D9" t="s">
        <v>3440</v>
      </c>
      <c r="E9" t="s">
        <v>3441</v>
      </c>
      <c r="F9" t="s">
        <v>3429</v>
      </c>
      <c r="G9" t="s">
        <v>110</v>
      </c>
    </row>
    <row r="10" customHeight="1" spans="1:7">
      <c r="A10" t="s">
        <v>16</v>
      </c>
      <c r="B10" t="s">
        <v>3424</v>
      </c>
      <c r="C10" t="s">
        <v>3425</v>
      </c>
      <c r="D10" t="s">
        <v>3442</v>
      </c>
      <c r="E10" t="s">
        <v>3443</v>
      </c>
      <c r="F10" t="s">
        <v>3429</v>
      </c>
      <c r="G10" t="s">
        <v>146</v>
      </c>
    </row>
    <row r="11" customHeight="1" spans="1:7">
      <c r="A11" t="s">
        <v>16</v>
      </c>
      <c r="B11" t="s">
        <v>3424</v>
      </c>
      <c r="C11" t="s">
        <v>3425</v>
      </c>
      <c r="D11" t="s">
        <v>3444</v>
      </c>
      <c r="E11" t="s">
        <v>3445</v>
      </c>
      <c r="F11" t="s">
        <v>3429</v>
      </c>
      <c r="G11" t="s">
        <v>147</v>
      </c>
    </row>
    <row r="12" customHeight="1" spans="1:7">
      <c r="A12" t="s">
        <v>16</v>
      </c>
      <c r="B12" t="s">
        <v>3424</v>
      </c>
      <c r="C12" t="s">
        <v>3425</v>
      </c>
      <c r="D12" t="s">
        <v>3446</v>
      </c>
      <c r="E12" t="s">
        <v>3447</v>
      </c>
      <c r="F12" t="s">
        <v>3429</v>
      </c>
      <c r="G12" t="s">
        <v>148</v>
      </c>
    </row>
    <row r="13" customHeight="1" spans="1:7">
      <c r="A13" t="s">
        <v>16</v>
      </c>
      <c r="B13" t="s">
        <v>3424</v>
      </c>
      <c r="C13" t="s">
        <v>3425</v>
      </c>
      <c r="D13" t="s">
        <v>3448</v>
      </c>
      <c r="E13" t="s">
        <v>3449</v>
      </c>
      <c r="F13" t="s">
        <v>3429</v>
      </c>
      <c r="G13" t="s">
        <v>149</v>
      </c>
    </row>
    <row r="14" customHeight="1" spans="1:7">
      <c r="A14" t="s">
        <v>16</v>
      </c>
      <c r="B14" t="s">
        <v>3424</v>
      </c>
      <c r="C14" t="s">
        <v>3425</v>
      </c>
      <c r="D14" t="s">
        <v>3450</v>
      </c>
      <c r="E14" t="s">
        <v>3451</v>
      </c>
      <c r="F14" t="s">
        <v>3429</v>
      </c>
      <c r="G14" t="s">
        <v>150</v>
      </c>
    </row>
    <row r="15" customHeight="1" spans="1:7">
      <c r="A15" t="s">
        <v>16</v>
      </c>
      <c r="B15" t="s">
        <v>3424</v>
      </c>
      <c r="C15" t="s">
        <v>3425</v>
      </c>
      <c r="D15" t="s">
        <v>3452</v>
      </c>
      <c r="E15" t="s">
        <v>3453</v>
      </c>
      <c r="F15" t="s">
        <v>3429</v>
      </c>
      <c r="G15" t="s">
        <v>151</v>
      </c>
    </row>
    <row r="16" customHeight="1" spans="1:7">
      <c r="A16" t="s">
        <v>16</v>
      </c>
      <c r="B16" t="s">
        <v>3424</v>
      </c>
      <c r="C16" t="s">
        <v>3425</v>
      </c>
      <c r="D16" t="s">
        <v>3454</v>
      </c>
      <c r="E16" t="s">
        <v>3455</v>
      </c>
      <c r="F16" t="s">
        <v>3429</v>
      </c>
      <c r="G16" t="s">
        <v>1100</v>
      </c>
    </row>
    <row r="17" customHeight="1" spans="1:7">
      <c r="A17" t="s">
        <v>16</v>
      </c>
      <c r="B17" t="s">
        <v>3424</v>
      </c>
      <c r="C17" t="s">
        <v>3425</v>
      </c>
      <c r="D17" t="s">
        <v>3456</v>
      </c>
      <c r="E17" t="s">
        <v>3457</v>
      </c>
      <c r="F17" t="s">
        <v>3429</v>
      </c>
      <c r="G17" t="s">
        <v>1102</v>
      </c>
    </row>
    <row r="18" customHeight="1" spans="1:7">
      <c r="A18" t="s">
        <v>16</v>
      </c>
      <c r="B18" t="s">
        <v>3424</v>
      </c>
      <c r="C18" t="s">
        <v>3425</v>
      </c>
      <c r="D18" t="s">
        <v>3458</v>
      </c>
      <c r="E18" t="s">
        <v>3459</v>
      </c>
      <c r="F18" t="s">
        <v>3429</v>
      </c>
      <c r="G18" t="s">
        <v>1105</v>
      </c>
    </row>
    <row r="19" customHeight="1" spans="1:7">
      <c r="A19" t="s">
        <v>16</v>
      </c>
      <c r="B19" t="s">
        <v>3424</v>
      </c>
      <c r="C19" t="s">
        <v>3425</v>
      </c>
      <c r="D19" t="s">
        <v>3460</v>
      </c>
      <c r="E19" t="s">
        <v>3461</v>
      </c>
      <c r="F19" t="s">
        <v>3429</v>
      </c>
      <c r="G19" t="s">
        <v>1112</v>
      </c>
    </row>
    <row r="20" customHeight="1" spans="1:7">
      <c r="A20" t="s">
        <v>16</v>
      </c>
      <c r="B20" t="s">
        <v>3424</v>
      </c>
      <c r="C20" t="s">
        <v>3425</v>
      </c>
      <c r="D20" t="s">
        <v>3462</v>
      </c>
      <c r="E20" t="s">
        <v>3463</v>
      </c>
      <c r="F20" t="s">
        <v>3429</v>
      </c>
      <c r="G20" t="s">
        <v>1117</v>
      </c>
    </row>
    <row r="21" customHeight="1" spans="1:7">
      <c r="A21" t="s">
        <v>16</v>
      </c>
      <c r="B21" t="s">
        <v>3464</v>
      </c>
      <c r="C21" t="s">
        <v>3465</v>
      </c>
      <c r="D21" t="s">
        <v>3464</v>
      </c>
      <c r="E21" t="s">
        <v>3465</v>
      </c>
      <c r="F21" t="s">
        <v>3426</v>
      </c>
      <c r="G21" t="s">
        <v>1121</v>
      </c>
    </row>
    <row r="22" customHeight="1" spans="1:7">
      <c r="A22" t="s">
        <v>16</v>
      </c>
      <c r="B22" t="s">
        <v>3464</v>
      </c>
      <c r="C22" t="s">
        <v>3465</v>
      </c>
      <c r="D22" t="s">
        <v>3466</v>
      </c>
      <c r="E22" t="s">
        <v>3467</v>
      </c>
      <c r="F22" t="s">
        <v>3468</v>
      </c>
      <c r="G22" t="s">
        <v>1123</v>
      </c>
    </row>
    <row r="23" customHeight="1" spans="1:7">
      <c r="A23" t="s">
        <v>16</v>
      </c>
      <c r="B23" t="s">
        <v>3464</v>
      </c>
      <c r="C23" t="s">
        <v>3465</v>
      </c>
      <c r="D23" t="s">
        <v>3469</v>
      </c>
      <c r="E23" t="s">
        <v>3470</v>
      </c>
      <c r="F23" t="s">
        <v>3429</v>
      </c>
      <c r="G23" t="s">
        <v>1125</v>
      </c>
    </row>
    <row r="24" customHeight="1" spans="1:7">
      <c r="A24" t="s">
        <v>16</v>
      </c>
      <c r="B24" t="s">
        <v>3464</v>
      </c>
      <c r="C24" t="s">
        <v>3465</v>
      </c>
      <c r="D24" t="s">
        <v>3471</v>
      </c>
      <c r="E24" t="s">
        <v>3472</v>
      </c>
      <c r="F24" t="s">
        <v>3429</v>
      </c>
      <c r="G24" t="s">
        <v>1129</v>
      </c>
    </row>
    <row r="25" customHeight="1" spans="1:7">
      <c r="A25" t="s">
        <v>16</v>
      </c>
      <c r="B25" t="s">
        <v>3464</v>
      </c>
      <c r="C25" t="s">
        <v>3465</v>
      </c>
      <c r="D25" t="s">
        <v>3473</v>
      </c>
      <c r="E25" t="s">
        <v>3474</v>
      </c>
      <c r="F25" t="s">
        <v>3429</v>
      </c>
      <c r="G25" t="s">
        <v>1131</v>
      </c>
    </row>
    <row r="26" customHeight="1" spans="1:7">
      <c r="A26" t="s">
        <v>16</v>
      </c>
      <c r="B26" t="s">
        <v>3464</v>
      </c>
      <c r="C26" t="s">
        <v>3465</v>
      </c>
      <c r="D26" t="s">
        <v>3475</v>
      </c>
      <c r="E26" t="s">
        <v>3476</v>
      </c>
      <c r="F26" t="s">
        <v>3429</v>
      </c>
      <c r="G26" t="s">
        <v>1133</v>
      </c>
    </row>
    <row r="27" customHeight="1" spans="1:7">
      <c r="A27" t="s">
        <v>16</v>
      </c>
      <c r="B27" t="s">
        <v>3464</v>
      </c>
      <c r="C27" t="s">
        <v>3465</v>
      </c>
      <c r="D27" t="s">
        <v>3477</v>
      </c>
      <c r="E27" t="s">
        <v>3478</v>
      </c>
      <c r="F27" t="s">
        <v>3429</v>
      </c>
      <c r="G27" t="s">
        <v>1138</v>
      </c>
    </row>
    <row r="28" customHeight="1" spans="1:7">
      <c r="A28" t="s">
        <v>16</v>
      </c>
      <c r="B28" t="s">
        <v>3464</v>
      </c>
      <c r="C28" t="s">
        <v>3465</v>
      </c>
      <c r="D28" t="s">
        <v>3479</v>
      </c>
      <c r="E28" t="s">
        <v>3480</v>
      </c>
      <c r="F28" t="s">
        <v>3429</v>
      </c>
      <c r="G28" t="s">
        <v>1143</v>
      </c>
    </row>
    <row r="29" customHeight="1" spans="1:7">
      <c r="A29" t="s">
        <v>16</v>
      </c>
      <c r="B29" t="s">
        <v>3464</v>
      </c>
      <c r="C29" t="s">
        <v>3465</v>
      </c>
      <c r="D29" t="s">
        <v>3481</v>
      </c>
      <c r="E29" t="s">
        <v>3482</v>
      </c>
      <c r="F29" t="s">
        <v>3429</v>
      </c>
      <c r="G29" t="s">
        <v>1148</v>
      </c>
    </row>
    <row r="30" customHeight="1" spans="1:7">
      <c r="A30" t="s">
        <v>16</v>
      </c>
      <c r="B30" t="s">
        <v>3464</v>
      </c>
      <c r="C30" t="s">
        <v>3465</v>
      </c>
      <c r="D30" t="s">
        <v>3483</v>
      </c>
      <c r="E30" t="s">
        <v>3484</v>
      </c>
      <c r="F30" t="s">
        <v>3429</v>
      </c>
      <c r="G30" t="s">
        <v>1150</v>
      </c>
    </row>
    <row r="31" customHeight="1" spans="1:7">
      <c r="A31" t="s">
        <v>16</v>
      </c>
      <c r="B31" t="s">
        <v>3464</v>
      </c>
      <c r="C31" t="s">
        <v>3465</v>
      </c>
      <c r="D31" t="s">
        <v>3485</v>
      </c>
      <c r="E31" t="s">
        <v>3486</v>
      </c>
      <c r="F31" t="s">
        <v>3429</v>
      </c>
      <c r="G31" t="s">
        <v>1152</v>
      </c>
    </row>
    <row r="32" customHeight="1" spans="1:7">
      <c r="A32" t="s">
        <v>16</v>
      </c>
      <c r="B32" t="s">
        <v>3464</v>
      </c>
      <c r="C32" t="s">
        <v>3465</v>
      </c>
      <c r="D32" t="s">
        <v>3487</v>
      </c>
      <c r="E32" t="s">
        <v>3488</v>
      </c>
      <c r="F32" t="s">
        <v>3429</v>
      </c>
      <c r="G32" t="s">
        <v>1156</v>
      </c>
    </row>
    <row r="33" customHeight="1" spans="1:7">
      <c r="A33" t="s">
        <v>16</v>
      </c>
      <c r="B33" t="s">
        <v>3489</v>
      </c>
      <c r="C33" t="s">
        <v>3490</v>
      </c>
      <c r="D33" t="s">
        <v>3491</v>
      </c>
      <c r="E33" t="s">
        <v>3492</v>
      </c>
      <c r="F33" t="s">
        <v>3429</v>
      </c>
      <c r="G33" t="s">
        <v>1158</v>
      </c>
    </row>
    <row r="34" customHeight="1" spans="1:7">
      <c r="A34" t="s">
        <v>16</v>
      </c>
      <c r="B34" t="s">
        <v>3489</v>
      </c>
      <c r="C34" t="s">
        <v>3490</v>
      </c>
      <c r="D34" t="s">
        <v>3489</v>
      </c>
      <c r="E34" t="s">
        <v>3490</v>
      </c>
      <c r="F34" t="s">
        <v>3426</v>
      </c>
      <c r="G34" t="s">
        <v>1098</v>
      </c>
    </row>
    <row r="35" customHeight="1" spans="1:7">
      <c r="A35" t="s">
        <v>16</v>
      </c>
      <c r="B35" t="s">
        <v>3489</v>
      </c>
      <c r="C35" t="s">
        <v>3490</v>
      </c>
      <c r="D35" t="s">
        <v>3493</v>
      </c>
      <c r="E35" t="s">
        <v>3494</v>
      </c>
      <c r="F35" t="s">
        <v>3429</v>
      </c>
      <c r="G35" t="s">
        <v>1161</v>
      </c>
    </row>
    <row r="36" customHeight="1" spans="1:7">
      <c r="A36" t="s">
        <v>16</v>
      </c>
      <c r="B36" t="s">
        <v>3489</v>
      </c>
      <c r="C36" t="s">
        <v>3490</v>
      </c>
      <c r="D36" t="s">
        <v>3495</v>
      </c>
      <c r="E36" t="s">
        <v>3496</v>
      </c>
      <c r="F36" t="s">
        <v>3429</v>
      </c>
      <c r="G36" t="s">
        <v>1163</v>
      </c>
    </row>
    <row r="37" customHeight="1" spans="1:7">
      <c r="A37" t="s">
        <v>16</v>
      </c>
      <c r="B37" t="s">
        <v>3489</v>
      </c>
      <c r="C37" t="s">
        <v>3490</v>
      </c>
      <c r="D37" t="s">
        <v>3497</v>
      </c>
      <c r="E37" t="s">
        <v>3498</v>
      </c>
      <c r="F37" t="s">
        <v>3429</v>
      </c>
      <c r="G37" t="s">
        <v>1167</v>
      </c>
    </row>
    <row r="38" customHeight="1" spans="1:7">
      <c r="A38" t="s">
        <v>16</v>
      </c>
      <c r="B38" t="s">
        <v>3489</v>
      </c>
      <c r="C38" t="s">
        <v>3490</v>
      </c>
      <c r="D38" t="s">
        <v>3499</v>
      </c>
      <c r="E38" t="s">
        <v>3500</v>
      </c>
      <c r="F38" t="s">
        <v>3429</v>
      </c>
      <c r="G38" t="s">
        <v>1171</v>
      </c>
    </row>
    <row r="39" customHeight="1" spans="1:7">
      <c r="A39" t="s">
        <v>16</v>
      </c>
      <c r="B39" t="s">
        <v>3501</v>
      </c>
      <c r="C39" t="s">
        <v>3502</v>
      </c>
      <c r="D39" t="s">
        <v>3501</v>
      </c>
      <c r="E39" t="s">
        <v>3502</v>
      </c>
      <c r="F39" t="s">
        <v>3426</v>
      </c>
      <c r="G39" t="s">
        <v>1173</v>
      </c>
    </row>
    <row r="40" customHeight="1" spans="1:7">
      <c r="A40" t="s">
        <v>16</v>
      </c>
      <c r="B40" t="s">
        <v>3501</v>
      </c>
      <c r="C40" t="s">
        <v>3502</v>
      </c>
      <c r="D40" t="s">
        <v>3503</v>
      </c>
      <c r="E40" t="s">
        <v>3504</v>
      </c>
      <c r="F40" t="s">
        <v>3468</v>
      </c>
      <c r="G40" t="s">
        <v>1175</v>
      </c>
    </row>
    <row r="41" customHeight="1" spans="1:7">
      <c r="A41" t="s">
        <v>16</v>
      </c>
      <c r="B41" t="s">
        <v>3501</v>
      </c>
      <c r="C41" t="s">
        <v>3502</v>
      </c>
      <c r="D41" t="s">
        <v>3505</v>
      </c>
      <c r="E41" t="s">
        <v>3506</v>
      </c>
      <c r="F41" t="s">
        <v>3429</v>
      </c>
      <c r="G41" t="s">
        <v>1180</v>
      </c>
    </row>
    <row r="42" customHeight="1" spans="1:7">
      <c r="A42" t="s">
        <v>16</v>
      </c>
      <c r="B42" t="s">
        <v>3501</v>
      </c>
      <c r="C42" t="s">
        <v>3502</v>
      </c>
      <c r="D42" t="s">
        <v>3507</v>
      </c>
      <c r="E42" t="s">
        <v>3508</v>
      </c>
      <c r="F42" t="s">
        <v>3429</v>
      </c>
      <c r="G42" t="s">
        <v>1067</v>
      </c>
    </row>
    <row r="43" customHeight="1" spans="1:7">
      <c r="A43" t="s">
        <v>16</v>
      </c>
      <c r="B43" t="s">
        <v>3501</v>
      </c>
      <c r="C43" t="s">
        <v>3502</v>
      </c>
      <c r="D43" t="s">
        <v>3509</v>
      </c>
      <c r="E43" t="s">
        <v>3510</v>
      </c>
      <c r="F43" t="s">
        <v>3429</v>
      </c>
      <c r="G43" t="s">
        <v>1817</v>
      </c>
    </row>
    <row r="44" customHeight="1" spans="1:7">
      <c r="A44" t="s">
        <v>16</v>
      </c>
      <c r="B44" t="s">
        <v>3501</v>
      </c>
      <c r="C44" t="s">
        <v>3502</v>
      </c>
      <c r="D44" t="s">
        <v>3511</v>
      </c>
      <c r="E44" t="s">
        <v>3512</v>
      </c>
      <c r="F44" t="s">
        <v>3429</v>
      </c>
      <c r="G44" t="s">
        <v>1059</v>
      </c>
    </row>
    <row r="45" customHeight="1" spans="1:7">
      <c r="A45" t="s">
        <v>16</v>
      </c>
      <c r="B45" t="s">
        <v>3501</v>
      </c>
      <c r="C45" t="s">
        <v>3502</v>
      </c>
      <c r="D45" t="s">
        <v>3513</v>
      </c>
      <c r="E45" t="s">
        <v>3514</v>
      </c>
      <c r="F45" t="s">
        <v>3429</v>
      </c>
      <c r="G45" t="s">
        <v>1829</v>
      </c>
    </row>
    <row r="46" customHeight="1" spans="1:7">
      <c r="A46" t="s">
        <v>16</v>
      </c>
      <c r="B46" t="s">
        <v>3501</v>
      </c>
      <c r="C46" t="s">
        <v>3502</v>
      </c>
      <c r="D46" t="s">
        <v>3515</v>
      </c>
      <c r="E46" t="s">
        <v>3516</v>
      </c>
      <c r="F46" t="s">
        <v>3429</v>
      </c>
      <c r="G46" t="s">
        <v>1833</v>
      </c>
    </row>
    <row r="47" customHeight="1" spans="1:7">
      <c r="A47" t="s">
        <v>16</v>
      </c>
      <c r="B47" t="s">
        <v>3501</v>
      </c>
      <c r="C47" t="s">
        <v>3502</v>
      </c>
      <c r="D47" t="s">
        <v>3517</v>
      </c>
      <c r="E47" t="s">
        <v>3518</v>
      </c>
      <c r="F47" t="s">
        <v>3429</v>
      </c>
      <c r="G47" t="s">
        <v>1839</v>
      </c>
    </row>
    <row r="48" customHeight="1" spans="1:7">
      <c r="A48" t="s">
        <v>16</v>
      </c>
      <c r="B48" t="s">
        <v>3501</v>
      </c>
      <c r="C48" t="s">
        <v>3502</v>
      </c>
      <c r="D48" t="s">
        <v>3519</v>
      </c>
      <c r="E48" t="s">
        <v>3520</v>
      </c>
      <c r="F48" t="s">
        <v>3429</v>
      </c>
      <c r="G48" t="s">
        <v>1844</v>
      </c>
    </row>
    <row r="49" customHeight="1" spans="1:7">
      <c r="A49" t="s">
        <v>16</v>
      </c>
      <c r="B49" t="s">
        <v>3501</v>
      </c>
      <c r="C49" t="s">
        <v>3502</v>
      </c>
      <c r="D49" t="s">
        <v>3521</v>
      </c>
      <c r="E49" t="s">
        <v>3522</v>
      </c>
      <c r="F49" t="s">
        <v>3429</v>
      </c>
      <c r="G49" t="s">
        <v>1847</v>
      </c>
    </row>
    <row r="50" customHeight="1" spans="1:7">
      <c r="A50" t="s">
        <v>16</v>
      </c>
      <c r="B50" t="s">
        <v>3501</v>
      </c>
      <c r="C50" t="s">
        <v>3502</v>
      </c>
      <c r="D50" t="s">
        <v>3523</v>
      </c>
      <c r="E50" t="s">
        <v>3524</v>
      </c>
      <c r="F50" t="s">
        <v>3429</v>
      </c>
      <c r="G50" t="s">
        <v>1851</v>
      </c>
    </row>
    <row r="51" customHeight="1" spans="1:7">
      <c r="A51" t="s">
        <v>16</v>
      </c>
      <c r="B51" t="s">
        <v>3501</v>
      </c>
      <c r="C51" t="s">
        <v>3502</v>
      </c>
      <c r="D51" t="s">
        <v>3525</v>
      </c>
      <c r="E51" t="s">
        <v>3526</v>
      </c>
      <c r="F51" t="s">
        <v>3468</v>
      </c>
      <c r="G51" t="s">
        <v>1856</v>
      </c>
    </row>
    <row r="52" customHeight="1" spans="1:7">
      <c r="A52" t="s">
        <v>16</v>
      </c>
      <c r="B52" t="s">
        <v>3527</v>
      </c>
      <c r="C52" t="s">
        <v>3528</v>
      </c>
      <c r="D52" t="s">
        <v>3527</v>
      </c>
      <c r="E52" t="s">
        <v>3528</v>
      </c>
      <c r="F52" t="s">
        <v>3426</v>
      </c>
      <c r="G52" t="s">
        <v>1860</v>
      </c>
    </row>
    <row r="53" customHeight="1" spans="1:7">
      <c r="A53" t="s">
        <v>16</v>
      </c>
      <c r="B53" t="s">
        <v>3527</v>
      </c>
      <c r="C53" t="s">
        <v>3528</v>
      </c>
      <c r="D53" t="s">
        <v>3529</v>
      </c>
      <c r="E53" t="s">
        <v>3530</v>
      </c>
      <c r="F53" t="s">
        <v>3429</v>
      </c>
      <c r="G53" t="s">
        <v>1862</v>
      </c>
    </row>
    <row r="54" customHeight="1" spans="1:7">
      <c r="A54" t="s">
        <v>16</v>
      </c>
      <c r="B54" t="s">
        <v>3527</v>
      </c>
      <c r="C54" t="s">
        <v>3528</v>
      </c>
      <c r="D54" t="s">
        <v>3531</v>
      </c>
      <c r="E54" t="s">
        <v>3532</v>
      </c>
      <c r="F54" t="s">
        <v>3429</v>
      </c>
      <c r="G54" t="s">
        <v>1865</v>
      </c>
    </row>
    <row r="55" customHeight="1" spans="1:7">
      <c r="A55" t="s">
        <v>16</v>
      </c>
      <c r="B55" t="s">
        <v>3527</v>
      </c>
      <c r="C55" t="s">
        <v>3528</v>
      </c>
      <c r="D55" t="s">
        <v>3533</v>
      </c>
      <c r="E55" t="s">
        <v>3534</v>
      </c>
      <c r="F55" t="s">
        <v>3429</v>
      </c>
      <c r="G55" t="s">
        <v>1869</v>
      </c>
    </row>
    <row r="56" customHeight="1" spans="1:7">
      <c r="A56" t="s">
        <v>16</v>
      </c>
      <c r="B56" t="s">
        <v>3527</v>
      </c>
      <c r="C56" t="s">
        <v>3528</v>
      </c>
      <c r="D56" t="s">
        <v>3535</v>
      </c>
      <c r="E56" t="s">
        <v>3536</v>
      </c>
      <c r="F56" t="s">
        <v>3429</v>
      </c>
      <c r="G56" t="s">
        <v>1872</v>
      </c>
    </row>
    <row r="57" customHeight="1" spans="1:7">
      <c r="A57" t="s">
        <v>16</v>
      </c>
      <c r="B57" t="s">
        <v>3527</v>
      </c>
      <c r="C57" t="s">
        <v>3528</v>
      </c>
      <c r="D57" t="s">
        <v>3537</v>
      </c>
      <c r="E57" t="s">
        <v>3538</v>
      </c>
      <c r="F57" t="s">
        <v>3429</v>
      </c>
      <c r="G57" t="s">
        <v>1876</v>
      </c>
    </row>
    <row r="58" customHeight="1" spans="1:7">
      <c r="A58" t="s">
        <v>16</v>
      </c>
      <c r="B58" t="s">
        <v>3527</v>
      </c>
      <c r="C58" t="s">
        <v>3528</v>
      </c>
      <c r="D58" t="s">
        <v>3539</v>
      </c>
      <c r="E58" t="s">
        <v>3540</v>
      </c>
      <c r="F58" t="s">
        <v>3429</v>
      </c>
      <c r="G58" t="s">
        <v>1879</v>
      </c>
    </row>
    <row r="59" customHeight="1" spans="1:7">
      <c r="A59" t="s">
        <v>16</v>
      </c>
      <c r="B59" t="s">
        <v>3527</v>
      </c>
      <c r="C59" t="s">
        <v>3528</v>
      </c>
      <c r="D59" t="s">
        <v>3541</v>
      </c>
      <c r="E59" t="s">
        <v>3542</v>
      </c>
      <c r="F59" t="s">
        <v>3429</v>
      </c>
      <c r="G59" t="s">
        <v>1883</v>
      </c>
    </row>
    <row r="60" customHeight="1" spans="1:7">
      <c r="A60" t="s">
        <v>16</v>
      </c>
      <c r="B60" t="s">
        <v>3543</v>
      </c>
      <c r="C60" t="s">
        <v>3544</v>
      </c>
      <c r="D60" t="s">
        <v>3543</v>
      </c>
      <c r="E60" t="s">
        <v>3544</v>
      </c>
      <c r="F60" t="s">
        <v>3426</v>
      </c>
      <c r="G60" t="s">
        <v>1886</v>
      </c>
    </row>
    <row r="61" customHeight="1" spans="1:7">
      <c r="A61" t="s">
        <v>16</v>
      </c>
      <c r="B61" t="s">
        <v>3543</v>
      </c>
      <c r="C61" t="s">
        <v>3544</v>
      </c>
      <c r="D61" t="s">
        <v>3545</v>
      </c>
      <c r="E61" t="s">
        <v>3546</v>
      </c>
      <c r="F61" t="s">
        <v>3429</v>
      </c>
      <c r="G61" t="s">
        <v>3547</v>
      </c>
    </row>
    <row r="62" customHeight="1" spans="1:7">
      <c r="A62" t="s">
        <v>16</v>
      </c>
      <c r="B62" t="s">
        <v>3543</v>
      </c>
      <c r="C62" t="s">
        <v>3544</v>
      </c>
      <c r="D62" t="s">
        <v>3548</v>
      </c>
      <c r="E62" t="s">
        <v>3549</v>
      </c>
      <c r="F62" t="s">
        <v>3429</v>
      </c>
      <c r="G62" t="s">
        <v>3550</v>
      </c>
    </row>
    <row r="63" customHeight="1" spans="1:7">
      <c r="A63" t="s">
        <v>16</v>
      </c>
      <c r="B63" t="s">
        <v>3543</v>
      </c>
      <c r="C63" t="s">
        <v>3544</v>
      </c>
      <c r="D63" t="s">
        <v>3551</v>
      </c>
      <c r="E63" t="s">
        <v>3552</v>
      </c>
      <c r="F63" t="s">
        <v>3429</v>
      </c>
      <c r="G63" t="s">
        <v>3553</v>
      </c>
    </row>
    <row r="64" customHeight="1" spans="1:7">
      <c r="A64" t="s">
        <v>16</v>
      </c>
      <c r="B64" t="s">
        <v>3543</v>
      </c>
      <c r="C64" t="s">
        <v>3544</v>
      </c>
      <c r="D64" t="s">
        <v>3554</v>
      </c>
      <c r="E64" t="s">
        <v>3555</v>
      </c>
      <c r="F64" t="s">
        <v>3429</v>
      </c>
      <c r="G64" t="s">
        <v>3556</v>
      </c>
    </row>
    <row r="65" customHeight="1" spans="1:7">
      <c r="A65" t="s">
        <v>16</v>
      </c>
      <c r="B65" t="s">
        <v>3543</v>
      </c>
      <c r="C65" t="s">
        <v>3544</v>
      </c>
      <c r="D65" t="s">
        <v>3557</v>
      </c>
      <c r="E65" t="s">
        <v>3558</v>
      </c>
      <c r="F65" t="s">
        <v>3429</v>
      </c>
      <c r="G65" t="s">
        <v>3559</v>
      </c>
    </row>
    <row r="66" customHeight="1" spans="1:7">
      <c r="A66" t="s">
        <v>16</v>
      </c>
      <c r="B66" t="s">
        <v>3543</v>
      </c>
      <c r="C66" t="s">
        <v>3544</v>
      </c>
      <c r="D66" t="s">
        <v>3560</v>
      </c>
      <c r="E66" t="s">
        <v>3561</v>
      </c>
      <c r="F66" t="s">
        <v>3429</v>
      </c>
      <c r="G66" t="s">
        <v>3562</v>
      </c>
    </row>
    <row r="67" customHeight="1" spans="1:7">
      <c r="A67" t="s">
        <v>16</v>
      </c>
      <c r="B67" t="s">
        <v>3543</v>
      </c>
      <c r="C67" t="s">
        <v>3544</v>
      </c>
      <c r="D67" t="s">
        <v>3563</v>
      </c>
      <c r="E67" t="s">
        <v>3564</v>
      </c>
      <c r="F67" t="s">
        <v>3429</v>
      </c>
      <c r="G67" t="s">
        <v>2189</v>
      </c>
    </row>
    <row r="68" customHeight="1" spans="1:7">
      <c r="A68" t="s">
        <v>16</v>
      </c>
      <c r="B68" t="s">
        <v>3543</v>
      </c>
      <c r="C68" t="s">
        <v>3544</v>
      </c>
      <c r="D68" t="s">
        <v>3565</v>
      </c>
      <c r="E68" t="s">
        <v>3566</v>
      </c>
      <c r="F68" t="s">
        <v>3429</v>
      </c>
      <c r="G68" t="s">
        <v>3567</v>
      </c>
    </row>
    <row r="69" customHeight="1" spans="1:7">
      <c r="A69" t="s">
        <v>16</v>
      </c>
      <c r="B69" t="s">
        <v>3543</v>
      </c>
      <c r="C69" t="s">
        <v>3544</v>
      </c>
      <c r="D69" t="s">
        <v>3568</v>
      </c>
      <c r="E69" t="s">
        <v>3569</v>
      </c>
      <c r="F69" t="s">
        <v>3429</v>
      </c>
      <c r="G69" t="s">
        <v>2389</v>
      </c>
    </row>
    <row r="70" customHeight="1" spans="1:7">
      <c r="A70" t="s">
        <v>16</v>
      </c>
      <c r="B70" t="s">
        <v>3543</v>
      </c>
      <c r="C70" t="s">
        <v>3544</v>
      </c>
      <c r="D70" t="s">
        <v>3570</v>
      </c>
      <c r="E70" t="s">
        <v>3571</v>
      </c>
      <c r="F70" t="s">
        <v>3429</v>
      </c>
      <c r="G70" t="s">
        <v>3572</v>
      </c>
    </row>
    <row r="71" customHeight="1" spans="1:7">
      <c r="A71" t="s">
        <v>16</v>
      </c>
      <c r="B71" t="s">
        <v>3573</v>
      </c>
      <c r="C71" t="s">
        <v>3574</v>
      </c>
      <c r="D71" t="s">
        <v>3575</v>
      </c>
      <c r="E71" t="s">
        <v>3576</v>
      </c>
      <c r="F71" t="s">
        <v>3429</v>
      </c>
      <c r="G71" t="s">
        <v>3577</v>
      </c>
    </row>
    <row r="72" customHeight="1" spans="1:7">
      <c r="A72" t="s">
        <v>16</v>
      </c>
      <c r="B72" t="s">
        <v>3573</v>
      </c>
      <c r="C72" t="s">
        <v>3574</v>
      </c>
      <c r="D72" t="s">
        <v>3573</v>
      </c>
      <c r="E72" t="s">
        <v>3574</v>
      </c>
      <c r="F72" t="s">
        <v>3426</v>
      </c>
      <c r="G72" t="s">
        <v>3578</v>
      </c>
    </row>
    <row r="73" customHeight="1" spans="1:7">
      <c r="A73" t="s">
        <v>16</v>
      </c>
      <c r="B73" t="s">
        <v>3573</v>
      </c>
      <c r="C73" t="s">
        <v>3574</v>
      </c>
      <c r="D73" t="s">
        <v>3579</v>
      </c>
      <c r="E73" t="s">
        <v>3580</v>
      </c>
      <c r="F73" t="s">
        <v>3429</v>
      </c>
      <c r="G73" t="s">
        <v>3581</v>
      </c>
    </row>
    <row r="74" customHeight="1" spans="1:7">
      <c r="A74" t="s">
        <v>16</v>
      </c>
      <c r="B74" t="s">
        <v>3573</v>
      </c>
      <c r="C74" t="s">
        <v>3574</v>
      </c>
      <c r="D74" t="s">
        <v>3582</v>
      </c>
      <c r="E74" t="s">
        <v>3583</v>
      </c>
      <c r="F74" t="s">
        <v>3429</v>
      </c>
      <c r="G74" t="s">
        <v>3584</v>
      </c>
    </row>
    <row r="75" customHeight="1" spans="1:7">
      <c r="A75" t="s">
        <v>16</v>
      </c>
      <c r="B75" t="s">
        <v>3573</v>
      </c>
      <c r="C75" t="s">
        <v>3574</v>
      </c>
      <c r="D75" t="s">
        <v>3585</v>
      </c>
      <c r="E75" t="s">
        <v>3586</v>
      </c>
      <c r="F75" t="s">
        <v>3429</v>
      </c>
      <c r="G75" t="s">
        <v>3587</v>
      </c>
    </row>
    <row r="76" customHeight="1" spans="1:7">
      <c r="A76" t="s">
        <v>16</v>
      </c>
      <c r="B76" t="s">
        <v>3588</v>
      </c>
      <c r="C76" t="s">
        <v>3589</v>
      </c>
      <c r="D76" t="s">
        <v>3588</v>
      </c>
      <c r="E76" t="s">
        <v>3589</v>
      </c>
      <c r="F76" t="s">
        <v>3426</v>
      </c>
      <c r="G76" t="s">
        <v>3590</v>
      </c>
    </row>
    <row r="77" customHeight="1" spans="1:7">
      <c r="A77" t="s">
        <v>16</v>
      </c>
      <c r="B77" t="s">
        <v>3588</v>
      </c>
      <c r="C77" t="s">
        <v>3589</v>
      </c>
      <c r="D77" t="s">
        <v>3591</v>
      </c>
      <c r="E77" t="s">
        <v>3592</v>
      </c>
      <c r="F77" t="s">
        <v>3429</v>
      </c>
      <c r="G77" t="s">
        <v>1137</v>
      </c>
    </row>
    <row r="78" customHeight="1" spans="1:7">
      <c r="A78" t="s">
        <v>16</v>
      </c>
      <c r="B78" t="s">
        <v>3588</v>
      </c>
      <c r="C78" t="s">
        <v>3589</v>
      </c>
      <c r="D78" t="s">
        <v>3593</v>
      </c>
      <c r="E78" t="s">
        <v>3594</v>
      </c>
      <c r="F78" t="s">
        <v>3429</v>
      </c>
      <c r="G78" t="s">
        <v>3595</v>
      </c>
    </row>
    <row r="79" customHeight="1" spans="1:7">
      <c r="A79" t="s">
        <v>16</v>
      </c>
      <c r="B79" t="s">
        <v>3588</v>
      </c>
      <c r="C79" t="s">
        <v>3589</v>
      </c>
      <c r="D79" t="s">
        <v>3596</v>
      </c>
      <c r="E79" t="s">
        <v>3597</v>
      </c>
      <c r="F79" t="s">
        <v>3429</v>
      </c>
      <c r="G79" t="s">
        <v>3598</v>
      </c>
    </row>
    <row r="80" customHeight="1" spans="1:7">
      <c r="A80" t="s">
        <v>16</v>
      </c>
      <c r="B80" t="s">
        <v>3588</v>
      </c>
      <c r="C80" t="s">
        <v>3589</v>
      </c>
      <c r="D80" t="s">
        <v>3599</v>
      </c>
      <c r="E80" t="s">
        <v>3600</v>
      </c>
      <c r="F80" t="s">
        <v>3429</v>
      </c>
      <c r="G80" t="s">
        <v>3601</v>
      </c>
    </row>
    <row r="81" customHeight="1" spans="1:7">
      <c r="A81" t="s">
        <v>16</v>
      </c>
      <c r="B81" t="s">
        <v>3588</v>
      </c>
      <c r="C81" t="s">
        <v>3589</v>
      </c>
      <c r="D81" t="s">
        <v>3602</v>
      </c>
      <c r="E81" t="s">
        <v>3603</v>
      </c>
      <c r="F81" t="s">
        <v>3429</v>
      </c>
      <c r="G81" t="s">
        <v>3604</v>
      </c>
    </row>
    <row r="82" customHeight="1" spans="1:7">
      <c r="A82" t="s">
        <v>16</v>
      </c>
      <c r="B82" t="s">
        <v>3588</v>
      </c>
      <c r="C82" t="s">
        <v>3589</v>
      </c>
      <c r="D82" t="s">
        <v>3605</v>
      </c>
      <c r="E82" t="s">
        <v>3606</v>
      </c>
      <c r="F82" t="s">
        <v>3429</v>
      </c>
      <c r="G82" t="s">
        <v>3607</v>
      </c>
    </row>
    <row r="83" customHeight="1" spans="1:7">
      <c r="A83" t="s">
        <v>16</v>
      </c>
      <c r="B83" t="s">
        <v>3588</v>
      </c>
      <c r="C83" t="s">
        <v>3589</v>
      </c>
      <c r="D83" t="s">
        <v>3608</v>
      </c>
      <c r="E83" t="s">
        <v>3609</v>
      </c>
      <c r="F83" t="s">
        <v>3429</v>
      </c>
      <c r="G83" t="s">
        <v>3610</v>
      </c>
    </row>
    <row r="84" customHeight="1" spans="1:7">
      <c r="A84" t="s">
        <v>16</v>
      </c>
      <c r="B84" t="s">
        <v>3611</v>
      </c>
      <c r="C84" t="s">
        <v>3612</v>
      </c>
      <c r="D84" t="s">
        <v>3611</v>
      </c>
      <c r="E84" t="s">
        <v>3612</v>
      </c>
      <c r="F84" t="s">
        <v>3613</v>
      </c>
      <c r="G84" t="s">
        <v>3614</v>
      </c>
    </row>
    <row r="85" customHeight="1" spans="1:7">
      <c r="A85" t="s">
        <v>16</v>
      </c>
      <c r="B85" t="s">
        <v>3615</v>
      </c>
      <c r="C85" t="s">
        <v>3616</v>
      </c>
      <c r="D85" t="s">
        <v>3615</v>
      </c>
      <c r="E85" t="s">
        <v>3616</v>
      </c>
      <c r="F85" t="s">
        <v>3613</v>
      </c>
      <c r="G85" t="s">
        <v>3617</v>
      </c>
    </row>
    <row r="86" customHeight="1" spans="1:7">
      <c r="A86" t="s">
        <v>16</v>
      </c>
      <c r="B86" t="s">
        <v>3618</v>
      </c>
      <c r="C86" t="s">
        <v>3619</v>
      </c>
      <c r="D86" t="s">
        <v>3618</v>
      </c>
      <c r="E86" t="s">
        <v>3619</v>
      </c>
      <c r="F86" t="s">
        <v>3613</v>
      </c>
      <c r="G86" t="s">
        <v>3620</v>
      </c>
    </row>
    <row r="87" customHeight="1" spans="1:7">
      <c r="A87" t="s">
        <v>16</v>
      </c>
      <c r="B87" t="s">
        <v>3621</v>
      </c>
      <c r="C87" t="s">
        <v>3622</v>
      </c>
      <c r="D87" t="s">
        <v>3621</v>
      </c>
      <c r="E87" t="s">
        <v>3622</v>
      </c>
      <c r="F87" t="s">
        <v>3613</v>
      </c>
      <c r="G87" t="s">
        <v>3623</v>
      </c>
    </row>
    <row r="88" customHeight="1" spans="1:7">
      <c r="A88" t="s">
        <v>16</v>
      </c>
      <c r="B88" t="s">
        <v>3624</v>
      </c>
      <c r="C88" t="s">
        <v>3625</v>
      </c>
      <c r="D88" t="s">
        <v>3624</v>
      </c>
      <c r="E88" t="s">
        <v>3625</v>
      </c>
      <c r="F88" t="s">
        <v>3613</v>
      </c>
      <c r="G88" t="s">
        <v>3626</v>
      </c>
    </row>
    <row r="89" customHeight="1" spans="1:7">
      <c r="A89" t="s">
        <v>16</v>
      </c>
      <c r="B89" t="s">
        <v>3627</v>
      </c>
      <c r="C89" t="s">
        <v>3628</v>
      </c>
      <c r="D89" t="s">
        <v>3627</v>
      </c>
      <c r="E89" t="s">
        <v>3628</v>
      </c>
      <c r="F89" t="s">
        <v>3613</v>
      </c>
      <c r="G89" t="s">
        <v>3629</v>
      </c>
    </row>
    <row r="90" customHeight="1" spans="1:7">
      <c r="A90" t="s">
        <v>16</v>
      </c>
      <c r="B90" t="s">
        <v>3630</v>
      </c>
      <c r="C90" t="s">
        <v>3631</v>
      </c>
      <c r="D90" t="s">
        <v>3630</v>
      </c>
      <c r="E90" t="s">
        <v>3631</v>
      </c>
      <c r="F90" t="s">
        <v>3613</v>
      </c>
      <c r="G90" t="s">
        <v>3632</v>
      </c>
    </row>
    <row r="91" customHeight="1" spans="1:7">
      <c r="A91" t="s">
        <v>16</v>
      </c>
      <c r="B91" t="s">
        <v>3633</v>
      </c>
      <c r="C91" t="s">
        <v>3634</v>
      </c>
      <c r="D91" t="s">
        <v>3633</v>
      </c>
      <c r="E91" t="s">
        <v>3634</v>
      </c>
      <c r="F91" t="s">
        <v>3613</v>
      </c>
      <c r="G91" t="s">
        <v>3635</v>
      </c>
    </row>
    <row r="92" customHeight="1" spans="1:7">
      <c r="A92" t="s">
        <v>16</v>
      </c>
      <c r="B92" t="s">
        <v>3636</v>
      </c>
      <c r="C92" t="s">
        <v>3637</v>
      </c>
      <c r="D92" t="s">
        <v>3636</v>
      </c>
      <c r="E92" t="s">
        <v>3637</v>
      </c>
      <c r="F92" t="s">
        <v>3613</v>
      </c>
      <c r="G92" t="s">
        <v>3638</v>
      </c>
    </row>
    <row r="93" customHeight="1" spans="1:7">
      <c r="A93" t="s">
        <v>16</v>
      </c>
      <c r="B93" t="s">
        <v>1047</v>
      </c>
      <c r="C93" t="s">
        <v>1048</v>
      </c>
      <c r="D93" t="s">
        <v>1047</v>
      </c>
      <c r="E93" t="s">
        <v>1048</v>
      </c>
      <c r="F93" t="s">
        <v>3613</v>
      </c>
      <c r="G93" t="s">
        <v>3639</v>
      </c>
    </row>
    <row r="94" customHeight="1" spans="1:7">
      <c r="A94" t="s">
        <v>16</v>
      </c>
      <c r="B94" t="s">
        <v>3640</v>
      </c>
      <c r="C94" t="s">
        <v>3641</v>
      </c>
      <c r="D94" t="s">
        <v>3640</v>
      </c>
      <c r="E94" t="s">
        <v>3641</v>
      </c>
      <c r="F94" t="s">
        <v>3613</v>
      </c>
      <c r="G94" t="s">
        <v>3642</v>
      </c>
    </row>
    <row r="95" customHeight="1" spans="1:7">
      <c r="A95" t="s">
        <v>16</v>
      </c>
      <c r="B95" t="s">
        <v>3643</v>
      </c>
      <c r="C95" t="s">
        <v>3644</v>
      </c>
      <c r="D95" t="s">
        <v>3643</v>
      </c>
      <c r="E95" t="s">
        <v>3644</v>
      </c>
      <c r="F95" t="s">
        <v>3613</v>
      </c>
      <c r="G95" t="s">
        <v>3645</v>
      </c>
    </row>
    <row r="96" customHeight="1" spans="1:7">
      <c r="A96" t="s">
        <v>16</v>
      </c>
      <c r="B96" t="s">
        <v>3646</v>
      </c>
      <c r="C96" t="s">
        <v>3647</v>
      </c>
      <c r="D96" t="s">
        <v>3648</v>
      </c>
      <c r="E96" t="s">
        <v>3649</v>
      </c>
      <c r="F96" t="s">
        <v>3429</v>
      </c>
      <c r="G96" t="s">
        <v>3650</v>
      </c>
    </row>
    <row r="97" customHeight="1" spans="1:7">
      <c r="A97" t="s">
        <v>16</v>
      </c>
      <c r="B97" t="s">
        <v>3646</v>
      </c>
      <c r="C97" t="s">
        <v>3647</v>
      </c>
      <c r="D97" t="s">
        <v>3651</v>
      </c>
      <c r="E97" t="s">
        <v>3652</v>
      </c>
      <c r="F97" t="s">
        <v>3429</v>
      </c>
      <c r="G97" t="s">
        <v>3653</v>
      </c>
    </row>
    <row r="98" customHeight="1" spans="1:7">
      <c r="A98" t="s">
        <v>16</v>
      </c>
      <c r="B98" t="s">
        <v>3646</v>
      </c>
      <c r="C98" t="s">
        <v>3647</v>
      </c>
      <c r="D98" t="s">
        <v>3654</v>
      </c>
      <c r="E98" t="s">
        <v>3655</v>
      </c>
      <c r="F98" t="s">
        <v>3429</v>
      </c>
      <c r="G98" t="s">
        <v>3656</v>
      </c>
    </row>
    <row r="99" customHeight="1" spans="1:7">
      <c r="A99" t="s">
        <v>16</v>
      </c>
      <c r="B99" t="s">
        <v>3646</v>
      </c>
      <c r="C99" t="s">
        <v>3647</v>
      </c>
      <c r="D99" t="s">
        <v>3579</v>
      </c>
      <c r="E99" t="s">
        <v>3657</v>
      </c>
      <c r="F99" t="s">
        <v>3429</v>
      </c>
      <c r="G99" t="s">
        <v>3658</v>
      </c>
    </row>
    <row r="100" customHeight="1" spans="1:7">
      <c r="A100" t="s">
        <v>16</v>
      </c>
      <c r="B100" t="s">
        <v>3646</v>
      </c>
      <c r="C100" t="s">
        <v>3647</v>
      </c>
      <c r="D100" t="s">
        <v>3659</v>
      </c>
      <c r="E100" t="s">
        <v>3660</v>
      </c>
      <c r="F100" t="s">
        <v>3429</v>
      </c>
      <c r="G100" t="s">
        <v>3661</v>
      </c>
    </row>
    <row r="101" customHeight="1" spans="1:7">
      <c r="A101" t="s">
        <v>16</v>
      </c>
      <c r="B101" t="s">
        <v>3646</v>
      </c>
      <c r="C101" t="s">
        <v>3647</v>
      </c>
      <c r="D101" t="s">
        <v>3646</v>
      </c>
      <c r="E101" t="s">
        <v>3647</v>
      </c>
      <c r="F101" t="s">
        <v>3426</v>
      </c>
      <c r="G101" t="s">
        <v>3662</v>
      </c>
    </row>
    <row r="102" customHeight="1" spans="1:7">
      <c r="A102" t="s">
        <v>16</v>
      </c>
      <c r="B102" t="s">
        <v>3646</v>
      </c>
      <c r="C102" t="s">
        <v>3647</v>
      </c>
      <c r="D102" t="s">
        <v>3663</v>
      </c>
      <c r="E102" t="s">
        <v>3664</v>
      </c>
      <c r="F102" t="s">
        <v>3429</v>
      </c>
      <c r="G102" t="s">
        <v>3665</v>
      </c>
    </row>
    <row r="103" customHeight="1" spans="1:7">
      <c r="A103" t="s">
        <v>16</v>
      </c>
      <c r="B103" t="s">
        <v>3646</v>
      </c>
      <c r="C103" t="s">
        <v>3647</v>
      </c>
      <c r="D103" t="s">
        <v>3666</v>
      </c>
      <c r="E103" t="s">
        <v>3667</v>
      </c>
      <c r="F103" t="s">
        <v>3429</v>
      </c>
      <c r="G103" t="s">
        <v>3668</v>
      </c>
    </row>
    <row r="104" customHeight="1" spans="1:7">
      <c r="A104" t="s">
        <v>16</v>
      </c>
      <c r="B104" t="s">
        <v>3646</v>
      </c>
      <c r="C104" t="s">
        <v>3647</v>
      </c>
      <c r="D104" t="s">
        <v>3669</v>
      </c>
      <c r="E104" t="s">
        <v>3670</v>
      </c>
      <c r="F104" t="s">
        <v>3429</v>
      </c>
      <c r="G104" t="s">
        <v>3671</v>
      </c>
    </row>
    <row r="105" customHeight="1" spans="1:7">
      <c r="A105" t="s">
        <v>16</v>
      </c>
      <c r="B105" t="s">
        <v>3646</v>
      </c>
      <c r="C105" t="s">
        <v>3647</v>
      </c>
      <c r="D105" t="s">
        <v>3672</v>
      </c>
      <c r="E105" t="s">
        <v>3673</v>
      </c>
      <c r="F105" t="s">
        <v>3429</v>
      </c>
      <c r="G105" t="s">
        <v>3674</v>
      </c>
    </row>
    <row r="106" customHeight="1" spans="1:7">
      <c r="A106" t="s">
        <v>16</v>
      </c>
      <c r="B106" t="s">
        <v>3646</v>
      </c>
      <c r="C106" t="s">
        <v>3647</v>
      </c>
      <c r="D106" t="s">
        <v>3675</v>
      </c>
      <c r="E106" t="s">
        <v>3676</v>
      </c>
      <c r="F106" t="s">
        <v>3429</v>
      </c>
      <c r="G106" t="s">
        <v>3677</v>
      </c>
    </row>
    <row r="107" customHeight="1" spans="1:7">
      <c r="A107" t="s">
        <v>16</v>
      </c>
      <c r="B107" t="s">
        <v>3646</v>
      </c>
      <c r="C107" t="s">
        <v>3647</v>
      </c>
      <c r="D107" t="s">
        <v>3678</v>
      </c>
      <c r="E107" t="s">
        <v>3679</v>
      </c>
      <c r="F107" t="s">
        <v>3429</v>
      </c>
      <c r="G107" t="s">
        <v>3680</v>
      </c>
    </row>
    <row r="108" customHeight="1" spans="1:7">
      <c r="A108" t="s">
        <v>16</v>
      </c>
      <c r="B108" t="s">
        <v>3646</v>
      </c>
      <c r="C108" t="s">
        <v>3647</v>
      </c>
      <c r="D108" t="s">
        <v>3605</v>
      </c>
      <c r="E108" t="s">
        <v>3681</v>
      </c>
      <c r="F108" t="s">
        <v>3429</v>
      </c>
      <c r="G108" t="s">
        <v>3682</v>
      </c>
    </row>
    <row r="109" customHeight="1" spans="1:7">
      <c r="A109" t="s">
        <v>16</v>
      </c>
      <c r="B109" t="s">
        <v>3646</v>
      </c>
      <c r="C109" t="s">
        <v>3647</v>
      </c>
      <c r="D109" t="s">
        <v>3683</v>
      </c>
      <c r="E109" t="s">
        <v>3684</v>
      </c>
      <c r="F109" t="s">
        <v>3429</v>
      </c>
      <c r="G109" t="s">
        <v>3685</v>
      </c>
    </row>
    <row r="110" customHeight="1" spans="1:7">
      <c r="A110" t="s">
        <v>16</v>
      </c>
      <c r="B110" t="s">
        <v>3686</v>
      </c>
      <c r="C110" t="s">
        <v>3687</v>
      </c>
      <c r="D110" t="s">
        <v>3688</v>
      </c>
      <c r="E110" t="s">
        <v>3689</v>
      </c>
      <c r="F110" t="s">
        <v>3429</v>
      </c>
      <c r="G110" t="s">
        <v>3690</v>
      </c>
    </row>
    <row r="111" customHeight="1" spans="1:7">
      <c r="A111" t="s">
        <v>16</v>
      </c>
      <c r="B111" t="s">
        <v>3686</v>
      </c>
      <c r="C111" t="s">
        <v>3687</v>
      </c>
      <c r="D111" t="s">
        <v>3691</v>
      </c>
      <c r="E111" t="s">
        <v>3692</v>
      </c>
      <c r="F111" t="s">
        <v>3429</v>
      </c>
      <c r="G111" t="s">
        <v>3693</v>
      </c>
    </row>
    <row r="112" customHeight="1" spans="1:7">
      <c r="A112" t="s">
        <v>16</v>
      </c>
      <c r="B112" t="s">
        <v>3686</v>
      </c>
      <c r="C112" t="s">
        <v>3687</v>
      </c>
      <c r="D112" t="s">
        <v>3686</v>
      </c>
      <c r="E112" t="s">
        <v>3687</v>
      </c>
      <c r="F112" t="s">
        <v>3426</v>
      </c>
      <c r="G112" t="s">
        <v>3694</v>
      </c>
    </row>
    <row r="113" customHeight="1" spans="1:7">
      <c r="A113" t="s">
        <v>16</v>
      </c>
      <c r="B113" t="s">
        <v>3686</v>
      </c>
      <c r="C113" t="s">
        <v>3687</v>
      </c>
      <c r="D113" t="s">
        <v>3695</v>
      </c>
      <c r="E113" t="s">
        <v>3696</v>
      </c>
      <c r="F113" t="s">
        <v>3429</v>
      </c>
      <c r="G113" t="s">
        <v>3697</v>
      </c>
    </row>
    <row r="114" customHeight="1" spans="1:7">
      <c r="A114" t="s">
        <v>16</v>
      </c>
      <c r="B114" t="s">
        <v>3686</v>
      </c>
      <c r="C114" t="s">
        <v>3687</v>
      </c>
      <c r="D114" t="s">
        <v>3511</v>
      </c>
      <c r="E114" t="s">
        <v>3698</v>
      </c>
      <c r="F114" t="s">
        <v>3429</v>
      </c>
      <c r="G114" t="s">
        <v>3699</v>
      </c>
    </row>
    <row r="115" customHeight="1" spans="1:7">
      <c r="A115" t="s">
        <v>16</v>
      </c>
      <c r="B115" t="s">
        <v>3686</v>
      </c>
      <c r="C115" t="s">
        <v>3687</v>
      </c>
      <c r="D115" t="s">
        <v>3700</v>
      </c>
      <c r="E115" t="s">
        <v>3701</v>
      </c>
      <c r="F115" t="s">
        <v>3429</v>
      </c>
      <c r="G115" t="s">
        <v>3702</v>
      </c>
    </row>
    <row r="116" customHeight="1" spans="1:7">
      <c r="A116" t="s">
        <v>16</v>
      </c>
      <c r="B116" t="s">
        <v>3686</v>
      </c>
      <c r="C116" t="s">
        <v>3687</v>
      </c>
      <c r="D116" t="s">
        <v>3703</v>
      </c>
      <c r="E116" t="s">
        <v>3704</v>
      </c>
      <c r="F116" t="s">
        <v>3429</v>
      </c>
      <c r="G116" t="s">
        <v>3705</v>
      </c>
    </row>
    <row r="117" customHeight="1" spans="1:7">
      <c r="A117" t="s">
        <v>16</v>
      </c>
      <c r="B117" t="s">
        <v>3686</v>
      </c>
      <c r="C117" t="s">
        <v>3687</v>
      </c>
      <c r="D117" t="s">
        <v>3706</v>
      </c>
      <c r="E117" t="s">
        <v>3707</v>
      </c>
      <c r="F117" t="s">
        <v>3429</v>
      </c>
      <c r="G117" t="s">
        <v>3708</v>
      </c>
    </row>
    <row r="118" customHeight="1" spans="1:7">
      <c r="A118" t="s">
        <v>16</v>
      </c>
      <c r="B118" t="s">
        <v>3686</v>
      </c>
      <c r="C118" t="s">
        <v>3687</v>
      </c>
      <c r="D118" t="s">
        <v>3709</v>
      </c>
      <c r="E118" t="s">
        <v>3710</v>
      </c>
      <c r="F118" t="s">
        <v>3429</v>
      </c>
      <c r="G118" t="s">
        <v>3711</v>
      </c>
    </row>
    <row r="119" customHeight="1" spans="1:7">
      <c r="A119" t="s">
        <v>16</v>
      </c>
      <c r="B119" t="s">
        <v>3686</v>
      </c>
      <c r="C119" t="s">
        <v>3687</v>
      </c>
      <c r="D119" t="s">
        <v>3712</v>
      </c>
      <c r="E119" t="s">
        <v>3713</v>
      </c>
      <c r="F119" t="s">
        <v>3429</v>
      </c>
      <c r="G119" t="s">
        <v>3714</v>
      </c>
    </row>
    <row r="120" customHeight="1" spans="1:7">
      <c r="A120" t="s">
        <v>16</v>
      </c>
      <c r="B120" t="s">
        <v>3715</v>
      </c>
      <c r="C120" t="s">
        <v>3716</v>
      </c>
      <c r="D120" t="s">
        <v>3715</v>
      </c>
      <c r="E120" t="s">
        <v>3716</v>
      </c>
      <c r="F120" t="s">
        <v>3426</v>
      </c>
      <c r="G120" t="s">
        <v>3717</v>
      </c>
    </row>
    <row r="121" customHeight="1" spans="1:7">
      <c r="A121" t="s">
        <v>16</v>
      </c>
      <c r="B121" t="s">
        <v>3715</v>
      </c>
      <c r="C121" t="s">
        <v>3716</v>
      </c>
      <c r="D121" t="s">
        <v>3718</v>
      </c>
      <c r="E121" t="s">
        <v>3719</v>
      </c>
      <c r="F121" t="s">
        <v>3429</v>
      </c>
      <c r="G121" t="s">
        <v>3720</v>
      </c>
    </row>
    <row r="122" customHeight="1" spans="1:7">
      <c r="A122" t="s">
        <v>16</v>
      </c>
      <c r="B122" t="s">
        <v>3715</v>
      </c>
      <c r="C122" t="s">
        <v>3716</v>
      </c>
      <c r="D122" t="s">
        <v>3721</v>
      </c>
      <c r="E122" t="s">
        <v>3722</v>
      </c>
      <c r="F122" t="s">
        <v>3429</v>
      </c>
      <c r="G122" t="s">
        <v>3723</v>
      </c>
    </row>
    <row r="123" customHeight="1" spans="1:7">
      <c r="A123" t="s">
        <v>16</v>
      </c>
      <c r="B123" t="s">
        <v>3715</v>
      </c>
      <c r="C123" t="s">
        <v>3716</v>
      </c>
      <c r="D123" t="s">
        <v>3724</v>
      </c>
      <c r="E123" t="s">
        <v>3725</v>
      </c>
      <c r="F123" t="s">
        <v>3429</v>
      </c>
      <c r="G123" t="s">
        <v>3726</v>
      </c>
    </row>
    <row r="124" customHeight="1" spans="1:7">
      <c r="A124" t="s">
        <v>16</v>
      </c>
      <c r="B124" t="s">
        <v>3715</v>
      </c>
      <c r="C124" t="s">
        <v>3716</v>
      </c>
      <c r="D124" t="s">
        <v>3727</v>
      </c>
      <c r="E124" t="s">
        <v>3728</v>
      </c>
      <c r="F124" t="s">
        <v>3429</v>
      </c>
      <c r="G124" t="s">
        <v>3729</v>
      </c>
    </row>
    <row r="125" customHeight="1" spans="1:7">
      <c r="A125" t="s">
        <v>16</v>
      </c>
      <c r="B125" t="s">
        <v>3715</v>
      </c>
      <c r="C125" t="s">
        <v>3716</v>
      </c>
      <c r="D125" t="s">
        <v>3730</v>
      </c>
      <c r="E125" t="s">
        <v>3731</v>
      </c>
      <c r="F125" t="s">
        <v>3429</v>
      </c>
      <c r="G125" t="s">
        <v>3732</v>
      </c>
    </row>
    <row r="126" customHeight="1" spans="1:7">
      <c r="A126" t="s">
        <v>16</v>
      </c>
      <c r="B126" t="s">
        <v>3715</v>
      </c>
      <c r="C126" t="s">
        <v>3716</v>
      </c>
      <c r="D126" t="s">
        <v>3733</v>
      </c>
      <c r="E126" t="s">
        <v>3734</v>
      </c>
      <c r="F126" t="s">
        <v>3429</v>
      </c>
      <c r="G126" t="s">
        <v>3735</v>
      </c>
    </row>
    <row r="127" customHeight="1" spans="1:7">
      <c r="A127" t="s">
        <v>16</v>
      </c>
      <c r="B127" t="s">
        <v>3715</v>
      </c>
      <c r="C127" t="s">
        <v>3716</v>
      </c>
      <c r="D127" t="s">
        <v>3736</v>
      </c>
      <c r="E127" t="s">
        <v>3737</v>
      </c>
      <c r="F127" t="s">
        <v>3429</v>
      </c>
      <c r="G127" t="s">
        <v>3738</v>
      </c>
    </row>
    <row r="128" customHeight="1" spans="1:7">
      <c r="A128" t="s">
        <v>16</v>
      </c>
      <c r="B128" t="s">
        <v>3715</v>
      </c>
      <c r="C128" t="s">
        <v>3716</v>
      </c>
      <c r="D128" t="s">
        <v>3739</v>
      </c>
      <c r="E128" t="s">
        <v>3740</v>
      </c>
      <c r="F128" t="s">
        <v>3429</v>
      </c>
      <c r="G128" t="s">
        <v>3741</v>
      </c>
    </row>
    <row r="129" customHeight="1" spans="1:7">
      <c r="A129" t="s">
        <v>16</v>
      </c>
      <c r="B129" t="s">
        <v>3715</v>
      </c>
      <c r="C129" t="s">
        <v>3716</v>
      </c>
      <c r="D129" t="s">
        <v>3742</v>
      </c>
      <c r="E129" t="s">
        <v>3743</v>
      </c>
      <c r="F129" t="s">
        <v>3429</v>
      </c>
      <c r="G129" t="s">
        <v>3744</v>
      </c>
    </row>
    <row r="130" customHeight="1" spans="1:7">
      <c r="A130" t="s">
        <v>16</v>
      </c>
      <c r="B130" t="s">
        <v>3745</v>
      </c>
      <c r="C130" t="s">
        <v>3746</v>
      </c>
      <c r="D130" t="s">
        <v>3747</v>
      </c>
      <c r="E130" t="s">
        <v>3748</v>
      </c>
      <c r="F130" t="s">
        <v>3429</v>
      </c>
      <c r="G130" t="s">
        <v>3749</v>
      </c>
    </row>
    <row r="131" customHeight="1" spans="1:7">
      <c r="A131" t="s">
        <v>16</v>
      </c>
      <c r="B131" t="s">
        <v>3745</v>
      </c>
      <c r="C131" t="s">
        <v>3746</v>
      </c>
      <c r="D131" t="s">
        <v>3750</v>
      </c>
      <c r="E131" t="s">
        <v>3751</v>
      </c>
      <c r="F131" t="s">
        <v>3429</v>
      </c>
      <c r="G131" t="s">
        <v>3752</v>
      </c>
    </row>
    <row r="132" customHeight="1" spans="1:7">
      <c r="A132" t="s">
        <v>16</v>
      </c>
      <c r="B132" t="s">
        <v>3745</v>
      </c>
      <c r="C132" t="s">
        <v>3746</v>
      </c>
      <c r="D132" t="s">
        <v>3753</v>
      </c>
      <c r="E132" t="s">
        <v>3754</v>
      </c>
      <c r="F132" t="s">
        <v>3429</v>
      </c>
      <c r="G132" t="s">
        <v>3755</v>
      </c>
    </row>
    <row r="133" customHeight="1" spans="1:7">
      <c r="A133" t="s">
        <v>16</v>
      </c>
      <c r="B133" t="s">
        <v>3745</v>
      </c>
      <c r="C133" t="s">
        <v>3746</v>
      </c>
      <c r="D133" t="s">
        <v>3745</v>
      </c>
      <c r="E133" t="s">
        <v>3746</v>
      </c>
      <c r="F133" t="s">
        <v>3426</v>
      </c>
      <c r="G133" t="s">
        <v>3756</v>
      </c>
    </row>
    <row r="134" customHeight="1" spans="1:7">
      <c r="A134" t="s">
        <v>16</v>
      </c>
      <c r="B134" t="s">
        <v>3745</v>
      </c>
      <c r="C134" t="s">
        <v>3746</v>
      </c>
      <c r="D134" t="s">
        <v>3757</v>
      </c>
      <c r="E134" t="s">
        <v>3758</v>
      </c>
      <c r="F134" t="s">
        <v>3468</v>
      </c>
      <c r="G134" t="s">
        <v>3759</v>
      </c>
    </row>
    <row r="135" customHeight="1" spans="1:7">
      <c r="A135" t="s">
        <v>16</v>
      </c>
      <c r="B135" t="s">
        <v>3745</v>
      </c>
      <c r="C135" t="s">
        <v>3746</v>
      </c>
      <c r="D135" t="s">
        <v>3760</v>
      </c>
      <c r="E135" t="s">
        <v>3761</v>
      </c>
      <c r="F135" t="s">
        <v>3429</v>
      </c>
      <c r="G135" t="s">
        <v>3762</v>
      </c>
    </row>
    <row r="136" customHeight="1" spans="1:7">
      <c r="A136" t="s">
        <v>16</v>
      </c>
      <c r="B136" t="s">
        <v>3745</v>
      </c>
      <c r="C136" t="s">
        <v>3746</v>
      </c>
      <c r="D136" t="s">
        <v>3763</v>
      </c>
      <c r="E136" t="s">
        <v>3764</v>
      </c>
      <c r="F136" t="s">
        <v>3429</v>
      </c>
      <c r="G136" t="s">
        <v>3765</v>
      </c>
    </row>
    <row r="137" customHeight="1" spans="1:7">
      <c r="A137" t="s">
        <v>16</v>
      </c>
      <c r="B137" t="s">
        <v>3745</v>
      </c>
      <c r="C137" t="s">
        <v>3746</v>
      </c>
      <c r="D137" t="s">
        <v>3499</v>
      </c>
      <c r="E137" t="s">
        <v>3766</v>
      </c>
      <c r="F137" t="s">
        <v>3429</v>
      </c>
      <c r="G137" t="s">
        <v>3767</v>
      </c>
    </row>
    <row r="138" customHeight="1" spans="1:7">
      <c r="A138" t="s">
        <v>16</v>
      </c>
      <c r="B138" t="s">
        <v>3745</v>
      </c>
      <c r="C138" t="s">
        <v>3746</v>
      </c>
      <c r="D138" t="s">
        <v>3768</v>
      </c>
      <c r="E138" t="s">
        <v>3769</v>
      </c>
      <c r="F138" t="s">
        <v>3429</v>
      </c>
      <c r="G138" t="s">
        <v>3770</v>
      </c>
    </row>
    <row r="139" customHeight="1" spans="1:7">
      <c r="A139" t="s">
        <v>16</v>
      </c>
      <c r="B139" t="s">
        <v>3745</v>
      </c>
      <c r="C139" t="s">
        <v>3746</v>
      </c>
      <c r="D139" t="s">
        <v>3771</v>
      </c>
      <c r="E139" t="s">
        <v>3772</v>
      </c>
      <c r="F139" t="s">
        <v>3429</v>
      </c>
      <c r="G139" t="s">
        <v>3773</v>
      </c>
    </row>
    <row r="140" customHeight="1" spans="1:7">
      <c r="A140" t="s">
        <v>16</v>
      </c>
      <c r="B140" t="s">
        <v>3774</v>
      </c>
      <c r="C140" t="s">
        <v>3775</v>
      </c>
      <c r="D140" t="s">
        <v>3776</v>
      </c>
      <c r="E140" t="s">
        <v>3777</v>
      </c>
      <c r="F140" t="s">
        <v>3429</v>
      </c>
      <c r="G140" t="s">
        <v>3778</v>
      </c>
    </row>
    <row r="141" customHeight="1" spans="1:7">
      <c r="A141" t="s">
        <v>16</v>
      </c>
      <c r="B141" t="s">
        <v>3774</v>
      </c>
      <c r="C141" t="s">
        <v>3775</v>
      </c>
      <c r="D141" t="s">
        <v>3779</v>
      </c>
      <c r="E141" t="s">
        <v>3780</v>
      </c>
      <c r="F141" t="s">
        <v>3429</v>
      </c>
      <c r="G141" t="s">
        <v>3781</v>
      </c>
    </row>
    <row r="142" customHeight="1" spans="1:7">
      <c r="A142" t="s">
        <v>16</v>
      </c>
      <c r="B142" t="s">
        <v>3774</v>
      </c>
      <c r="C142" t="s">
        <v>3775</v>
      </c>
      <c r="D142" t="s">
        <v>3782</v>
      </c>
      <c r="E142" t="s">
        <v>3783</v>
      </c>
      <c r="F142" t="s">
        <v>3429</v>
      </c>
      <c r="G142" t="s">
        <v>3784</v>
      </c>
    </row>
    <row r="143" customHeight="1" spans="1:7">
      <c r="A143" t="s">
        <v>16</v>
      </c>
      <c r="B143" t="s">
        <v>3774</v>
      </c>
      <c r="C143" t="s">
        <v>3775</v>
      </c>
      <c r="D143" t="s">
        <v>3774</v>
      </c>
      <c r="E143" t="s">
        <v>3775</v>
      </c>
      <c r="F143" t="s">
        <v>3426</v>
      </c>
      <c r="G143" t="s">
        <v>3785</v>
      </c>
    </row>
    <row r="144" customHeight="1" spans="1:7">
      <c r="A144" t="s">
        <v>16</v>
      </c>
      <c r="B144" t="s">
        <v>3774</v>
      </c>
      <c r="C144" t="s">
        <v>3775</v>
      </c>
      <c r="D144" t="s">
        <v>3786</v>
      </c>
      <c r="E144" t="s">
        <v>3787</v>
      </c>
      <c r="F144" t="s">
        <v>3429</v>
      </c>
      <c r="G144" t="s">
        <v>3788</v>
      </c>
    </row>
    <row r="145" customHeight="1" spans="1:7">
      <c r="A145" t="s">
        <v>16</v>
      </c>
      <c r="B145" t="s">
        <v>3774</v>
      </c>
      <c r="C145" t="s">
        <v>3775</v>
      </c>
      <c r="D145" t="s">
        <v>3789</v>
      </c>
      <c r="E145" t="s">
        <v>3790</v>
      </c>
      <c r="F145" t="s">
        <v>3429</v>
      </c>
      <c r="G145" t="s">
        <v>3791</v>
      </c>
    </row>
    <row r="146" customHeight="1" spans="1:7">
      <c r="A146" t="s">
        <v>16</v>
      </c>
      <c r="B146" t="s">
        <v>3774</v>
      </c>
      <c r="C146" t="s">
        <v>3775</v>
      </c>
      <c r="D146" t="s">
        <v>3792</v>
      </c>
      <c r="E146" t="s">
        <v>3793</v>
      </c>
      <c r="F146" t="s">
        <v>3429</v>
      </c>
      <c r="G146" t="s">
        <v>3794</v>
      </c>
    </row>
    <row r="147" customHeight="1" spans="1:7">
      <c r="A147" t="s">
        <v>16</v>
      </c>
      <c r="B147" t="s">
        <v>3774</v>
      </c>
      <c r="C147" t="s">
        <v>3775</v>
      </c>
      <c r="D147" t="s">
        <v>3795</v>
      </c>
      <c r="E147" t="s">
        <v>3796</v>
      </c>
      <c r="F147" t="s">
        <v>3429</v>
      </c>
      <c r="G147" t="s">
        <v>3797</v>
      </c>
    </row>
    <row r="148" customHeight="1" spans="1:7">
      <c r="A148" t="s">
        <v>16</v>
      </c>
      <c r="B148" t="s">
        <v>3774</v>
      </c>
      <c r="C148" t="s">
        <v>3775</v>
      </c>
      <c r="D148" t="s">
        <v>3477</v>
      </c>
      <c r="E148" t="s">
        <v>3798</v>
      </c>
      <c r="F148" t="s">
        <v>3429</v>
      </c>
      <c r="G148" t="s">
        <v>3799</v>
      </c>
    </row>
    <row r="149" customHeight="1" spans="1:7">
      <c r="A149" t="s">
        <v>16</v>
      </c>
      <c r="B149" t="s">
        <v>3774</v>
      </c>
      <c r="C149" t="s">
        <v>3775</v>
      </c>
      <c r="D149" t="s">
        <v>3800</v>
      </c>
      <c r="E149" t="s">
        <v>3801</v>
      </c>
      <c r="F149" t="s">
        <v>3429</v>
      </c>
      <c r="G149" t="s">
        <v>3802</v>
      </c>
    </row>
    <row r="150" customHeight="1" spans="1:7">
      <c r="A150" t="s">
        <v>16</v>
      </c>
      <c r="B150" t="s">
        <v>3774</v>
      </c>
      <c r="C150" t="s">
        <v>3775</v>
      </c>
      <c r="D150" t="s">
        <v>3803</v>
      </c>
      <c r="E150" t="s">
        <v>3804</v>
      </c>
      <c r="F150" t="s">
        <v>3429</v>
      </c>
      <c r="G150" t="s">
        <v>3805</v>
      </c>
    </row>
    <row r="151" customHeight="1" spans="1:7">
      <c r="A151" t="s">
        <v>16</v>
      </c>
      <c r="B151" t="s">
        <v>3774</v>
      </c>
      <c r="C151" t="s">
        <v>3775</v>
      </c>
      <c r="D151" t="s">
        <v>3806</v>
      </c>
      <c r="E151" t="s">
        <v>3807</v>
      </c>
      <c r="F151" t="s">
        <v>3429</v>
      </c>
      <c r="G151" t="s">
        <v>3808</v>
      </c>
    </row>
    <row r="152" customHeight="1" spans="1:7">
      <c r="A152" t="s">
        <v>16</v>
      </c>
      <c r="B152" t="s">
        <v>3809</v>
      </c>
      <c r="C152" t="s">
        <v>3810</v>
      </c>
      <c r="D152" t="s">
        <v>3811</v>
      </c>
      <c r="E152" t="s">
        <v>3812</v>
      </c>
      <c r="F152" t="s">
        <v>3429</v>
      </c>
      <c r="G152" t="s">
        <v>3813</v>
      </c>
    </row>
    <row r="153" customHeight="1" spans="1:7">
      <c r="A153" t="s">
        <v>16</v>
      </c>
      <c r="B153" t="s">
        <v>3809</v>
      </c>
      <c r="C153" t="s">
        <v>3810</v>
      </c>
      <c r="D153" t="s">
        <v>3809</v>
      </c>
      <c r="E153" t="s">
        <v>3810</v>
      </c>
      <c r="F153" t="s">
        <v>3426</v>
      </c>
      <c r="G153" t="s">
        <v>3814</v>
      </c>
    </row>
    <row r="154" customHeight="1" spans="1:7">
      <c r="A154" t="s">
        <v>16</v>
      </c>
      <c r="B154" t="s">
        <v>3809</v>
      </c>
      <c r="C154" t="s">
        <v>3810</v>
      </c>
      <c r="D154" t="s">
        <v>3436</v>
      </c>
      <c r="E154" t="s">
        <v>3815</v>
      </c>
      <c r="F154" t="s">
        <v>3429</v>
      </c>
      <c r="G154" t="s">
        <v>3816</v>
      </c>
    </row>
    <row r="155" customHeight="1" spans="1:7">
      <c r="A155" t="s">
        <v>16</v>
      </c>
      <c r="B155" t="s">
        <v>3809</v>
      </c>
      <c r="C155" t="s">
        <v>3810</v>
      </c>
      <c r="D155" t="s">
        <v>3817</v>
      </c>
      <c r="E155" t="s">
        <v>3818</v>
      </c>
      <c r="F155" t="s">
        <v>3429</v>
      </c>
      <c r="G155" t="s">
        <v>3819</v>
      </c>
    </row>
    <row r="156" customHeight="1" spans="1:7">
      <c r="A156" t="s">
        <v>16</v>
      </c>
      <c r="B156" t="s">
        <v>3809</v>
      </c>
      <c r="C156" t="s">
        <v>3810</v>
      </c>
      <c r="D156" t="s">
        <v>3792</v>
      </c>
      <c r="E156" t="s">
        <v>3820</v>
      </c>
      <c r="F156" t="s">
        <v>3429</v>
      </c>
      <c r="G156" t="s">
        <v>3821</v>
      </c>
    </row>
    <row r="157" customHeight="1" spans="1:7">
      <c r="A157" t="s">
        <v>16</v>
      </c>
      <c r="B157" t="s">
        <v>3809</v>
      </c>
      <c r="C157" t="s">
        <v>3810</v>
      </c>
      <c r="D157" t="s">
        <v>3822</v>
      </c>
      <c r="E157" t="s">
        <v>3823</v>
      </c>
      <c r="F157" t="s">
        <v>3429</v>
      </c>
      <c r="G157" t="s">
        <v>3824</v>
      </c>
    </row>
    <row r="158" customHeight="1" spans="1:7">
      <c r="A158" t="s">
        <v>16</v>
      </c>
      <c r="B158" t="s">
        <v>3809</v>
      </c>
      <c r="C158" t="s">
        <v>3810</v>
      </c>
      <c r="D158" t="s">
        <v>3825</v>
      </c>
      <c r="E158" t="s">
        <v>3826</v>
      </c>
      <c r="F158" t="s">
        <v>3429</v>
      </c>
      <c r="G158" t="s">
        <v>3827</v>
      </c>
    </row>
    <row r="159" customHeight="1" spans="1:7">
      <c r="A159" t="s">
        <v>16</v>
      </c>
      <c r="B159" t="s">
        <v>3809</v>
      </c>
      <c r="C159" t="s">
        <v>3810</v>
      </c>
      <c r="D159" t="s">
        <v>3828</v>
      </c>
      <c r="E159" t="s">
        <v>3829</v>
      </c>
      <c r="F159" t="s">
        <v>3429</v>
      </c>
      <c r="G159" t="s">
        <v>3830</v>
      </c>
    </row>
    <row r="160" customHeight="1" spans="1:7">
      <c r="A160" t="s">
        <v>16</v>
      </c>
      <c r="B160" t="s">
        <v>3809</v>
      </c>
      <c r="C160" t="s">
        <v>3810</v>
      </c>
      <c r="D160" t="s">
        <v>3831</v>
      </c>
      <c r="E160" t="s">
        <v>3832</v>
      </c>
      <c r="F160" t="s">
        <v>3429</v>
      </c>
      <c r="G160" t="s">
        <v>3833</v>
      </c>
    </row>
    <row r="161" customHeight="1" spans="1:7">
      <c r="A161" t="s">
        <v>16</v>
      </c>
      <c r="B161" t="s">
        <v>3834</v>
      </c>
      <c r="C161" t="s">
        <v>3835</v>
      </c>
      <c r="D161" t="s">
        <v>3836</v>
      </c>
      <c r="E161" t="s">
        <v>3837</v>
      </c>
      <c r="F161" t="s">
        <v>3429</v>
      </c>
      <c r="G161" t="s">
        <v>3838</v>
      </c>
    </row>
    <row r="162" customHeight="1" spans="1:7">
      <c r="A162" t="s">
        <v>16</v>
      </c>
      <c r="B162" t="s">
        <v>3834</v>
      </c>
      <c r="C162" t="s">
        <v>3835</v>
      </c>
      <c r="D162" t="s">
        <v>3839</v>
      </c>
      <c r="E162" t="s">
        <v>3840</v>
      </c>
      <c r="F162" t="s">
        <v>3429</v>
      </c>
      <c r="G162" t="s">
        <v>3841</v>
      </c>
    </row>
    <row r="163" customHeight="1" spans="1:7">
      <c r="A163" t="s">
        <v>16</v>
      </c>
      <c r="B163" t="s">
        <v>3834</v>
      </c>
      <c r="C163" t="s">
        <v>3835</v>
      </c>
      <c r="D163" t="s">
        <v>3842</v>
      </c>
      <c r="E163" t="s">
        <v>3843</v>
      </c>
      <c r="F163" t="s">
        <v>3429</v>
      </c>
      <c r="G163" t="s">
        <v>3844</v>
      </c>
    </row>
    <row r="164" customHeight="1" spans="1:7">
      <c r="A164" t="s">
        <v>16</v>
      </c>
      <c r="B164" t="s">
        <v>3834</v>
      </c>
      <c r="C164" t="s">
        <v>3835</v>
      </c>
      <c r="D164" t="s">
        <v>3845</v>
      </c>
      <c r="E164" t="s">
        <v>3846</v>
      </c>
      <c r="F164" t="s">
        <v>3847</v>
      </c>
      <c r="G164" t="s">
        <v>3848</v>
      </c>
    </row>
    <row r="165" customHeight="1" spans="1:7">
      <c r="A165" t="s">
        <v>16</v>
      </c>
      <c r="B165" t="s">
        <v>3834</v>
      </c>
      <c r="C165" t="s">
        <v>3835</v>
      </c>
      <c r="D165" t="s">
        <v>3849</v>
      </c>
      <c r="E165" t="s">
        <v>3850</v>
      </c>
      <c r="F165" t="s">
        <v>3429</v>
      </c>
      <c r="G165" t="s">
        <v>3851</v>
      </c>
    </row>
    <row r="166" customHeight="1" spans="1:7">
      <c r="A166" t="s">
        <v>16</v>
      </c>
      <c r="B166" t="s">
        <v>3834</v>
      </c>
      <c r="C166" t="s">
        <v>3835</v>
      </c>
      <c r="D166" t="s">
        <v>3852</v>
      </c>
      <c r="E166" t="s">
        <v>3853</v>
      </c>
      <c r="F166" t="s">
        <v>3429</v>
      </c>
      <c r="G166" t="s">
        <v>3854</v>
      </c>
    </row>
    <row r="167" customHeight="1" spans="1:7">
      <c r="A167" t="s">
        <v>16</v>
      </c>
      <c r="B167" t="s">
        <v>3834</v>
      </c>
      <c r="C167" t="s">
        <v>3835</v>
      </c>
      <c r="D167" t="s">
        <v>3855</v>
      </c>
      <c r="E167" t="s">
        <v>3856</v>
      </c>
      <c r="F167" t="s">
        <v>3429</v>
      </c>
      <c r="G167" t="s">
        <v>3857</v>
      </c>
    </row>
    <row r="168" customHeight="1" spans="1:7">
      <c r="A168" t="s">
        <v>16</v>
      </c>
      <c r="B168" t="s">
        <v>3834</v>
      </c>
      <c r="C168" t="s">
        <v>3835</v>
      </c>
      <c r="D168" t="s">
        <v>3834</v>
      </c>
      <c r="E168" t="s">
        <v>3835</v>
      </c>
      <c r="F168" t="s">
        <v>3426</v>
      </c>
      <c r="G168" t="s">
        <v>3858</v>
      </c>
    </row>
    <row r="169" customHeight="1" spans="1:7">
      <c r="A169" t="s">
        <v>16</v>
      </c>
      <c r="B169" t="s">
        <v>3834</v>
      </c>
      <c r="C169" t="s">
        <v>3835</v>
      </c>
      <c r="D169" t="s">
        <v>3859</v>
      </c>
      <c r="E169" t="s">
        <v>3860</v>
      </c>
      <c r="F169" t="s">
        <v>3429</v>
      </c>
      <c r="G169" t="s">
        <v>3861</v>
      </c>
    </row>
    <row r="170" customHeight="1" spans="1:7">
      <c r="A170" t="s">
        <v>16</v>
      </c>
      <c r="B170" t="s">
        <v>3834</v>
      </c>
      <c r="C170" t="s">
        <v>3835</v>
      </c>
      <c r="D170" t="s">
        <v>3862</v>
      </c>
      <c r="E170" t="s">
        <v>3863</v>
      </c>
      <c r="F170" t="s">
        <v>3429</v>
      </c>
      <c r="G170" t="s">
        <v>3864</v>
      </c>
    </row>
    <row r="171" customHeight="1" spans="1:7">
      <c r="A171" t="s">
        <v>16</v>
      </c>
      <c r="B171" t="s">
        <v>3834</v>
      </c>
      <c r="C171" t="s">
        <v>3835</v>
      </c>
      <c r="D171" t="s">
        <v>3865</v>
      </c>
      <c r="E171" t="s">
        <v>3866</v>
      </c>
      <c r="F171" t="s">
        <v>3429</v>
      </c>
      <c r="G171" t="s">
        <v>3867</v>
      </c>
    </row>
    <row r="172" customHeight="1" spans="1:7">
      <c r="A172" t="s">
        <v>16</v>
      </c>
      <c r="B172" t="s">
        <v>3834</v>
      </c>
      <c r="C172" t="s">
        <v>3835</v>
      </c>
      <c r="D172" t="s">
        <v>3868</v>
      </c>
      <c r="E172" t="s">
        <v>3869</v>
      </c>
      <c r="F172" t="s">
        <v>3429</v>
      </c>
      <c r="G172" t="s">
        <v>3870</v>
      </c>
    </row>
    <row r="173" customHeight="1" spans="1:7">
      <c r="A173" t="s">
        <v>16</v>
      </c>
      <c r="B173" t="s">
        <v>3834</v>
      </c>
      <c r="C173" t="s">
        <v>3835</v>
      </c>
      <c r="D173" t="s">
        <v>3871</v>
      </c>
      <c r="E173" t="s">
        <v>3872</v>
      </c>
      <c r="F173" t="s">
        <v>3429</v>
      </c>
      <c r="G173" t="s">
        <v>3873</v>
      </c>
    </row>
    <row r="174" customHeight="1" spans="1:7">
      <c r="A174" t="s">
        <v>16</v>
      </c>
      <c r="B174" t="s">
        <v>3874</v>
      </c>
      <c r="C174" t="s">
        <v>3875</v>
      </c>
      <c r="D174" t="s">
        <v>3876</v>
      </c>
      <c r="E174" t="s">
        <v>3877</v>
      </c>
      <c r="F174" t="s">
        <v>3429</v>
      </c>
      <c r="G174" t="s">
        <v>3878</v>
      </c>
    </row>
    <row r="175" customHeight="1" spans="1:7">
      <c r="A175" t="s">
        <v>16</v>
      </c>
      <c r="B175" t="s">
        <v>3874</v>
      </c>
      <c r="C175" t="s">
        <v>3875</v>
      </c>
      <c r="D175" t="s">
        <v>3879</v>
      </c>
      <c r="E175" t="s">
        <v>3880</v>
      </c>
      <c r="F175" t="s">
        <v>3429</v>
      </c>
      <c r="G175" t="s">
        <v>3881</v>
      </c>
    </row>
    <row r="176" customHeight="1" spans="1:7">
      <c r="A176" t="s">
        <v>16</v>
      </c>
      <c r="B176" t="s">
        <v>3874</v>
      </c>
      <c r="C176" t="s">
        <v>3875</v>
      </c>
      <c r="D176" t="s">
        <v>3882</v>
      </c>
      <c r="E176" t="s">
        <v>3883</v>
      </c>
      <c r="F176" t="s">
        <v>3429</v>
      </c>
      <c r="G176" t="s">
        <v>3884</v>
      </c>
    </row>
    <row r="177" customHeight="1" spans="1:7">
      <c r="A177" t="s">
        <v>16</v>
      </c>
      <c r="B177" t="s">
        <v>3874</v>
      </c>
      <c r="C177" t="s">
        <v>3875</v>
      </c>
      <c r="D177" t="s">
        <v>3885</v>
      </c>
      <c r="E177" t="s">
        <v>3886</v>
      </c>
      <c r="F177" t="s">
        <v>3429</v>
      </c>
      <c r="G177" t="s">
        <v>3887</v>
      </c>
    </row>
    <row r="178" customHeight="1" spans="1:7">
      <c r="A178" t="s">
        <v>16</v>
      </c>
      <c r="B178" t="s">
        <v>3874</v>
      </c>
      <c r="C178" t="s">
        <v>3875</v>
      </c>
      <c r="D178" t="s">
        <v>3874</v>
      </c>
      <c r="E178" t="s">
        <v>3875</v>
      </c>
      <c r="F178" t="s">
        <v>3426</v>
      </c>
      <c r="G178" t="s">
        <v>3888</v>
      </c>
    </row>
    <row r="179" customHeight="1" spans="1:7">
      <c r="A179" t="s">
        <v>16</v>
      </c>
      <c r="B179" t="s">
        <v>3874</v>
      </c>
      <c r="C179" t="s">
        <v>3875</v>
      </c>
      <c r="D179" t="s">
        <v>3889</v>
      </c>
      <c r="E179" t="s">
        <v>3890</v>
      </c>
      <c r="F179" t="s">
        <v>3429</v>
      </c>
      <c r="G179" t="s">
        <v>3891</v>
      </c>
    </row>
    <row r="180" customHeight="1" spans="1:7">
      <c r="A180" t="s">
        <v>16</v>
      </c>
      <c r="B180" t="s">
        <v>3874</v>
      </c>
      <c r="C180" t="s">
        <v>3875</v>
      </c>
      <c r="D180" t="s">
        <v>3892</v>
      </c>
      <c r="E180" t="s">
        <v>3893</v>
      </c>
      <c r="F180" t="s">
        <v>3429</v>
      </c>
      <c r="G180" t="s">
        <v>3894</v>
      </c>
    </row>
    <row r="181" customHeight="1" spans="1:7">
      <c r="A181" t="s">
        <v>16</v>
      </c>
      <c r="B181" t="s">
        <v>3874</v>
      </c>
      <c r="C181" t="s">
        <v>3875</v>
      </c>
      <c r="D181" t="s">
        <v>3895</v>
      </c>
      <c r="E181" t="s">
        <v>3896</v>
      </c>
      <c r="F181" t="s">
        <v>3429</v>
      </c>
      <c r="G181" t="s">
        <v>3897</v>
      </c>
    </row>
    <row r="182" customHeight="1" spans="1:7">
      <c r="A182" t="s">
        <v>16</v>
      </c>
      <c r="B182" t="s">
        <v>3874</v>
      </c>
      <c r="C182" t="s">
        <v>3875</v>
      </c>
      <c r="D182" t="s">
        <v>3898</v>
      </c>
      <c r="E182" t="s">
        <v>3899</v>
      </c>
      <c r="F182" t="s">
        <v>3429</v>
      </c>
      <c r="G182" t="s">
        <v>3900</v>
      </c>
    </row>
    <row r="183" customHeight="1" spans="1:7">
      <c r="A183" t="s">
        <v>16</v>
      </c>
      <c r="B183" t="s">
        <v>3874</v>
      </c>
      <c r="C183" t="s">
        <v>3875</v>
      </c>
      <c r="D183" t="s">
        <v>3901</v>
      </c>
      <c r="E183" t="s">
        <v>3902</v>
      </c>
      <c r="F183" t="s">
        <v>3429</v>
      </c>
      <c r="G183" t="s">
        <v>3903</v>
      </c>
    </row>
    <row r="184" customHeight="1" spans="1:7">
      <c r="A184" t="s">
        <v>16</v>
      </c>
      <c r="B184" t="s">
        <v>3874</v>
      </c>
      <c r="C184" t="s">
        <v>3875</v>
      </c>
      <c r="D184" t="s">
        <v>3904</v>
      </c>
      <c r="E184" t="s">
        <v>3905</v>
      </c>
      <c r="F184" t="s">
        <v>3429</v>
      </c>
      <c r="G184" t="s">
        <v>3906</v>
      </c>
    </row>
    <row r="185" customHeight="1" spans="1:7">
      <c r="A185" t="s">
        <v>16</v>
      </c>
      <c r="B185" t="s">
        <v>3907</v>
      </c>
      <c r="C185" t="s">
        <v>3908</v>
      </c>
      <c r="D185" t="s">
        <v>3909</v>
      </c>
      <c r="E185" t="s">
        <v>3910</v>
      </c>
      <c r="F185" t="s">
        <v>3429</v>
      </c>
      <c r="G185" t="s">
        <v>3911</v>
      </c>
    </row>
    <row r="186" customHeight="1" spans="1:7">
      <c r="A186" t="s">
        <v>16</v>
      </c>
      <c r="B186" t="s">
        <v>3907</v>
      </c>
      <c r="C186" t="s">
        <v>3908</v>
      </c>
      <c r="D186" t="s">
        <v>3912</v>
      </c>
      <c r="E186" t="s">
        <v>3913</v>
      </c>
      <c r="F186" t="s">
        <v>3429</v>
      </c>
      <c r="G186" t="s">
        <v>3914</v>
      </c>
    </row>
    <row r="187" customHeight="1" spans="1:7">
      <c r="A187" t="s">
        <v>16</v>
      </c>
      <c r="B187" t="s">
        <v>3907</v>
      </c>
      <c r="C187" t="s">
        <v>3908</v>
      </c>
      <c r="D187" t="s">
        <v>3915</v>
      </c>
      <c r="E187" t="s">
        <v>3916</v>
      </c>
      <c r="F187" t="s">
        <v>3429</v>
      </c>
      <c r="G187" t="s">
        <v>3917</v>
      </c>
    </row>
    <row r="188" customHeight="1" spans="1:7">
      <c r="A188" t="s">
        <v>16</v>
      </c>
      <c r="B188" t="s">
        <v>3907</v>
      </c>
      <c r="C188" t="s">
        <v>3908</v>
      </c>
      <c r="D188" t="s">
        <v>3907</v>
      </c>
      <c r="E188" t="s">
        <v>3908</v>
      </c>
      <c r="F188" t="s">
        <v>3426</v>
      </c>
      <c r="G188" t="s">
        <v>3918</v>
      </c>
    </row>
    <row r="189" customHeight="1" spans="1:7">
      <c r="A189" t="s">
        <v>16</v>
      </c>
      <c r="B189" t="s">
        <v>3907</v>
      </c>
      <c r="C189" t="s">
        <v>3908</v>
      </c>
      <c r="D189" t="s">
        <v>3919</v>
      </c>
      <c r="E189" t="s">
        <v>3920</v>
      </c>
      <c r="F189" t="s">
        <v>3468</v>
      </c>
      <c r="G189" t="s">
        <v>3921</v>
      </c>
    </row>
    <row r="190" customHeight="1" spans="1:7">
      <c r="A190" t="s">
        <v>16</v>
      </c>
      <c r="B190" t="s">
        <v>3907</v>
      </c>
      <c r="C190" t="s">
        <v>3908</v>
      </c>
      <c r="D190" t="s">
        <v>3922</v>
      </c>
      <c r="E190" t="s">
        <v>3923</v>
      </c>
      <c r="F190" t="s">
        <v>3429</v>
      </c>
      <c r="G190" t="s">
        <v>3924</v>
      </c>
    </row>
    <row r="191" customHeight="1" spans="1:7">
      <c r="A191" t="s">
        <v>16</v>
      </c>
      <c r="B191" t="s">
        <v>3907</v>
      </c>
      <c r="C191" t="s">
        <v>3908</v>
      </c>
      <c r="D191" t="s">
        <v>3925</v>
      </c>
      <c r="E191" t="s">
        <v>3926</v>
      </c>
      <c r="F191" t="s">
        <v>3429</v>
      </c>
      <c r="G191" t="s">
        <v>3927</v>
      </c>
    </row>
    <row r="192" customHeight="1" spans="1:7">
      <c r="A192" t="s">
        <v>16</v>
      </c>
      <c r="B192" t="s">
        <v>3907</v>
      </c>
      <c r="C192" t="s">
        <v>3908</v>
      </c>
      <c r="D192" t="s">
        <v>3928</v>
      </c>
      <c r="E192" t="s">
        <v>3929</v>
      </c>
      <c r="F192" t="s">
        <v>3429</v>
      </c>
      <c r="G192" t="s">
        <v>3930</v>
      </c>
    </row>
    <row r="193" customHeight="1" spans="1:7">
      <c r="A193" t="s">
        <v>16</v>
      </c>
      <c r="B193" t="s">
        <v>3931</v>
      </c>
      <c r="C193" t="s">
        <v>3932</v>
      </c>
      <c r="D193" t="s">
        <v>3933</v>
      </c>
      <c r="E193" t="s">
        <v>3934</v>
      </c>
      <c r="F193" t="s">
        <v>3429</v>
      </c>
      <c r="G193" t="s">
        <v>3935</v>
      </c>
    </row>
    <row r="194" customHeight="1" spans="1:7">
      <c r="A194" t="s">
        <v>16</v>
      </c>
      <c r="B194" t="s">
        <v>3931</v>
      </c>
      <c r="C194" t="s">
        <v>3932</v>
      </c>
      <c r="D194" t="s">
        <v>3936</v>
      </c>
      <c r="E194" t="s">
        <v>3937</v>
      </c>
      <c r="F194" t="s">
        <v>3429</v>
      </c>
      <c r="G194" t="s">
        <v>3938</v>
      </c>
    </row>
    <row r="195" customHeight="1" spans="1:7">
      <c r="A195" t="s">
        <v>16</v>
      </c>
      <c r="B195" t="s">
        <v>3931</v>
      </c>
      <c r="C195" t="s">
        <v>3932</v>
      </c>
      <c r="D195" t="s">
        <v>3939</v>
      </c>
      <c r="E195" t="s">
        <v>3940</v>
      </c>
      <c r="F195" t="s">
        <v>3468</v>
      </c>
      <c r="G195" t="s">
        <v>3941</v>
      </c>
    </row>
    <row r="196" customHeight="1" spans="1:7">
      <c r="A196" t="s">
        <v>16</v>
      </c>
      <c r="B196" t="s">
        <v>3931</v>
      </c>
      <c r="C196" t="s">
        <v>3932</v>
      </c>
      <c r="D196" t="s">
        <v>3942</v>
      </c>
      <c r="E196" t="s">
        <v>3943</v>
      </c>
      <c r="F196" t="s">
        <v>3429</v>
      </c>
      <c r="G196" t="s">
        <v>3944</v>
      </c>
    </row>
    <row r="197" customHeight="1" spans="1:7">
      <c r="A197" t="s">
        <v>16</v>
      </c>
      <c r="B197" t="s">
        <v>3931</v>
      </c>
      <c r="C197" t="s">
        <v>3932</v>
      </c>
      <c r="D197" t="s">
        <v>3945</v>
      </c>
      <c r="E197" t="s">
        <v>3946</v>
      </c>
      <c r="F197" t="s">
        <v>3429</v>
      </c>
      <c r="G197" t="s">
        <v>3947</v>
      </c>
    </row>
    <row r="198" customHeight="1" spans="1:7">
      <c r="A198" t="s">
        <v>16</v>
      </c>
      <c r="B198" t="s">
        <v>3931</v>
      </c>
      <c r="C198" t="s">
        <v>3932</v>
      </c>
      <c r="D198" t="s">
        <v>3721</v>
      </c>
      <c r="E198" t="s">
        <v>3948</v>
      </c>
      <c r="F198" t="s">
        <v>3429</v>
      </c>
      <c r="G198" t="s">
        <v>3949</v>
      </c>
    </row>
    <row r="199" customHeight="1" spans="1:7">
      <c r="A199" t="s">
        <v>16</v>
      </c>
      <c r="B199" t="s">
        <v>3931</v>
      </c>
      <c r="C199" t="s">
        <v>3932</v>
      </c>
      <c r="D199" t="s">
        <v>3950</v>
      </c>
      <c r="E199" t="s">
        <v>3951</v>
      </c>
      <c r="F199" t="s">
        <v>3429</v>
      </c>
      <c r="G199" t="s">
        <v>3952</v>
      </c>
    </row>
    <row r="200" customHeight="1" spans="1:7">
      <c r="A200" t="s">
        <v>16</v>
      </c>
      <c r="B200" t="s">
        <v>3931</v>
      </c>
      <c r="C200" t="s">
        <v>3932</v>
      </c>
      <c r="D200" t="s">
        <v>3669</v>
      </c>
      <c r="E200" t="s">
        <v>3953</v>
      </c>
      <c r="F200" t="s">
        <v>3429</v>
      </c>
      <c r="G200" t="s">
        <v>3954</v>
      </c>
    </row>
    <row r="201" customHeight="1" spans="1:7">
      <c r="A201" t="s">
        <v>16</v>
      </c>
      <c r="B201" t="s">
        <v>3931</v>
      </c>
      <c r="C201" t="s">
        <v>3932</v>
      </c>
      <c r="D201" t="s">
        <v>3931</v>
      </c>
      <c r="E201" t="s">
        <v>3932</v>
      </c>
      <c r="F201" t="s">
        <v>3426</v>
      </c>
      <c r="G201" t="s">
        <v>3955</v>
      </c>
    </row>
    <row r="202" customHeight="1" spans="1:7">
      <c r="A202" t="s">
        <v>16</v>
      </c>
      <c r="B202" t="s">
        <v>3931</v>
      </c>
      <c r="C202" t="s">
        <v>3932</v>
      </c>
      <c r="D202" t="s">
        <v>3956</v>
      </c>
      <c r="E202" t="s">
        <v>3957</v>
      </c>
      <c r="F202" t="s">
        <v>3468</v>
      </c>
      <c r="G202" t="s">
        <v>3958</v>
      </c>
    </row>
    <row r="203" customHeight="1" spans="1:7">
      <c r="A203" t="s">
        <v>16</v>
      </c>
      <c r="B203" t="s">
        <v>3931</v>
      </c>
      <c r="C203" t="s">
        <v>3932</v>
      </c>
      <c r="D203" t="s">
        <v>3959</v>
      </c>
      <c r="E203" t="s">
        <v>3960</v>
      </c>
      <c r="F203" t="s">
        <v>3429</v>
      </c>
      <c r="G203" t="s">
        <v>3961</v>
      </c>
    </row>
    <row r="204" customHeight="1" spans="1:7">
      <c r="A204" t="s">
        <v>16</v>
      </c>
      <c r="B204" t="s">
        <v>3931</v>
      </c>
      <c r="C204" t="s">
        <v>3932</v>
      </c>
      <c r="D204" t="s">
        <v>3962</v>
      </c>
      <c r="E204" t="s">
        <v>3963</v>
      </c>
      <c r="F204" t="s">
        <v>3429</v>
      </c>
      <c r="G204" t="s">
        <v>3964</v>
      </c>
    </row>
    <row r="205" customHeight="1" spans="1:7">
      <c r="A205" t="s">
        <v>16</v>
      </c>
      <c r="B205" t="s">
        <v>3931</v>
      </c>
      <c r="C205" t="s">
        <v>3932</v>
      </c>
      <c r="D205" t="s">
        <v>3965</v>
      </c>
      <c r="E205" t="s">
        <v>3966</v>
      </c>
      <c r="F205" t="s">
        <v>3429</v>
      </c>
      <c r="G205" t="s">
        <v>3967</v>
      </c>
    </row>
    <row r="206" customHeight="1" spans="1:7">
      <c r="A206" t="s">
        <v>16</v>
      </c>
      <c r="B206" t="s">
        <v>3931</v>
      </c>
      <c r="C206" t="s">
        <v>3932</v>
      </c>
      <c r="D206" t="s">
        <v>3968</v>
      </c>
      <c r="E206" t="s">
        <v>3969</v>
      </c>
      <c r="F206" t="s">
        <v>3429</v>
      </c>
      <c r="G206" t="s">
        <v>3970</v>
      </c>
    </row>
    <row r="207" customHeight="1" spans="1:7">
      <c r="A207" t="s">
        <v>16</v>
      </c>
      <c r="B207" t="s">
        <v>3931</v>
      </c>
      <c r="C207" t="s">
        <v>3932</v>
      </c>
      <c r="D207" t="s">
        <v>3971</v>
      </c>
      <c r="E207" t="s">
        <v>3972</v>
      </c>
      <c r="F207" t="s">
        <v>3847</v>
      </c>
      <c r="G207" t="s">
        <v>3973</v>
      </c>
    </row>
    <row r="208" customHeight="1" spans="1:7">
      <c r="A208" t="s">
        <v>16</v>
      </c>
      <c r="B208" t="s">
        <v>3931</v>
      </c>
      <c r="C208" t="s">
        <v>3932</v>
      </c>
      <c r="D208" t="s">
        <v>3974</v>
      </c>
      <c r="E208" t="s">
        <v>3975</v>
      </c>
      <c r="F208" t="s">
        <v>3429</v>
      </c>
      <c r="G208" t="s">
        <v>3976</v>
      </c>
    </row>
    <row r="209" customHeight="1" spans="1:7">
      <c r="A209" t="s">
        <v>16</v>
      </c>
      <c r="B209" t="s">
        <v>3977</v>
      </c>
      <c r="C209" t="s">
        <v>3978</v>
      </c>
      <c r="D209" t="s">
        <v>3979</v>
      </c>
      <c r="E209" t="s">
        <v>3980</v>
      </c>
      <c r="F209" t="s">
        <v>3429</v>
      </c>
      <c r="G209" t="s">
        <v>3981</v>
      </c>
    </row>
    <row r="210" customHeight="1" spans="1:7">
      <c r="A210" t="s">
        <v>16</v>
      </c>
      <c r="B210" t="s">
        <v>3977</v>
      </c>
      <c r="C210" t="s">
        <v>3978</v>
      </c>
      <c r="D210" t="s">
        <v>3977</v>
      </c>
      <c r="E210" t="s">
        <v>3978</v>
      </c>
      <c r="F210" t="s">
        <v>3426</v>
      </c>
      <c r="G210" t="s">
        <v>3982</v>
      </c>
    </row>
    <row r="211" customHeight="1" spans="1:7">
      <c r="A211" t="s">
        <v>16</v>
      </c>
      <c r="B211" t="s">
        <v>3977</v>
      </c>
      <c r="C211" t="s">
        <v>3978</v>
      </c>
      <c r="D211" t="s">
        <v>3983</v>
      </c>
      <c r="E211" t="s">
        <v>3984</v>
      </c>
      <c r="F211" t="s">
        <v>3429</v>
      </c>
      <c r="G211" t="s">
        <v>3985</v>
      </c>
    </row>
    <row r="212" customHeight="1" spans="1:7">
      <c r="A212" t="s">
        <v>16</v>
      </c>
      <c r="B212" t="s">
        <v>3977</v>
      </c>
      <c r="C212" t="s">
        <v>3978</v>
      </c>
      <c r="D212" t="s">
        <v>3986</v>
      </c>
      <c r="E212" t="s">
        <v>3987</v>
      </c>
      <c r="F212" t="s">
        <v>3429</v>
      </c>
      <c r="G212" t="s">
        <v>3988</v>
      </c>
    </row>
    <row r="213" customHeight="1" spans="1:7">
      <c r="A213" t="s">
        <v>16</v>
      </c>
      <c r="B213" t="s">
        <v>3989</v>
      </c>
      <c r="C213" t="s">
        <v>3990</v>
      </c>
      <c r="D213" t="s">
        <v>3991</v>
      </c>
      <c r="E213" t="s">
        <v>3992</v>
      </c>
      <c r="F213" t="s">
        <v>3429</v>
      </c>
      <c r="G213" t="s">
        <v>3993</v>
      </c>
    </row>
    <row r="214" customHeight="1" spans="1:7">
      <c r="A214" t="s">
        <v>16</v>
      </c>
      <c r="B214" t="s">
        <v>3989</v>
      </c>
      <c r="C214" t="s">
        <v>3990</v>
      </c>
      <c r="D214" t="s">
        <v>3994</v>
      </c>
      <c r="E214" t="s">
        <v>3995</v>
      </c>
      <c r="F214" t="s">
        <v>3429</v>
      </c>
      <c r="G214" t="s">
        <v>3996</v>
      </c>
    </row>
    <row r="215" customHeight="1" spans="1:7">
      <c r="A215" t="s">
        <v>16</v>
      </c>
      <c r="B215" t="s">
        <v>3989</v>
      </c>
      <c r="C215" t="s">
        <v>3990</v>
      </c>
      <c r="D215" t="s">
        <v>3997</v>
      </c>
      <c r="E215" t="s">
        <v>3998</v>
      </c>
      <c r="F215" t="s">
        <v>3429</v>
      </c>
      <c r="G215" t="s">
        <v>3999</v>
      </c>
    </row>
    <row r="216" customHeight="1" spans="1:7">
      <c r="A216" t="s">
        <v>16</v>
      </c>
      <c r="B216" t="s">
        <v>3989</v>
      </c>
      <c r="C216" t="s">
        <v>3990</v>
      </c>
      <c r="D216" t="s">
        <v>4000</v>
      </c>
      <c r="E216" t="s">
        <v>4001</v>
      </c>
      <c r="F216" t="s">
        <v>3429</v>
      </c>
      <c r="G216" t="s">
        <v>4002</v>
      </c>
    </row>
    <row r="217" customHeight="1" spans="1:7">
      <c r="A217" t="s">
        <v>16</v>
      </c>
      <c r="B217" t="s">
        <v>3989</v>
      </c>
      <c r="C217" t="s">
        <v>3990</v>
      </c>
      <c r="D217" t="s">
        <v>4003</v>
      </c>
      <c r="E217" t="s">
        <v>4004</v>
      </c>
      <c r="F217" t="s">
        <v>3429</v>
      </c>
      <c r="G217" t="s">
        <v>4005</v>
      </c>
    </row>
    <row r="218" customHeight="1" spans="1:7">
      <c r="A218" t="s">
        <v>16</v>
      </c>
      <c r="B218" t="s">
        <v>3989</v>
      </c>
      <c r="C218" t="s">
        <v>3990</v>
      </c>
      <c r="D218" t="s">
        <v>3989</v>
      </c>
      <c r="E218" t="s">
        <v>3990</v>
      </c>
      <c r="F218" t="s">
        <v>3426</v>
      </c>
      <c r="G218" t="s">
        <v>4006</v>
      </c>
    </row>
    <row r="219" customHeight="1" spans="1:7">
      <c r="A219" t="s">
        <v>16</v>
      </c>
      <c r="B219" t="s">
        <v>3989</v>
      </c>
      <c r="C219" t="s">
        <v>3990</v>
      </c>
      <c r="D219" t="s">
        <v>4007</v>
      </c>
      <c r="E219" t="s">
        <v>4008</v>
      </c>
      <c r="F219" t="s">
        <v>3429</v>
      </c>
      <c r="G219" t="s">
        <v>4009</v>
      </c>
    </row>
    <row r="220" customHeight="1" spans="1:7">
      <c r="A220" t="s">
        <v>16</v>
      </c>
      <c r="B220" t="s">
        <v>3989</v>
      </c>
      <c r="C220" t="s">
        <v>3990</v>
      </c>
      <c r="D220" t="s">
        <v>4010</v>
      </c>
      <c r="E220" t="s">
        <v>4011</v>
      </c>
      <c r="F220" t="s">
        <v>3429</v>
      </c>
      <c r="G220" t="s">
        <v>4012</v>
      </c>
    </row>
    <row r="221" customHeight="1" spans="1:7">
      <c r="A221" t="s">
        <v>16</v>
      </c>
      <c r="B221" t="s">
        <v>3989</v>
      </c>
      <c r="C221" t="s">
        <v>3990</v>
      </c>
      <c r="D221" t="s">
        <v>4013</v>
      </c>
      <c r="E221" t="s">
        <v>4014</v>
      </c>
      <c r="F221" t="s">
        <v>3429</v>
      </c>
      <c r="G221" t="s">
        <v>4015</v>
      </c>
    </row>
    <row r="222" customHeight="1" spans="1:7">
      <c r="A222" t="s">
        <v>16</v>
      </c>
      <c r="B222" t="s">
        <v>3989</v>
      </c>
      <c r="C222" t="s">
        <v>3990</v>
      </c>
      <c r="D222" t="s">
        <v>4016</v>
      </c>
      <c r="E222" t="s">
        <v>4017</v>
      </c>
      <c r="F222" t="s">
        <v>3429</v>
      </c>
      <c r="G222" t="s">
        <v>4018</v>
      </c>
    </row>
    <row r="223" customHeight="1" spans="1:7">
      <c r="A223" t="s">
        <v>16</v>
      </c>
      <c r="B223" t="s">
        <v>4019</v>
      </c>
      <c r="C223" t="s">
        <v>4020</v>
      </c>
      <c r="D223" t="s">
        <v>4021</v>
      </c>
      <c r="E223" t="s">
        <v>4022</v>
      </c>
      <c r="F223" t="s">
        <v>3429</v>
      </c>
      <c r="G223" t="s">
        <v>1072</v>
      </c>
    </row>
    <row r="224" customHeight="1" spans="1:7">
      <c r="A224" t="s">
        <v>16</v>
      </c>
      <c r="B224" t="s">
        <v>4019</v>
      </c>
      <c r="C224" t="s">
        <v>4020</v>
      </c>
      <c r="D224" t="s">
        <v>4023</v>
      </c>
      <c r="E224" t="s">
        <v>4024</v>
      </c>
      <c r="F224" t="s">
        <v>3429</v>
      </c>
      <c r="G224" t="s">
        <v>4025</v>
      </c>
    </row>
    <row r="225" customHeight="1" spans="1:7">
      <c r="A225" t="s">
        <v>16</v>
      </c>
      <c r="B225" t="s">
        <v>4019</v>
      </c>
      <c r="C225" t="s">
        <v>4020</v>
      </c>
      <c r="D225" t="s">
        <v>4026</v>
      </c>
      <c r="E225" t="s">
        <v>4027</v>
      </c>
      <c r="F225" t="s">
        <v>3429</v>
      </c>
      <c r="G225" t="s">
        <v>4028</v>
      </c>
    </row>
    <row r="226" customHeight="1" spans="1:7">
      <c r="A226" t="s">
        <v>16</v>
      </c>
      <c r="B226" t="s">
        <v>4019</v>
      </c>
      <c r="C226" t="s">
        <v>4020</v>
      </c>
      <c r="D226" t="s">
        <v>4029</v>
      </c>
      <c r="E226" t="s">
        <v>4030</v>
      </c>
      <c r="F226" t="s">
        <v>3429</v>
      </c>
      <c r="G226" t="s">
        <v>4031</v>
      </c>
    </row>
    <row r="227" customHeight="1" spans="1:7">
      <c r="A227" t="s">
        <v>16</v>
      </c>
      <c r="B227" t="s">
        <v>4019</v>
      </c>
      <c r="C227" t="s">
        <v>4020</v>
      </c>
      <c r="D227" t="s">
        <v>4032</v>
      </c>
      <c r="E227" t="s">
        <v>4033</v>
      </c>
      <c r="F227" t="s">
        <v>3429</v>
      </c>
      <c r="G227" t="s">
        <v>4034</v>
      </c>
    </row>
    <row r="228" customHeight="1" spans="1:7">
      <c r="A228" t="s">
        <v>16</v>
      </c>
      <c r="B228" t="s">
        <v>4019</v>
      </c>
      <c r="C228" t="s">
        <v>4020</v>
      </c>
      <c r="D228" t="s">
        <v>4019</v>
      </c>
      <c r="E228" t="s">
        <v>4020</v>
      </c>
      <c r="F228" t="s">
        <v>3426</v>
      </c>
      <c r="G228" t="s">
        <v>4035</v>
      </c>
    </row>
    <row r="229" customHeight="1" spans="1:7">
      <c r="A229" t="s">
        <v>16</v>
      </c>
      <c r="B229" t="s">
        <v>4019</v>
      </c>
      <c r="C229" t="s">
        <v>4020</v>
      </c>
      <c r="D229" t="s">
        <v>4036</v>
      </c>
      <c r="E229" t="s">
        <v>4037</v>
      </c>
      <c r="F229" t="s">
        <v>3429</v>
      </c>
      <c r="G229" t="s">
        <v>4038</v>
      </c>
    </row>
    <row r="230" customHeight="1" spans="1:7">
      <c r="A230" t="s">
        <v>16</v>
      </c>
      <c r="B230" t="s">
        <v>4019</v>
      </c>
      <c r="C230" t="s">
        <v>4020</v>
      </c>
      <c r="D230" t="s">
        <v>4039</v>
      </c>
      <c r="E230" t="s">
        <v>4040</v>
      </c>
      <c r="F230" t="s">
        <v>3429</v>
      </c>
      <c r="G230" t="s">
        <v>4041</v>
      </c>
    </row>
    <row r="231" customHeight="1" spans="1:7">
      <c r="A231" t="s">
        <v>16</v>
      </c>
      <c r="B231" t="s">
        <v>4019</v>
      </c>
      <c r="C231" t="s">
        <v>4020</v>
      </c>
      <c r="D231" t="s">
        <v>4042</v>
      </c>
      <c r="E231" t="s">
        <v>4043</v>
      </c>
      <c r="F231" t="s">
        <v>3429</v>
      </c>
      <c r="G231" t="s">
        <v>4044</v>
      </c>
    </row>
    <row r="232" customHeight="1" spans="1:7">
      <c r="A232" t="s">
        <v>16</v>
      </c>
      <c r="B232" t="s">
        <v>4045</v>
      </c>
      <c r="C232" t="s">
        <v>4046</v>
      </c>
      <c r="D232" t="s">
        <v>4047</v>
      </c>
      <c r="E232" t="s">
        <v>4048</v>
      </c>
      <c r="F232" t="s">
        <v>3429</v>
      </c>
      <c r="G232" t="s">
        <v>4049</v>
      </c>
    </row>
    <row r="233" customHeight="1" spans="1:7">
      <c r="A233" t="s">
        <v>16</v>
      </c>
      <c r="B233" t="s">
        <v>4045</v>
      </c>
      <c r="C233" t="s">
        <v>4046</v>
      </c>
      <c r="D233" t="s">
        <v>4050</v>
      </c>
      <c r="E233" t="s">
        <v>4051</v>
      </c>
      <c r="F233" t="s">
        <v>3429</v>
      </c>
      <c r="G233" t="s">
        <v>4052</v>
      </c>
    </row>
    <row r="234" customHeight="1" spans="1:7">
      <c r="A234" t="s">
        <v>16</v>
      </c>
      <c r="B234" t="s">
        <v>4045</v>
      </c>
      <c r="C234" t="s">
        <v>4046</v>
      </c>
      <c r="D234" t="s">
        <v>4053</v>
      </c>
      <c r="E234" t="s">
        <v>4054</v>
      </c>
      <c r="F234" t="s">
        <v>3429</v>
      </c>
      <c r="G234" t="s">
        <v>4055</v>
      </c>
    </row>
    <row r="235" customHeight="1" spans="1:7">
      <c r="A235" t="s">
        <v>16</v>
      </c>
      <c r="B235" t="s">
        <v>4045</v>
      </c>
      <c r="C235" t="s">
        <v>4046</v>
      </c>
      <c r="D235" t="s">
        <v>4056</v>
      </c>
      <c r="E235" t="s">
        <v>4057</v>
      </c>
      <c r="F235" t="s">
        <v>3429</v>
      </c>
      <c r="G235" t="s">
        <v>4058</v>
      </c>
    </row>
    <row r="236" customHeight="1" spans="1:7">
      <c r="A236" t="s">
        <v>16</v>
      </c>
      <c r="B236" t="s">
        <v>4045</v>
      </c>
      <c r="C236" t="s">
        <v>4046</v>
      </c>
      <c r="D236" t="s">
        <v>4059</v>
      </c>
      <c r="E236" t="s">
        <v>4060</v>
      </c>
      <c r="F236" t="s">
        <v>3429</v>
      </c>
      <c r="G236" t="s">
        <v>4061</v>
      </c>
    </row>
    <row r="237" customHeight="1" spans="1:7">
      <c r="A237" t="s">
        <v>16</v>
      </c>
      <c r="B237" t="s">
        <v>4045</v>
      </c>
      <c r="C237" t="s">
        <v>4046</v>
      </c>
      <c r="D237" t="s">
        <v>4062</v>
      </c>
      <c r="E237" t="s">
        <v>4063</v>
      </c>
      <c r="F237" t="s">
        <v>3429</v>
      </c>
      <c r="G237" t="s">
        <v>4064</v>
      </c>
    </row>
    <row r="238" customHeight="1" spans="1:7">
      <c r="A238" t="s">
        <v>16</v>
      </c>
      <c r="B238" t="s">
        <v>4045</v>
      </c>
      <c r="C238" t="s">
        <v>4046</v>
      </c>
      <c r="D238" t="s">
        <v>4045</v>
      </c>
      <c r="E238" t="s">
        <v>4046</v>
      </c>
      <c r="F238" t="s">
        <v>3426</v>
      </c>
      <c r="G238" t="s">
        <v>4065</v>
      </c>
    </row>
    <row r="239" customHeight="1" spans="1:7">
      <c r="A239" t="s">
        <v>16</v>
      </c>
      <c r="B239" t="s">
        <v>4045</v>
      </c>
      <c r="C239" t="s">
        <v>4046</v>
      </c>
      <c r="D239" t="s">
        <v>4066</v>
      </c>
      <c r="E239" t="s">
        <v>4067</v>
      </c>
      <c r="F239" t="s">
        <v>3468</v>
      </c>
      <c r="G239" t="s">
        <v>4068</v>
      </c>
    </row>
    <row r="240" customHeight="1" spans="1:7">
      <c r="A240" t="s">
        <v>16</v>
      </c>
      <c r="B240" t="s">
        <v>4045</v>
      </c>
      <c r="C240" t="s">
        <v>4046</v>
      </c>
      <c r="D240" t="s">
        <v>4069</v>
      </c>
      <c r="E240" t="s">
        <v>4070</v>
      </c>
      <c r="F240" t="s">
        <v>3429</v>
      </c>
      <c r="G240" t="s">
        <v>4071</v>
      </c>
    </row>
    <row r="241" customHeight="1" spans="1:7">
      <c r="A241" t="s">
        <v>16</v>
      </c>
      <c r="B241" t="s">
        <v>4045</v>
      </c>
      <c r="C241" t="s">
        <v>4046</v>
      </c>
      <c r="D241" t="s">
        <v>3895</v>
      </c>
      <c r="E241" t="s">
        <v>4072</v>
      </c>
      <c r="F241" t="s">
        <v>3429</v>
      </c>
      <c r="G241" t="s">
        <v>4073</v>
      </c>
    </row>
    <row r="242" customHeight="1" spans="1:7">
      <c r="A242" t="s">
        <v>16</v>
      </c>
      <c r="B242" t="s">
        <v>4045</v>
      </c>
      <c r="C242" t="s">
        <v>4046</v>
      </c>
      <c r="D242" t="s">
        <v>4074</v>
      </c>
      <c r="E242" t="s">
        <v>4075</v>
      </c>
      <c r="F242" t="s">
        <v>3429</v>
      </c>
      <c r="G242" t="s">
        <v>4076</v>
      </c>
    </row>
    <row r="243" customHeight="1" spans="1:7">
      <c r="A243" t="s">
        <v>16</v>
      </c>
      <c r="B243" t="s">
        <v>4045</v>
      </c>
      <c r="C243" t="s">
        <v>4046</v>
      </c>
      <c r="D243" t="s">
        <v>4077</v>
      </c>
      <c r="E243" t="s">
        <v>4078</v>
      </c>
      <c r="F243" t="s">
        <v>3429</v>
      </c>
      <c r="G243" t="s">
        <v>4079</v>
      </c>
    </row>
    <row r="244" customHeight="1" spans="1:7">
      <c r="A244" t="s">
        <v>16</v>
      </c>
      <c r="B244" t="s">
        <v>4045</v>
      </c>
      <c r="C244" t="s">
        <v>4046</v>
      </c>
      <c r="D244" t="s">
        <v>4080</v>
      </c>
      <c r="E244" t="s">
        <v>4081</v>
      </c>
      <c r="F244" t="s">
        <v>3429</v>
      </c>
      <c r="G244" t="s">
        <v>4082</v>
      </c>
    </row>
    <row r="245" customHeight="1" spans="1:7">
      <c r="A245" t="s">
        <v>16</v>
      </c>
      <c r="B245" t="s">
        <v>4045</v>
      </c>
      <c r="C245" t="s">
        <v>4046</v>
      </c>
      <c r="D245" t="s">
        <v>4083</v>
      </c>
      <c r="E245" t="s">
        <v>4084</v>
      </c>
      <c r="F245" t="s">
        <v>3429</v>
      </c>
      <c r="G245" t="s">
        <v>4085</v>
      </c>
    </row>
    <row r="246" customHeight="1" spans="1:7">
      <c r="A246" t="s">
        <v>16</v>
      </c>
      <c r="B246" t="s">
        <v>4086</v>
      </c>
      <c r="C246" t="s">
        <v>4087</v>
      </c>
      <c r="D246" t="s">
        <v>4088</v>
      </c>
      <c r="E246" t="s">
        <v>4089</v>
      </c>
      <c r="F246" t="s">
        <v>3429</v>
      </c>
      <c r="G246" t="s">
        <v>4090</v>
      </c>
    </row>
    <row r="247" customHeight="1" spans="1:7">
      <c r="A247" t="s">
        <v>16</v>
      </c>
      <c r="B247" t="s">
        <v>4086</v>
      </c>
      <c r="C247" t="s">
        <v>4087</v>
      </c>
      <c r="D247" t="s">
        <v>4091</v>
      </c>
      <c r="E247" t="s">
        <v>4092</v>
      </c>
      <c r="F247" t="s">
        <v>3429</v>
      </c>
      <c r="G247" t="s">
        <v>4093</v>
      </c>
    </row>
    <row r="248" customHeight="1" spans="1:7">
      <c r="A248" t="s">
        <v>16</v>
      </c>
      <c r="B248" t="s">
        <v>4086</v>
      </c>
      <c r="C248" t="s">
        <v>4087</v>
      </c>
      <c r="D248" t="s">
        <v>4086</v>
      </c>
      <c r="E248" t="s">
        <v>4087</v>
      </c>
      <c r="F248" t="s">
        <v>3426</v>
      </c>
      <c r="G248" t="s">
        <v>4094</v>
      </c>
    </row>
    <row r="249" customHeight="1" spans="1:7">
      <c r="A249" t="s">
        <v>16</v>
      </c>
      <c r="B249" t="s">
        <v>4086</v>
      </c>
      <c r="C249" t="s">
        <v>4087</v>
      </c>
      <c r="D249" t="s">
        <v>4095</v>
      </c>
      <c r="E249" t="s">
        <v>4096</v>
      </c>
      <c r="F249" t="s">
        <v>3429</v>
      </c>
      <c r="G249" t="s">
        <v>4097</v>
      </c>
    </row>
    <row r="250" customHeight="1" spans="1:7">
      <c r="A250" t="s">
        <v>16</v>
      </c>
      <c r="B250" t="s">
        <v>4086</v>
      </c>
      <c r="C250" t="s">
        <v>4087</v>
      </c>
      <c r="D250" t="s">
        <v>4098</v>
      </c>
      <c r="E250" t="s">
        <v>4099</v>
      </c>
      <c r="F250" t="s">
        <v>3429</v>
      </c>
      <c r="G250" t="s">
        <v>4100</v>
      </c>
    </row>
    <row r="251" customHeight="1" spans="1:7">
      <c r="A251" t="s">
        <v>16</v>
      </c>
      <c r="B251" t="s">
        <v>4086</v>
      </c>
      <c r="C251" t="s">
        <v>4087</v>
      </c>
      <c r="D251" t="s">
        <v>4101</v>
      </c>
      <c r="E251" t="s">
        <v>4102</v>
      </c>
      <c r="F251" t="s">
        <v>3429</v>
      </c>
      <c r="G251" t="s">
        <v>4103</v>
      </c>
    </row>
    <row r="252" customHeight="1" spans="1:7">
      <c r="A252" t="s">
        <v>16</v>
      </c>
      <c r="B252" t="s">
        <v>4086</v>
      </c>
      <c r="C252" t="s">
        <v>4087</v>
      </c>
      <c r="D252" t="s">
        <v>4104</v>
      </c>
      <c r="E252" t="s">
        <v>4105</v>
      </c>
      <c r="F252" t="s">
        <v>3429</v>
      </c>
      <c r="G252" t="s">
        <v>4106</v>
      </c>
    </row>
    <row r="253" customHeight="1" spans="1:7">
      <c r="A253" t="s">
        <v>16</v>
      </c>
      <c r="B253" t="s">
        <v>4086</v>
      </c>
      <c r="C253" t="s">
        <v>4087</v>
      </c>
      <c r="D253" t="s">
        <v>4107</v>
      </c>
      <c r="E253" t="s">
        <v>4108</v>
      </c>
      <c r="F253" t="s">
        <v>3429</v>
      </c>
      <c r="G253" t="s">
        <v>4109</v>
      </c>
    </row>
    <row r="254" customHeight="1" spans="1:7">
      <c r="A254" t="s">
        <v>16</v>
      </c>
      <c r="B254" t="s">
        <v>4110</v>
      </c>
      <c r="C254" t="s">
        <v>4111</v>
      </c>
      <c r="D254" t="s">
        <v>4112</v>
      </c>
      <c r="E254" t="s">
        <v>4113</v>
      </c>
      <c r="F254" t="s">
        <v>3429</v>
      </c>
      <c r="G254" t="s">
        <v>4114</v>
      </c>
    </row>
    <row r="255" customHeight="1" spans="1:7">
      <c r="A255" t="s">
        <v>16</v>
      </c>
      <c r="B255" t="s">
        <v>4110</v>
      </c>
      <c r="C255" t="s">
        <v>4111</v>
      </c>
      <c r="D255" t="s">
        <v>4115</v>
      </c>
      <c r="E255" t="s">
        <v>4116</v>
      </c>
      <c r="F255" t="s">
        <v>3429</v>
      </c>
      <c r="G255" t="s">
        <v>4117</v>
      </c>
    </row>
    <row r="256" customHeight="1" spans="1:7">
      <c r="A256" t="s">
        <v>16</v>
      </c>
      <c r="B256" t="s">
        <v>4110</v>
      </c>
      <c r="C256" t="s">
        <v>4111</v>
      </c>
      <c r="D256" t="s">
        <v>4118</v>
      </c>
      <c r="E256" t="s">
        <v>4119</v>
      </c>
      <c r="F256" t="s">
        <v>3429</v>
      </c>
      <c r="G256" t="s">
        <v>4120</v>
      </c>
    </row>
    <row r="257" customHeight="1" spans="1:7">
      <c r="A257" t="s">
        <v>16</v>
      </c>
      <c r="B257" t="s">
        <v>4110</v>
      </c>
      <c r="C257" t="s">
        <v>4111</v>
      </c>
      <c r="D257" t="s">
        <v>4121</v>
      </c>
      <c r="E257" t="s">
        <v>4122</v>
      </c>
      <c r="F257" t="s">
        <v>3429</v>
      </c>
      <c r="G257" t="s">
        <v>4123</v>
      </c>
    </row>
    <row r="258" customHeight="1" spans="1:7">
      <c r="A258" t="s">
        <v>16</v>
      </c>
      <c r="B258" t="s">
        <v>4110</v>
      </c>
      <c r="C258" t="s">
        <v>4111</v>
      </c>
      <c r="D258" t="s">
        <v>4124</v>
      </c>
      <c r="E258" t="s">
        <v>4125</v>
      </c>
      <c r="F258" t="s">
        <v>3429</v>
      </c>
      <c r="G258" t="s">
        <v>4126</v>
      </c>
    </row>
    <row r="259" customHeight="1" spans="1:7">
      <c r="A259" t="s">
        <v>16</v>
      </c>
      <c r="B259" t="s">
        <v>4110</v>
      </c>
      <c r="C259" t="s">
        <v>4111</v>
      </c>
      <c r="D259" t="s">
        <v>4127</v>
      </c>
      <c r="E259" t="s">
        <v>4128</v>
      </c>
      <c r="F259" t="s">
        <v>3429</v>
      </c>
      <c r="G259" t="s">
        <v>4129</v>
      </c>
    </row>
    <row r="260" customHeight="1" spans="1:7">
      <c r="A260" t="s">
        <v>16</v>
      </c>
      <c r="B260" t="s">
        <v>4110</v>
      </c>
      <c r="C260" t="s">
        <v>4111</v>
      </c>
      <c r="D260" t="s">
        <v>4110</v>
      </c>
      <c r="E260" t="s">
        <v>4111</v>
      </c>
      <c r="F260" t="s">
        <v>3426</v>
      </c>
      <c r="G260" t="s">
        <v>4130</v>
      </c>
    </row>
    <row r="261" customHeight="1" spans="1:7">
      <c r="A261" t="s">
        <v>16</v>
      </c>
      <c r="B261" t="s">
        <v>4110</v>
      </c>
      <c r="C261" t="s">
        <v>4111</v>
      </c>
      <c r="D261" t="s">
        <v>4131</v>
      </c>
      <c r="E261" t="s">
        <v>4132</v>
      </c>
      <c r="F261" t="s">
        <v>3468</v>
      </c>
      <c r="G261" t="s">
        <v>4133</v>
      </c>
    </row>
    <row r="262" customHeight="1" spans="1:7">
      <c r="A262" t="s">
        <v>16</v>
      </c>
      <c r="B262" t="s">
        <v>4110</v>
      </c>
      <c r="C262" t="s">
        <v>4111</v>
      </c>
      <c r="D262" t="s">
        <v>4134</v>
      </c>
      <c r="E262" t="s">
        <v>4135</v>
      </c>
      <c r="F262" t="s">
        <v>3429</v>
      </c>
      <c r="G262" t="s">
        <v>4136</v>
      </c>
    </row>
    <row r="263" customHeight="1" spans="1:7">
      <c r="A263" t="s">
        <v>16</v>
      </c>
      <c r="B263" t="s">
        <v>4110</v>
      </c>
      <c r="C263" t="s">
        <v>4111</v>
      </c>
      <c r="D263" t="s">
        <v>4137</v>
      </c>
      <c r="E263" t="s">
        <v>4138</v>
      </c>
      <c r="F263" t="s">
        <v>3429</v>
      </c>
      <c r="G263" t="s">
        <v>4139</v>
      </c>
    </row>
    <row r="264" customHeight="1" spans="1:7">
      <c r="A264" t="s">
        <v>16</v>
      </c>
      <c r="B264" t="s">
        <v>4140</v>
      </c>
      <c r="C264" t="s">
        <v>4141</v>
      </c>
      <c r="D264" t="s">
        <v>4142</v>
      </c>
      <c r="E264" t="s">
        <v>4143</v>
      </c>
      <c r="F264" t="s">
        <v>3429</v>
      </c>
      <c r="G264" t="s">
        <v>4144</v>
      </c>
    </row>
    <row r="265" customHeight="1" spans="1:7">
      <c r="A265" t="s">
        <v>16</v>
      </c>
      <c r="B265" t="s">
        <v>4140</v>
      </c>
      <c r="C265" t="s">
        <v>4141</v>
      </c>
      <c r="D265" t="s">
        <v>3817</v>
      </c>
      <c r="E265" t="s">
        <v>4145</v>
      </c>
      <c r="F265" t="s">
        <v>3429</v>
      </c>
      <c r="G265" t="s">
        <v>4146</v>
      </c>
    </row>
    <row r="266" customHeight="1" spans="1:7">
      <c r="A266" t="s">
        <v>16</v>
      </c>
      <c r="B266" t="s">
        <v>4140</v>
      </c>
      <c r="C266" t="s">
        <v>4141</v>
      </c>
      <c r="D266" t="s">
        <v>4147</v>
      </c>
      <c r="E266" t="s">
        <v>4148</v>
      </c>
      <c r="F266" t="s">
        <v>3429</v>
      </c>
      <c r="G266" t="s">
        <v>4149</v>
      </c>
    </row>
    <row r="267" customHeight="1" spans="1:7">
      <c r="A267" t="s">
        <v>16</v>
      </c>
      <c r="B267" t="s">
        <v>4140</v>
      </c>
      <c r="C267" t="s">
        <v>4141</v>
      </c>
      <c r="D267" t="s">
        <v>4150</v>
      </c>
      <c r="E267" t="s">
        <v>4151</v>
      </c>
      <c r="F267" t="s">
        <v>3429</v>
      </c>
      <c r="G267" t="s">
        <v>4152</v>
      </c>
    </row>
    <row r="268" customHeight="1" spans="1:7">
      <c r="A268" t="s">
        <v>16</v>
      </c>
      <c r="B268" t="s">
        <v>4140</v>
      </c>
      <c r="C268" t="s">
        <v>4141</v>
      </c>
      <c r="D268" t="s">
        <v>4140</v>
      </c>
      <c r="E268" t="s">
        <v>4141</v>
      </c>
      <c r="F268" t="s">
        <v>3426</v>
      </c>
      <c r="G268" t="s">
        <v>4153</v>
      </c>
    </row>
    <row r="269" customHeight="1" spans="1:7">
      <c r="A269" t="s">
        <v>16</v>
      </c>
      <c r="B269" t="s">
        <v>4140</v>
      </c>
      <c r="C269" t="s">
        <v>4141</v>
      </c>
      <c r="D269" t="s">
        <v>4154</v>
      </c>
      <c r="E269" t="s">
        <v>4155</v>
      </c>
      <c r="F269" t="s">
        <v>3429</v>
      </c>
      <c r="G269" t="s">
        <v>4156</v>
      </c>
    </row>
    <row r="270" customHeight="1" spans="1:7">
      <c r="A270" t="s">
        <v>16</v>
      </c>
      <c r="B270" t="s">
        <v>4140</v>
      </c>
      <c r="C270" t="s">
        <v>4141</v>
      </c>
      <c r="D270" t="s">
        <v>4157</v>
      </c>
      <c r="E270" t="s">
        <v>4158</v>
      </c>
      <c r="F270" t="s">
        <v>3429</v>
      </c>
      <c r="G270" t="s">
        <v>4159</v>
      </c>
    </row>
    <row r="271" customHeight="1" spans="1:7">
      <c r="A271" t="s">
        <v>16</v>
      </c>
      <c r="B271" t="s">
        <v>4140</v>
      </c>
      <c r="C271" t="s">
        <v>4141</v>
      </c>
      <c r="D271" t="s">
        <v>4160</v>
      </c>
      <c r="E271" t="s">
        <v>4161</v>
      </c>
      <c r="F271" t="s">
        <v>3429</v>
      </c>
      <c r="G271" t="s">
        <v>4162</v>
      </c>
    </row>
    <row r="272" customHeight="1" spans="1:7">
      <c r="A272" t="s">
        <v>16</v>
      </c>
      <c r="B272" t="s">
        <v>4163</v>
      </c>
      <c r="C272" t="s">
        <v>4164</v>
      </c>
      <c r="D272" t="s">
        <v>4165</v>
      </c>
      <c r="E272" t="s">
        <v>4166</v>
      </c>
      <c r="F272" t="s">
        <v>3429</v>
      </c>
      <c r="G272" t="s">
        <v>4167</v>
      </c>
    </row>
    <row r="273" customHeight="1" spans="1:7">
      <c r="A273" t="s">
        <v>16</v>
      </c>
      <c r="B273" t="s">
        <v>4163</v>
      </c>
      <c r="C273" t="s">
        <v>4164</v>
      </c>
      <c r="D273" t="s">
        <v>4168</v>
      </c>
      <c r="E273" t="s">
        <v>4169</v>
      </c>
      <c r="F273" t="s">
        <v>3429</v>
      </c>
      <c r="G273" t="s">
        <v>4170</v>
      </c>
    </row>
    <row r="274" customHeight="1" spans="1:7">
      <c r="A274" t="s">
        <v>16</v>
      </c>
      <c r="B274" t="s">
        <v>4163</v>
      </c>
      <c r="C274" t="s">
        <v>4164</v>
      </c>
      <c r="D274" t="s">
        <v>4171</v>
      </c>
      <c r="E274" t="s">
        <v>4172</v>
      </c>
      <c r="F274" t="s">
        <v>3429</v>
      </c>
      <c r="G274" t="s">
        <v>4173</v>
      </c>
    </row>
    <row r="275" customHeight="1" spans="1:7">
      <c r="A275" t="s">
        <v>16</v>
      </c>
      <c r="B275" t="s">
        <v>4163</v>
      </c>
      <c r="C275" t="s">
        <v>4164</v>
      </c>
      <c r="D275" t="s">
        <v>4174</v>
      </c>
      <c r="E275" t="s">
        <v>4175</v>
      </c>
      <c r="F275" t="s">
        <v>3429</v>
      </c>
      <c r="G275" t="s">
        <v>4176</v>
      </c>
    </row>
    <row r="276" customHeight="1" spans="1:7">
      <c r="A276" t="s">
        <v>16</v>
      </c>
      <c r="B276" t="s">
        <v>4163</v>
      </c>
      <c r="C276" t="s">
        <v>4164</v>
      </c>
      <c r="D276" t="s">
        <v>4177</v>
      </c>
      <c r="E276" t="s">
        <v>4178</v>
      </c>
      <c r="F276" t="s">
        <v>3429</v>
      </c>
      <c r="G276" t="s">
        <v>4179</v>
      </c>
    </row>
    <row r="277" customHeight="1" spans="1:7">
      <c r="A277" t="s">
        <v>16</v>
      </c>
      <c r="B277" t="s">
        <v>4163</v>
      </c>
      <c r="C277" t="s">
        <v>4164</v>
      </c>
      <c r="D277" t="s">
        <v>4180</v>
      </c>
      <c r="E277" t="s">
        <v>4181</v>
      </c>
      <c r="F277" t="s">
        <v>3429</v>
      </c>
      <c r="G277" t="s">
        <v>4182</v>
      </c>
    </row>
    <row r="278" customHeight="1" spans="1:7">
      <c r="A278" t="s">
        <v>16</v>
      </c>
      <c r="B278" t="s">
        <v>4163</v>
      </c>
      <c r="C278" t="s">
        <v>4164</v>
      </c>
      <c r="D278" t="s">
        <v>4163</v>
      </c>
      <c r="E278" t="s">
        <v>4164</v>
      </c>
      <c r="F278" t="s">
        <v>3426</v>
      </c>
      <c r="G278" t="s">
        <v>4183</v>
      </c>
    </row>
    <row r="279" customHeight="1" spans="1:7">
      <c r="A279" t="s">
        <v>16</v>
      </c>
      <c r="B279" t="s">
        <v>4163</v>
      </c>
      <c r="C279" t="s">
        <v>4164</v>
      </c>
      <c r="D279" t="s">
        <v>3922</v>
      </c>
      <c r="E279" t="s">
        <v>4184</v>
      </c>
      <c r="F279" t="s">
        <v>3429</v>
      </c>
      <c r="G279" t="s">
        <v>4185</v>
      </c>
    </row>
    <row r="280" customHeight="1" spans="1:7">
      <c r="A280" t="s">
        <v>16</v>
      </c>
      <c r="B280" t="s">
        <v>4163</v>
      </c>
      <c r="C280" t="s">
        <v>4164</v>
      </c>
      <c r="D280" t="s">
        <v>4186</v>
      </c>
      <c r="E280" t="s">
        <v>4187</v>
      </c>
      <c r="F280" t="s">
        <v>3429</v>
      </c>
      <c r="G280" t="s">
        <v>4188</v>
      </c>
    </row>
    <row r="281" customHeight="1" spans="1:7">
      <c r="A281" t="s">
        <v>16</v>
      </c>
      <c r="B281" t="s">
        <v>4163</v>
      </c>
      <c r="C281" t="s">
        <v>4164</v>
      </c>
      <c r="D281" t="s">
        <v>4189</v>
      </c>
      <c r="E281" t="s">
        <v>4190</v>
      </c>
      <c r="F281" t="s">
        <v>3429</v>
      </c>
      <c r="G281" t="s">
        <v>4191</v>
      </c>
    </row>
    <row r="282" customHeight="1" spans="1:7">
      <c r="A282" t="s">
        <v>16</v>
      </c>
      <c r="B282" t="s">
        <v>4163</v>
      </c>
      <c r="C282" t="s">
        <v>4164</v>
      </c>
      <c r="D282" t="s">
        <v>4192</v>
      </c>
      <c r="E282" t="s">
        <v>4193</v>
      </c>
      <c r="F282" t="s">
        <v>3429</v>
      </c>
      <c r="G282" t="s">
        <v>4194</v>
      </c>
    </row>
    <row r="283" customHeight="1" spans="1:7">
      <c r="A283" t="s">
        <v>16</v>
      </c>
      <c r="B283" t="s">
        <v>4163</v>
      </c>
      <c r="C283" t="s">
        <v>4164</v>
      </c>
      <c r="D283" t="s">
        <v>4195</v>
      </c>
      <c r="E283" t="s">
        <v>4196</v>
      </c>
      <c r="F283" t="s">
        <v>3429</v>
      </c>
      <c r="G283" t="s">
        <v>4197</v>
      </c>
    </row>
    <row r="284" customHeight="1" spans="1:7">
      <c r="A284" t="s">
        <v>16</v>
      </c>
      <c r="B284" t="s">
        <v>4163</v>
      </c>
      <c r="C284" t="s">
        <v>4164</v>
      </c>
      <c r="D284" t="s">
        <v>4198</v>
      </c>
      <c r="E284" t="s">
        <v>4199</v>
      </c>
      <c r="F284" t="s">
        <v>3429</v>
      </c>
      <c r="G284" t="s">
        <v>4200</v>
      </c>
    </row>
    <row r="285" customHeight="1" spans="1:7">
      <c r="A285" t="s">
        <v>16</v>
      </c>
      <c r="B285" t="s">
        <v>4163</v>
      </c>
      <c r="C285" t="s">
        <v>4164</v>
      </c>
      <c r="D285" t="s">
        <v>4201</v>
      </c>
      <c r="E285" t="s">
        <v>4202</v>
      </c>
      <c r="F285" t="s">
        <v>3429</v>
      </c>
      <c r="G285" t="s">
        <v>4203</v>
      </c>
    </row>
    <row r="286" customHeight="1" spans="1:7">
      <c r="A286" t="s">
        <v>16</v>
      </c>
      <c r="B286" t="s">
        <v>4163</v>
      </c>
      <c r="C286" t="s">
        <v>4164</v>
      </c>
      <c r="D286" t="s">
        <v>4204</v>
      </c>
      <c r="E286" t="s">
        <v>4205</v>
      </c>
      <c r="F286" t="s">
        <v>3429</v>
      </c>
      <c r="G286" t="s">
        <v>4206</v>
      </c>
    </row>
    <row r="287" customHeight="1" spans="1:7">
      <c r="A287" t="s">
        <v>16</v>
      </c>
      <c r="B287" t="s">
        <v>4163</v>
      </c>
      <c r="C287" t="s">
        <v>4164</v>
      </c>
      <c r="D287" t="s">
        <v>4207</v>
      </c>
      <c r="E287" t="s">
        <v>4208</v>
      </c>
      <c r="F287" t="s">
        <v>3429</v>
      </c>
      <c r="G287" t="s">
        <v>4209</v>
      </c>
    </row>
    <row r="288" customHeight="1" spans="1:7">
      <c r="A288" t="s">
        <v>16</v>
      </c>
      <c r="B288" t="s">
        <v>4163</v>
      </c>
      <c r="C288" t="s">
        <v>4164</v>
      </c>
      <c r="D288" t="s">
        <v>4210</v>
      </c>
      <c r="E288" t="s">
        <v>4211</v>
      </c>
      <c r="F288" t="s">
        <v>3429</v>
      </c>
      <c r="G288" t="s">
        <v>4212</v>
      </c>
    </row>
    <row r="289" customHeight="1" spans="1:7">
      <c r="A289" t="s">
        <v>16</v>
      </c>
      <c r="B289" t="s">
        <v>4163</v>
      </c>
      <c r="C289" t="s">
        <v>4164</v>
      </c>
      <c r="D289" t="s">
        <v>4213</v>
      </c>
      <c r="E289" t="s">
        <v>4214</v>
      </c>
      <c r="F289" t="s">
        <v>3429</v>
      </c>
      <c r="G289" t="s">
        <v>4215</v>
      </c>
    </row>
    <row r="290" customHeight="1" spans="1:7">
      <c r="A290" t="s">
        <v>16</v>
      </c>
      <c r="B290" t="s">
        <v>4163</v>
      </c>
      <c r="C290" t="s">
        <v>4164</v>
      </c>
      <c r="D290" t="s">
        <v>4216</v>
      </c>
      <c r="E290" t="s">
        <v>4217</v>
      </c>
      <c r="F290" t="s">
        <v>3429</v>
      </c>
      <c r="G290" t="s">
        <v>4218</v>
      </c>
    </row>
    <row r="291" customHeight="1" spans="1:7">
      <c r="A291" t="s">
        <v>16</v>
      </c>
      <c r="B291" t="s">
        <v>4219</v>
      </c>
      <c r="C291" t="s">
        <v>4220</v>
      </c>
      <c r="D291" t="s">
        <v>3427</v>
      </c>
      <c r="E291" t="s">
        <v>4221</v>
      </c>
      <c r="F291" t="s">
        <v>3429</v>
      </c>
      <c r="G291" t="s">
        <v>4222</v>
      </c>
    </row>
    <row r="292" customHeight="1" spans="1:7">
      <c r="A292" t="s">
        <v>16</v>
      </c>
      <c r="B292" t="s">
        <v>4219</v>
      </c>
      <c r="C292" t="s">
        <v>4220</v>
      </c>
      <c r="D292" t="s">
        <v>4021</v>
      </c>
      <c r="E292" t="s">
        <v>4223</v>
      </c>
      <c r="F292" t="s">
        <v>3429</v>
      </c>
      <c r="G292" t="s">
        <v>4224</v>
      </c>
    </row>
    <row r="293" customHeight="1" spans="1:7">
      <c r="A293" t="s">
        <v>16</v>
      </c>
      <c r="B293" t="s">
        <v>4219</v>
      </c>
      <c r="C293" t="s">
        <v>4220</v>
      </c>
      <c r="D293" t="s">
        <v>4225</v>
      </c>
      <c r="E293" t="s">
        <v>4226</v>
      </c>
      <c r="F293" t="s">
        <v>3429</v>
      </c>
      <c r="G293" t="s">
        <v>4227</v>
      </c>
    </row>
    <row r="294" customHeight="1" spans="1:7">
      <c r="A294" t="s">
        <v>16</v>
      </c>
      <c r="B294" t="s">
        <v>4219</v>
      </c>
      <c r="C294" t="s">
        <v>4220</v>
      </c>
      <c r="D294" t="s">
        <v>4228</v>
      </c>
      <c r="E294" t="s">
        <v>4229</v>
      </c>
      <c r="F294" t="s">
        <v>3429</v>
      </c>
      <c r="G294" t="s">
        <v>4230</v>
      </c>
    </row>
    <row r="295" customHeight="1" spans="1:7">
      <c r="A295" t="s">
        <v>16</v>
      </c>
      <c r="B295" t="s">
        <v>4219</v>
      </c>
      <c r="C295" t="s">
        <v>4220</v>
      </c>
      <c r="D295" t="s">
        <v>4231</v>
      </c>
      <c r="E295" t="s">
        <v>4232</v>
      </c>
      <c r="F295" t="s">
        <v>3429</v>
      </c>
      <c r="G295" t="s">
        <v>4233</v>
      </c>
    </row>
    <row r="296" customHeight="1" spans="1:7">
      <c r="A296" t="s">
        <v>16</v>
      </c>
      <c r="B296" t="s">
        <v>4219</v>
      </c>
      <c r="C296" t="s">
        <v>4220</v>
      </c>
      <c r="D296" t="s">
        <v>4219</v>
      </c>
      <c r="E296" t="s">
        <v>4220</v>
      </c>
      <c r="F296" t="s">
        <v>3426</v>
      </c>
      <c r="G296" t="s">
        <v>4234</v>
      </c>
    </row>
    <row r="297" customHeight="1" spans="1:7">
      <c r="A297" t="s">
        <v>16</v>
      </c>
      <c r="B297" t="s">
        <v>4219</v>
      </c>
      <c r="C297" t="s">
        <v>4220</v>
      </c>
      <c r="D297" t="s">
        <v>4235</v>
      </c>
      <c r="E297" t="s">
        <v>4236</v>
      </c>
      <c r="F297" t="s">
        <v>3429</v>
      </c>
      <c r="G297" t="s">
        <v>4237</v>
      </c>
    </row>
    <row r="298" customHeight="1" spans="1:7">
      <c r="A298" t="s">
        <v>16</v>
      </c>
      <c r="B298" t="s">
        <v>4219</v>
      </c>
      <c r="C298" t="s">
        <v>4220</v>
      </c>
      <c r="D298" t="s">
        <v>4238</v>
      </c>
      <c r="E298" t="s">
        <v>4239</v>
      </c>
      <c r="F298" t="s">
        <v>3429</v>
      </c>
      <c r="G298" t="s">
        <v>4240</v>
      </c>
    </row>
    <row r="299" customHeight="1" spans="1:7">
      <c r="A299" t="s">
        <v>16</v>
      </c>
      <c r="B299" t="s">
        <v>4241</v>
      </c>
      <c r="C299" t="s">
        <v>4242</v>
      </c>
      <c r="D299" t="s">
        <v>4021</v>
      </c>
      <c r="E299" t="s">
        <v>4243</v>
      </c>
      <c r="F299" t="s">
        <v>3429</v>
      </c>
      <c r="G299" t="s">
        <v>4244</v>
      </c>
    </row>
    <row r="300" customHeight="1" spans="1:7">
      <c r="A300" t="s">
        <v>16</v>
      </c>
      <c r="B300" t="s">
        <v>4241</v>
      </c>
      <c r="C300" t="s">
        <v>4242</v>
      </c>
      <c r="D300" t="s">
        <v>4245</v>
      </c>
      <c r="E300" t="s">
        <v>4246</v>
      </c>
      <c r="F300" t="s">
        <v>3429</v>
      </c>
      <c r="G300" t="s">
        <v>4247</v>
      </c>
    </row>
    <row r="301" customHeight="1" spans="1:7">
      <c r="A301" t="s">
        <v>16</v>
      </c>
      <c r="B301" t="s">
        <v>4241</v>
      </c>
      <c r="C301" t="s">
        <v>4242</v>
      </c>
      <c r="D301" t="s">
        <v>4248</v>
      </c>
      <c r="E301" t="s">
        <v>4249</v>
      </c>
      <c r="F301" t="s">
        <v>3429</v>
      </c>
      <c r="G301" t="s">
        <v>4250</v>
      </c>
    </row>
    <row r="302" customHeight="1" spans="1:7">
      <c r="A302" t="s">
        <v>16</v>
      </c>
      <c r="B302" t="s">
        <v>4241</v>
      </c>
      <c r="C302" t="s">
        <v>4242</v>
      </c>
      <c r="D302" t="s">
        <v>4251</v>
      </c>
      <c r="E302" t="s">
        <v>4252</v>
      </c>
      <c r="F302" t="s">
        <v>3847</v>
      </c>
      <c r="G302" t="s">
        <v>4253</v>
      </c>
    </row>
    <row r="303" customHeight="1" spans="1:7">
      <c r="A303" t="s">
        <v>16</v>
      </c>
      <c r="B303" t="s">
        <v>4241</v>
      </c>
      <c r="C303" t="s">
        <v>4242</v>
      </c>
      <c r="D303" t="s">
        <v>4254</v>
      </c>
      <c r="E303" t="s">
        <v>4255</v>
      </c>
      <c r="F303" t="s">
        <v>3429</v>
      </c>
      <c r="G303" t="s">
        <v>4256</v>
      </c>
    </row>
    <row r="304" customHeight="1" spans="1:7">
      <c r="A304" t="s">
        <v>16</v>
      </c>
      <c r="B304" t="s">
        <v>4241</v>
      </c>
      <c r="C304" t="s">
        <v>4242</v>
      </c>
      <c r="D304" t="s">
        <v>4257</v>
      </c>
      <c r="E304" t="s">
        <v>4258</v>
      </c>
      <c r="F304" t="s">
        <v>3429</v>
      </c>
      <c r="G304" t="s">
        <v>4259</v>
      </c>
    </row>
    <row r="305" customHeight="1" spans="1:7">
      <c r="A305" t="s">
        <v>16</v>
      </c>
      <c r="B305" t="s">
        <v>4241</v>
      </c>
      <c r="C305" t="s">
        <v>4242</v>
      </c>
      <c r="D305" t="s">
        <v>3541</v>
      </c>
      <c r="E305" t="s">
        <v>4260</v>
      </c>
      <c r="F305" t="s">
        <v>3429</v>
      </c>
      <c r="G305" t="s">
        <v>4261</v>
      </c>
    </row>
    <row r="306" customHeight="1" spans="1:7">
      <c r="A306" t="s">
        <v>16</v>
      </c>
      <c r="B306" t="s">
        <v>4241</v>
      </c>
      <c r="C306" t="s">
        <v>4242</v>
      </c>
      <c r="D306" t="s">
        <v>4262</v>
      </c>
      <c r="E306" t="s">
        <v>4263</v>
      </c>
      <c r="F306" t="s">
        <v>3429</v>
      </c>
      <c r="G306" t="s">
        <v>4264</v>
      </c>
    </row>
    <row r="307" customHeight="1" spans="1:7">
      <c r="A307" t="s">
        <v>16</v>
      </c>
      <c r="B307" t="s">
        <v>4241</v>
      </c>
      <c r="C307" t="s">
        <v>4242</v>
      </c>
      <c r="D307" t="s">
        <v>4265</v>
      </c>
      <c r="E307" t="s">
        <v>4266</v>
      </c>
      <c r="F307" t="s">
        <v>3429</v>
      </c>
      <c r="G307" t="s">
        <v>4267</v>
      </c>
    </row>
    <row r="308" customHeight="1" spans="1:7">
      <c r="A308" t="s">
        <v>16</v>
      </c>
      <c r="B308" t="s">
        <v>4241</v>
      </c>
      <c r="C308" t="s">
        <v>4242</v>
      </c>
      <c r="D308" t="s">
        <v>4268</v>
      </c>
      <c r="E308" t="s">
        <v>4269</v>
      </c>
      <c r="F308" t="s">
        <v>3429</v>
      </c>
      <c r="G308" t="s">
        <v>4270</v>
      </c>
    </row>
    <row r="309" customHeight="1" spans="1:7">
      <c r="A309" t="s">
        <v>16</v>
      </c>
      <c r="B309" t="s">
        <v>4241</v>
      </c>
      <c r="C309" t="s">
        <v>4242</v>
      </c>
      <c r="D309" t="s">
        <v>4271</v>
      </c>
      <c r="E309" t="s">
        <v>4272</v>
      </c>
      <c r="F309" t="s">
        <v>3429</v>
      </c>
      <c r="G309" t="s">
        <v>4273</v>
      </c>
    </row>
    <row r="310" customHeight="1" spans="1:7">
      <c r="A310" t="s">
        <v>16</v>
      </c>
      <c r="B310" t="s">
        <v>4241</v>
      </c>
      <c r="C310" t="s">
        <v>4242</v>
      </c>
      <c r="D310" t="s">
        <v>4241</v>
      </c>
      <c r="E310" t="s">
        <v>4242</v>
      </c>
      <c r="F310" t="s">
        <v>3426</v>
      </c>
      <c r="G310" t="s">
        <v>4274</v>
      </c>
    </row>
    <row r="311" customHeight="1" spans="1:7">
      <c r="A311" t="s">
        <v>16</v>
      </c>
      <c r="B311" t="s">
        <v>4241</v>
      </c>
      <c r="C311" t="s">
        <v>4242</v>
      </c>
      <c r="D311" t="s">
        <v>4275</v>
      </c>
      <c r="E311" t="s">
        <v>4276</v>
      </c>
      <c r="F311" t="s">
        <v>3429</v>
      </c>
      <c r="G311" t="s">
        <v>1120</v>
      </c>
    </row>
    <row r="312" customHeight="1" spans="1:7">
      <c r="A312" t="s">
        <v>16</v>
      </c>
      <c r="B312" t="s">
        <v>4277</v>
      </c>
      <c r="C312" t="s">
        <v>4278</v>
      </c>
      <c r="D312" t="s">
        <v>4279</v>
      </c>
      <c r="E312" t="s">
        <v>4280</v>
      </c>
      <c r="F312" t="s">
        <v>3429</v>
      </c>
      <c r="G312" t="s">
        <v>4281</v>
      </c>
    </row>
    <row r="313" customHeight="1" spans="1:7">
      <c r="A313" t="s">
        <v>16</v>
      </c>
      <c r="B313" t="s">
        <v>4277</v>
      </c>
      <c r="C313" t="s">
        <v>4278</v>
      </c>
      <c r="D313" t="s">
        <v>3753</v>
      </c>
      <c r="E313" t="s">
        <v>4282</v>
      </c>
      <c r="F313" t="s">
        <v>3429</v>
      </c>
      <c r="G313" t="s">
        <v>4283</v>
      </c>
    </row>
    <row r="314" customHeight="1" spans="1:7">
      <c r="A314" t="s">
        <v>16</v>
      </c>
      <c r="B314" t="s">
        <v>4277</v>
      </c>
      <c r="C314" t="s">
        <v>4278</v>
      </c>
      <c r="D314" t="s">
        <v>4284</v>
      </c>
      <c r="E314" t="s">
        <v>4285</v>
      </c>
      <c r="F314" t="s">
        <v>3429</v>
      </c>
      <c r="G314" t="s">
        <v>4286</v>
      </c>
    </row>
    <row r="315" customHeight="1" spans="1:7">
      <c r="A315" t="s">
        <v>16</v>
      </c>
      <c r="B315" t="s">
        <v>4277</v>
      </c>
      <c r="C315" t="s">
        <v>4278</v>
      </c>
      <c r="D315" t="s">
        <v>3789</v>
      </c>
      <c r="E315" t="s">
        <v>4287</v>
      </c>
      <c r="F315" t="s">
        <v>3429</v>
      </c>
      <c r="G315" t="s">
        <v>4288</v>
      </c>
    </row>
    <row r="316" customHeight="1" spans="1:7">
      <c r="A316" t="s">
        <v>16</v>
      </c>
      <c r="B316" t="s">
        <v>4277</v>
      </c>
      <c r="C316" t="s">
        <v>4278</v>
      </c>
      <c r="D316" t="s">
        <v>3763</v>
      </c>
      <c r="E316" t="s">
        <v>4289</v>
      </c>
      <c r="F316" t="s">
        <v>3429</v>
      </c>
      <c r="G316" t="s">
        <v>4290</v>
      </c>
    </row>
    <row r="317" customHeight="1" spans="1:7">
      <c r="A317" t="s">
        <v>16</v>
      </c>
      <c r="B317" t="s">
        <v>4277</v>
      </c>
      <c r="C317" t="s">
        <v>4278</v>
      </c>
      <c r="D317" t="s">
        <v>4291</v>
      </c>
      <c r="E317" t="s">
        <v>4292</v>
      </c>
      <c r="F317" t="s">
        <v>3429</v>
      </c>
      <c r="G317" t="s">
        <v>4293</v>
      </c>
    </row>
    <row r="318" customHeight="1" spans="1:7">
      <c r="A318" t="s">
        <v>16</v>
      </c>
      <c r="B318" t="s">
        <v>4277</v>
      </c>
      <c r="C318" t="s">
        <v>4278</v>
      </c>
      <c r="D318" t="s">
        <v>4294</v>
      </c>
      <c r="E318" t="s">
        <v>4295</v>
      </c>
      <c r="F318" t="s">
        <v>3429</v>
      </c>
      <c r="G318" t="s">
        <v>4296</v>
      </c>
    </row>
    <row r="319" customHeight="1" spans="1:7">
      <c r="A319" t="s">
        <v>16</v>
      </c>
      <c r="B319" t="s">
        <v>4277</v>
      </c>
      <c r="C319" t="s">
        <v>4278</v>
      </c>
      <c r="D319" t="s">
        <v>4297</v>
      </c>
      <c r="E319" t="s">
        <v>4298</v>
      </c>
      <c r="F319" t="s">
        <v>3429</v>
      </c>
      <c r="G319" t="s">
        <v>4299</v>
      </c>
    </row>
    <row r="320" customHeight="1" spans="1:7">
      <c r="A320" t="s">
        <v>16</v>
      </c>
      <c r="B320" t="s">
        <v>4277</v>
      </c>
      <c r="C320" t="s">
        <v>4278</v>
      </c>
      <c r="D320" t="s">
        <v>4277</v>
      </c>
      <c r="E320" t="s">
        <v>4278</v>
      </c>
      <c r="F320" t="s">
        <v>3426</v>
      </c>
      <c r="G320" t="s">
        <v>4300</v>
      </c>
    </row>
    <row r="321" customHeight="1" spans="1:7">
      <c r="A321" t="s">
        <v>16</v>
      </c>
      <c r="B321" t="s">
        <v>4277</v>
      </c>
      <c r="C321" t="s">
        <v>4278</v>
      </c>
      <c r="D321" t="s">
        <v>4101</v>
      </c>
      <c r="E321" t="s">
        <v>4301</v>
      </c>
      <c r="F321" t="s">
        <v>3429</v>
      </c>
      <c r="G321" t="s">
        <v>4302</v>
      </c>
    </row>
    <row r="322" customHeight="1" spans="1:7">
      <c r="A322" t="s">
        <v>16</v>
      </c>
      <c r="B322" t="s">
        <v>4277</v>
      </c>
      <c r="C322" t="s">
        <v>4278</v>
      </c>
      <c r="D322" t="s">
        <v>4303</v>
      </c>
      <c r="E322" t="s">
        <v>4304</v>
      </c>
      <c r="F322" t="s">
        <v>3429</v>
      </c>
      <c r="G322" t="s">
        <v>4305</v>
      </c>
    </row>
    <row r="323" customHeight="1" spans="1:7">
      <c r="A323" t="s">
        <v>16</v>
      </c>
      <c r="B323" t="s">
        <v>4277</v>
      </c>
      <c r="C323" t="s">
        <v>4278</v>
      </c>
      <c r="D323" t="s">
        <v>3962</v>
      </c>
      <c r="E323" t="s">
        <v>4306</v>
      </c>
      <c r="F323" t="s">
        <v>3429</v>
      </c>
      <c r="G323" t="s">
        <v>4307</v>
      </c>
    </row>
    <row r="324" customHeight="1" spans="1:7">
      <c r="A324" t="s">
        <v>16</v>
      </c>
      <c r="B324" t="s">
        <v>4308</v>
      </c>
      <c r="C324" t="s">
        <v>4309</v>
      </c>
      <c r="D324" t="s">
        <v>4310</v>
      </c>
      <c r="E324" t="s">
        <v>4311</v>
      </c>
      <c r="F324" t="s">
        <v>3429</v>
      </c>
      <c r="G324" t="s">
        <v>4312</v>
      </c>
    </row>
    <row r="325" customHeight="1" spans="1:7">
      <c r="A325" t="s">
        <v>16</v>
      </c>
      <c r="B325" t="s">
        <v>4308</v>
      </c>
      <c r="C325" t="s">
        <v>4309</v>
      </c>
      <c r="D325" t="s">
        <v>3666</v>
      </c>
      <c r="E325" t="s">
        <v>4313</v>
      </c>
      <c r="F325" t="s">
        <v>3429</v>
      </c>
      <c r="G325" t="s">
        <v>4314</v>
      </c>
    </row>
    <row r="326" customHeight="1" spans="1:7">
      <c r="A326" t="s">
        <v>16</v>
      </c>
      <c r="B326" t="s">
        <v>4308</v>
      </c>
      <c r="C326" t="s">
        <v>4309</v>
      </c>
      <c r="D326" t="s">
        <v>4315</v>
      </c>
      <c r="E326" t="s">
        <v>4316</v>
      </c>
      <c r="F326" t="s">
        <v>3429</v>
      </c>
      <c r="G326" t="s">
        <v>4317</v>
      </c>
    </row>
    <row r="327" customHeight="1" spans="1:7">
      <c r="A327" t="s">
        <v>16</v>
      </c>
      <c r="B327" t="s">
        <v>4308</v>
      </c>
      <c r="C327" t="s">
        <v>4309</v>
      </c>
      <c r="D327" t="s">
        <v>4318</v>
      </c>
      <c r="E327" t="s">
        <v>4319</v>
      </c>
      <c r="F327" t="s">
        <v>3429</v>
      </c>
      <c r="G327" t="s">
        <v>4320</v>
      </c>
    </row>
    <row r="328" customHeight="1" spans="1:7">
      <c r="A328" t="s">
        <v>16</v>
      </c>
      <c r="B328" t="s">
        <v>4308</v>
      </c>
      <c r="C328" t="s">
        <v>4309</v>
      </c>
      <c r="D328" t="s">
        <v>4321</v>
      </c>
      <c r="E328" t="s">
        <v>4322</v>
      </c>
      <c r="F328" t="s">
        <v>3429</v>
      </c>
      <c r="G328" t="s">
        <v>4323</v>
      </c>
    </row>
    <row r="329" customHeight="1" spans="1:7">
      <c r="A329" t="s">
        <v>16</v>
      </c>
      <c r="B329" t="s">
        <v>4308</v>
      </c>
      <c r="C329" t="s">
        <v>4309</v>
      </c>
      <c r="D329" t="s">
        <v>4308</v>
      </c>
      <c r="E329" t="s">
        <v>4309</v>
      </c>
      <c r="F329" t="s">
        <v>3426</v>
      </c>
      <c r="G329" t="s">
        <v>4324</v>
      </c>
    </row>
    <row r="330" customHeight="1" spans="1:7">
      <c r="A330" t="s">
        <v>16</v>
      </c>
      <c r="B330" t="s">
        <v>4308</v>
      </c>
      <c r="C330" t="s">
        <v>4309</v>
      </c>
      <c r="D330" t="s">
        <v>4325</v>
      </c>
      <c r="E330" t="s">
        <v>4326</v>
      </c>
      <c r="F330" t="s">
        <v>3429</v>
      </c>
      <c r="G330" t="s">
        <v>4327</v>
      </c>
    </row>
    <row r="331" customHeight="1" spans="1:7">
      <c r="A331" t="s">
        <v>16</v>
      </c>
      <c r="B331" t="s">
        <v>4308</v>
      </c>
      <c r="C331" t="s">
        <v>4309</v>
      </c>
      <c r="D331" t="s">
        <v>4328</v>
      </c>
      <c r="E331" t="s">
        <v>4329</v>
      </c>
      <c r="F331" t="s">
        <v>3429</v>
      </c>
      <c r="G331" t="s">
        <v>4330</v>
      </c>
    </row>
    <row r="332" customHeight="1" spans="1:7">
      <c r="A332" t="s">
        <v>16</v>
      </c>
      <c r="B332" t="s">
        <v>4308</v>
      </c>
      <c r="C332" t="s">
        <v>4309</v>
      </c>
      <c r="D332" t="s">
        <v>4331</v>
      </c>
      <c r="E332" t="s">
        <v>4332</v>
      </c>
      <c r="F332" t="s">
        <v>3429</v>
      </c>
      <c r="G332" t="s">
        <v>4333</v>
      </c>
    </row>
    <row r="333" customHeight="1" spans="1:7">
      <c r="A333" t="s">
        <v>16</v>
      </c>
      <c r="B333" t="s">
        <v>4308</v>
      </c>
      <c r="C333" t="s">
        <v>4309</v>
      </c>
      <c r="D333" t="s">
        <v>4334</v>
      </c>
      <c r="E333" t="s">
        <v>4335</v>
      </c>
      <c r="F333" t="s">
        <v>3429</v>
      </c>
      <c r="G333" t="s">
        <v>4336</v>
      </c>
    </row>
    <row r="334" customHeight="1" spans="1:7">
      <c r="A334" t="s">
        <v>16</v>
      </c>
      <c r="B334" t="s">
        <v>4337</v>
      </c>
      <c r="C334" t="s">
        <v>4338</v>
      </c>
      <c r="D334" t="s">
        <v>4339</v>
      </c>
      <c r="E334" t="s">
        <v>4340</v>
      </c>
      <c r="F334" t="s">
        <v>3429</v>
      </c>
      <c r="G334" t="s">
        <v>4341</v>
      </c>
    </row>
    <row r="335" customHeight="1" spans="1:7">
      <c r="A335" t="s">
        <v>16</v>
      </c>
      <c r="B335" t="s">
        <v>4337</v>
      </c>
      <c r="C335" t="s">
        <v>4338</v>
      </c>
      <c r="D335" t="s">
        <v>4342</v>
      </c>
      <c r="E335" t="s">
        <v>4343</v>
      </c>
      <c r="F335" t="s">
        <v>3429</v>
      </c>
      <c r="G335" t="s">
        <v>4344</v>
      </c>
    </row>
    <row r="336" customHeight="1" spans="1:7">
      <c r="A336" t="s">
        <v>16</v>
      </c>
      <c r="B336" t="s">
        <v>4337</v>
      </c>
      <c r="C336" t="s">
        <v>4338</v>
      </c>
      <c r="D336" t="s">
        <v>4345</v>
      </c>
      <c r="E336" t="s">
        <v>4346</v>
      </c>
      <c r="F336" t="s">
        <v>3429</v>
      </c>
      <c r="G336" t="s">
        <v>4347</v>
      </c>
    </row>
    <row r="337" customHeight="1" spans="1:7">
      <c r="A337" t="s">
        <v>16</v>
      </c>
      <c r="B337" t="s">
        <v>4337</v>
      </c>
      <c r="C337" t="s">
        <v>4338</v>
      </c>
      <c r="D337" t="s">
        <v>4348</v>
      </c>
      <c r="E337" t="s">
        <v>4349</v>
      </c>
      <c r="F337" t="s">
        <v>3429</v>
      </c>
      <c r="G337" t="s">
        <v>4350</v>
      </c>
    </row>
    <row r="338" customHeight="1" spans="1:7">
      <c r="A338" t="s">
        <v>16</v>
      </c>
      <c r="B338" t="s">
        <v>4337</v>
      </c>
      <c r="C338" t="s">
        <v>4338</v>
      </c>
      <c r="D338" t="s">
        <v>3922</v>
      </c>
      <c r="E338" t="s">
        <v>4351</v>
      </c>
      <c r="F338" t="s">
        <v>3429</v>
      </c>
      <c r="G338" t="s">
        <v>4352</v>
      </c>
    </row>
    <row r="339" customHeight="1" spans="1:7">
      <c r="A339" t="s">
        <v>16</v>
      </c>
      <c r="B339" t="s">
        <v>4337</v>
      </c>
      <c r="C339" t="s">
        <v>4338</v>
      </c>
      <c r="D339" t="s">
        <v>4353</v>
      </c>
      <c r="E339" t="s">
        <v>4354</v>
      </c>
      <c r="F339" t="s">
        <v>3429</v>
      </c>
      <c r="G339" t="s">
        <v>4355</v>
      </c>
    </row>
    <row r="340" customHeight="1" spans="1:7">
      <c r="A340" t="s">
        <v>16</v>
      </c>
      <c r="B340" t="s">
        <v>4337</v>
      </c>
      <c r="C340" t="s">
        <v>4338</v>
      </c>
      <c r="D340" t="s">
        <v>4356</v>
      </c>
      <c r="E340" t="s">
        <v>4357</v>
      </c>
      <c r="F340" t="s">
        <v>3429</v>
      </c>
      <c r="G340" t="s">
        <v>4358</v>
      </c>
    </row>
    <row r="341" customHeight="1" spans="1:7">
      <c r="A341" t="s">
        <v>16</v>
      </c>
      <c r="B341" t="s">
        <v>4337</v>
      </c>
      <c r="C341" t="s">
        <v>4338</v>
      </c>
      <c r="D341" t="s">
        <v>4337</v>
      </c>
      <c r="E341" t="s">
        <v>4338</v>
      </c>
      <c r="F341" t="s">
        <v>3426</v>
      </c>
      <c r="G341" t="s">
        <v>4359</v>
      </c>
    </row>
    <row r="342" customHeight="1" spans="1:7">
      <c r="A342" t="s">
        <v>16</v>
      </c>
      <c r="B342" t="s">
        <v>4337</v>
      </c>
      <c r="C342" t="s">
        <v>4338</v>
      </c>
      <c r="D342" t="s">
        <v>4360</v>
      </c>
      <c r="E342" t="s">
        <v>4361</v>
      </c>
      <c r="F342" t="s">
        <v>3468</v>
      </c>
      <c r="G342" t="s">
        <v>4362</v>
      </c>
    </row>
    <row r="343" customHeight="1" spans="1:7">
      <c r="A343" t="s">
        <v>16</v>
      </c>
      <c r="B343" t="s">
        <v>4337</v>
      </c>
      <c r="C343" t="s">
        <v>4338</v>
      </c>
      <c r="D343" t="s">
        <v>4363</v>
      </c>
      <c r="E343" t="s">
        <v>4364</v>
      </c>
      <c r="F343" t="s">
        <v>3429</v>
      </c>
      <c r="G343" t="s">
        <v>4365</v>
      </c>
    </row>
    <row r="344" customHeight="1" spans="1:7">
      <c r="A344" t="s">
        <v>16</v>
      </c>
      <c r="B344" t="s">
        <v>4337</v>
      </c>
      <c r="C344" t="s">
        <v>4338</v>
      </c>
      <c r="D344" t="s">
        <v>4366</v>
      </c>
      <c r="E344" t="s">
        <v>4367</v>
      </c>
      <c r="F344" t="s">
        <v>3429</v>
      </c>
      <c r="G344" t="s">
        <v>4368</v>
      </c>
    </row>
    <row r="345" customHeight="1" spans="1:7">
      <c r="A345" t="s">
        <v>16</v>
      </c>
      <c r="B345" t="s">
        <v>4369</v>
      </c>
      <c r="C345" t="s">
        <v>4370</v>
      </c>
      <c r="D345" t="s">
        <v>4371</v>
      </c>
      <c r="E345" t="s">
        <v>4372</v>
      </c>
      <c r="F345" t="s">
        <v>3429</v>
      </c>
      <c r="G345" t="s">
        <v>4373</v>
      </c>
    </row>
    <row r="346" customHeight="1" spans="1:7">
      <c r="A346" t="s">
        <v>16</v>
      </c>
      <c r="B346" t="s">
        <v>4369</v>
      </c>
      <c r="C346" t="s">
        <v>4370</v>
      </c>
      <c r="D346" t="s">
        <v>4374</v>
      </c>
      <c r="E346" t="s">
        <v>4375</v>
      </c>
      <c r="F346" t="s">
        <v>3429</v>
      </c>
      <c r="G346" t="s">
        <v>4376</v>
      </c>
    </row>
    <row r="347" customHeight="1" spans="1:7">
      <c r="A347" t="s">
        <v>16</v>
      </c>
      <c r="B347" t="s">
        <v>4369</v>
      </c>
      <c r="C347" t="s">
        <v>4370</v>
      </c>
      <c r="D347" t="s">
        <v>3817</v>
      </c>
      <c r="E347" t="s">
        <v>4377</v>
      </c>
      <c r="F347" t="s">
        <v>3429</v>
      </c>
      <c r="G347" t="s">
        <v>4378</v>
      </c>
    </row>
    <row r="348" customHeight="1" spans="1:7">
      <c r="A348" t="s">
        <v>16</v>
      </c>
      <c r="B348" t="s">
        <v>4369</v>
      </c>
      <c r="C348" t="s">
        <v>4370</v>
      </c>
      <c r="D348" t="s">
        <v>3892</v>
      </c>
      <c r="E348" t="s">
        <v>4379</v>
      </c>
      <c r="F348" t="s">
        <v>3429</v>
      </c>
      <c r="G348" t="s">
        <v>4380</v>
      </c>
    </row>
    <row r="349" customHeight="1" spans="1:7">
      <c r="A349" t="s">
        <v>16</v>
      </c>
      <c r="B349" t="s">
        <v>4369</v>
      </c>
      <c r="C349" t="s">
        <v>4370</v>
      </c>
      <c r="D349" t="s">
        <v>4381</v>
      </c>
      <c r="E349" t="s">
        <v>4382</v>
      </c>
      <c r="F349" t="s">
        <v>3429</v>
      </c>
      <c r="G349" t="s">
        <v>4383</v>
      </c>
    </row>
    <row r="350" customHeight="1" spans="1:7">
      <c r="A350" t="s">
        <v>16</v>
      </c>
      <c r="B350" t="s">
        <v>4369</v>
      </c>
      <c r="C350" t="s">
        <v>4370</v>
      </c>
      <c r="D350" t="s">
        <v>4384</v>
      </c>
      <c r="E350" t="s">
        <v>4385</v>
      </c>
      <c r="F350" t="s">
        <v>3429</v>
      </c>
      <c r="G350" t="s">
        <v>4386</v>
      </c>
    </row>
    <row r="351" customHeight="1" spans="1:7">
      <c r="A351" t="s">
        <v>16</v>
      </c>
      <c r="B351" t="s">
        <v>4369</v>
      </c>
      <c r="C351" t="s">
        <v>4370</v>
      </c>
      <c r="D351" t="s">
        <v>3895</v>
      </c>
      <c r="E351" t="s">
        <v>4387</v>
      </c>
      <c r="F351" t="s">
        <v>3429</v>
      </c>
      <c r="G351" t="s">
        <v>4388</v>
      </c>
    </row>
    <row r="352" customHeight="1" spans="1:7">
      <c r="A352" t="s">
        <v>16</v>
      </c>
      <c r="B352" t="s">
        <v>4369</v>
      </c>
      <c r="C352" t="s">
        <v>4370</v>
      </c>
      <c r="D352" t="s">
        <v>4389</v>
      </c>
      <c r="E352" t="s">
        <v>4390</v>
      </c>
      <c r="F352" t="s">
        <v>3429</v>
      </c>
      <c r="G352" t="s">
        <v>4391</v>
      </c>
    </row>
    <row r="353" customHeight="1" spans="1:7">
      <c r="A353" t="s">
        <v>16</v>
      </c>
      <c r="B353" t="s">
        <v>4369</v>
      </c>
      <c r="C353" t="s">
        <v>4370</v>
      </c>
      <c r="D353" t="s">
        <v>4392</v>
      </c>
      <c r="E353" t="s">
        <v>4393</v>
      </c>
      <c r="F353" t="s">
        <v>3429</v>
      </c>
      <c r="G353" t="s">
        <v>4394</v>
      </c>
    </row>
    <row r="354" customHeight="1" spans="1:7">
      <c r="A354" t="s">
        <v>16</v>
      </c>
      <c r="B354" t="s">
        <v>4369</v>
      </c>
      <c r="C354" t="s">
        <v>4370</v>
      </c>
      <c r="D354" t="s">
        <v>4369</v>
      </c>
      <c r="E354" t="s">
        <v>4370</v>
      </c>
      <c r="F354" t="s">
        <v>3426</v>
      </c>
      <c r="G354" t="s">
        <v>4395</v>
      </c>
    </row>
    <row r="355" customHeight="1" spans="1:7">
      <c r="A355" t="s">
        <v>16</v>
      </c>
      <c r="B355" t="s">
        <v>4369</v>
      </c>
      <c r="C355" t="s">
        <v>4370</v>
      </c>
      <c r="D355" t="s">
        <v>4396</v>
      </c>
      <c r="E355" t="s">
        <v>4397</v>
      </c>
      <c r="F355" t="s">
        <v>3429</v>
      </c>
      <c r="G355" t="s">
        <v>4398</v>
      </c>
    </row>
    <row r="356" customHeight="1" spans="1:7">
      <c r="A356" t="s">
        <v>16</v>
      </c>
      <c r="B356" t="s">
        <v>4399</v>
      </c>
      <c r="C356" t="s">
        <v>4400</v>
      </c>
      <c r="D356" t="s">
        <v>4401</v>
      </c>
      <c r="E356" t="s">
        <v>4402</v>
      </c>
      <c r="F356" t="s">
        <v>3429</v>
      </c>
      <c r="G356" t="s">
        <v>4403</v>
      </c>
    </row>
    <row r="357" customHeight="1" spans="1:7">
      <c r="A357" t="s">
        <v>16</v>
      </c>
      <c r="B357" t="s">
        <v>4399</v>
      </c>
      <c r="C357" t="s">
        <v>4400</v>
      </c>
      <c r="D357" t="s">
        <v>4404</v>
      </c>
      <c r="E357" t="s">
        <v>4405</v>
      </c>
      <c r="F357" t="s">
        <v>3429</v>
      </c>
      <c r="G357" t="s">
        <v>4406</v>
      </c>
    </row>
    <row r="358" customHeight="1" spans="1:7">
      <c r="A358" t="s">
        <v>16</v>
      </c>
      <c r="B358" t="s">
        <v>4399</v>
      </c>
      <c r="C358" t="s">
        <v>4400</v>
      </c>
      <c r="D358" t="s">
        <v>4407</v>
      </c>
      <c r="E358" t="s">
        <v>4408</v>
      </c>
      <c r="F358" t="s">
        <v>3429</v>
      </c>
      <c r="G358" t="s">
        <v>4409</v>
      </c>
    </row>
    <row r="359" customHeight="1" spans="1:7">
      <c r="A359" t="s">
        <v>16</v>
      </c>
      <c r="B359" t="s">
        <v>4399</v>
      </c>
      <c r="C359" t="s">
        <v>4400</v>
      </c>
      <c r="D359" t="s">
        <v>4050</v>
      </c>
      <c r="E359" t="s">
        <v>4410</v>
      </c>
      <c r="F359" t="s">
        <v>3429</v>
      </c>
      <c r="G359" t="s">
        <v>4411</v>
      </c>
    </row>
    <row r="360" customHeight="1" spans="1:7">
      <c r="A360" t="s">
        <v>16</v>
      </c>
      <c r="B360" t="s">
        <v>4399</v>
      </c>
      <c r="C360" t="s">
        <v>4400</v>
      </c>
      <c r="D360" t="s">
        <v>3795</v>
      </c>
      <c r="E360" t="s">
        <v>4412</v>
      </c>
      <c r="F360" t="s">
        <v>3429</v>
      </c>
      <c r="G360" t="s">
        <v>4413</v>
      </c>
    </row>
    <row r="361" customHeight="1" spans="1:7">
      <c r="A361" t="s">
        <v>16</v>
      </c>
      <c r="B361" t="s">
        <v>4399</v>
      </c>
      <c r="C361" t="s">
        <v>4400</v>
      </c>
      <c r="D361" t="s">
        <v>4399</v>
      </c>
      <c r="E361" t="s">
        <v>4400</v>
      </c>
      <c r="F361" t="s">
        <v>3426</v>
      </c>
      <c r="G361" t="s">
        <v>4414</v>
      </c>
    </row>
    <row r="362" customHeight="1" spans="1:7">
      <c r="A362" t="s">
        <v>16</v>
      </c>
      <c r="B362" t="s">
        <v>4399</v>
      </c>
      <c r="C362" t="s">
        <v>4400</v>
      </c>
      <c r="D362" t="s">
        <v>4415</v>
      </c>
      <c r="E362" t="s">
        <v>4416</v>
      </c>
      <c r="F362" t="s">
        <v>3429</v>
      </c>
      <c r="G362" t="s">
        <v>4417</v>
      </c>
    </row>
    <row r="363" customHeight="1" spans="1:7">
      <c r="A363" t="s">
        <v>16</v>
      </c>
      <c r="B363" t="s">
        <v>4418</v>
      </c>
      <c r="C363" t="s">
        <v>4419</v>
      </c>
      <c r="D363" t="s">
        <v>4339</v>
      </c>
      <c r="E363" t="s">
        <v>4420</v>
      </c>
      <c r="F363" t="s">
        <v>3429</v>
      </c>
      <c r="G363" t="s">
        <v>4421</v>
      </c>
    </row>
    <row r="364" customHeight="1" spans="1:7">
      <c r="A364" t="s">
        <v>16</v>
      </c>
      <c r="B364" t="s">
        <v>4418</v>
      </c>
      <c r="C364" t="s">
        <v>4419</v>
      </c>
      <c r="D364" t="s">
        <v>4422</v>
      </c>
      <c r="E364" t="s">
        <v>4423</v>
      </c>
      <c r="F364" t="s">
        <v>3429</v>
      </c>
      <c r="G364" t="s">
        <v>4424</v>
      </c>
    </row>
    <row r="365" customHeight="1" spans="1:7">
      <c r="A365" t="s">
        <v>16</v>
      </c>
      <c r="B365" t="s">
        <v>4418</v>
      </c>
      <c r="C365" t="s">
        <v>4419</v>
      </c>
      <c r="D365" t="s">
        <v>4029</v>
      </c>
      <c r="E365" t="s">
        <v>4425</v>
      </c>
      <c r="F365" t="s">
        <v>3429</v>
      </c>
      <c r="G365" t="s">
        <v>4426</v>
      </c>
    </row>
    <row r="366" customHeight="1" spans="1:7">
      <c r="A366" t="s">
        <v>16</v>
      </c>
      <c r="B366" t="s">
        <v>4418</v>
      </c>
      <c r="C366" t="s">
        <v>4419</v>
      </c>
      <c r="D366" t="s">
        <v>4427</v>
      </c>
      <c r="E366" t="s">
        <v>4428</v>
      </c>
      <c r="F366" t="s">
        <v>3429</v>
      </c>
      <c r="G366" t="s">
        <v>4429</v>
      </c>
    </row>
    <row r="367" customHeight="1" spans="1:7">
      <c r="A367" t="s">
        <v>16</v>
      </c>
      <c r="B367" t="s">
        <v>4418</v>
      </c>
      <c r="C367" t="s">
        <v>4419</v>
      </c>
      <c r="D367" t="s">
        <v>4430</v>
      </c>
      <c r="E367" t="s">
        <v>4431</v>
      </c>
      <c r="F367" t="s">
        <v>3429</v>
      </c>
      <c r="G367" t="s">
        <v>4432</v>
      </c>
    </row>
    <row r="368" customHeight="1" spans="1:7">
      <c r="A368" t="s">
        <v>16</v>
      </c>
      <c r="B368" t="s">
        <v>4418</v>
      </c>
      <c r="C368" t="s">
        <v>4419</v>
      </c>
      <c r="D368" t="s">
        <v>3499</v>
      </c>
      <c r="E368" t="s">
        <v>4433</v>
      </c>
      <c r="F368" t="s">
        <v>3429</v>
      </c>
      <c r="G368" t="s">
        <v>4434</v>
      </c>
    </row>
    <row r="369" customHeight="1" spans="1:7">
      <c r="A369" t="s">
        <v>16</v>
      </c>
      <c r="B369" t="s">
        <v>4418</v>
      </c>
      <c r="C369" t="s">
        <v>4419</v>
      </c>
      <c r="D369" t="s">
        <v>4435</v>
      </c>
      <c r="E369" t="s">
        <v>4436</v>
      </c>
      <c r="F369" t="s">
        <v>3429</v>
      </c>
      <c r="G369" t="s">
        <v>4437</v>
      </c>
    </row>
    <row r="370" customHeight="1" spans="1:7">
      <c r="A370" t="s">
        <v>16</v>
      </c>
      <c r="B370" t="s">
        <v>4418</v>
      </c>
      <c r="C370" t="s">
        <v>4419</v>
      </c>
      <c r="D370" t="s">
        <v>4438</v>
      </c>
      <c r="E370" t="s">
        <v>4439</v>
      </c>
      <c r="F370" t="s">
        <v>3429</v>
      </c>
      <c r="G370" t="s">
        <v>4440</v>
      </c>
    </row>
    <row r="371" customHeight="1" spans="1:7">
      <c r="A371" t="s">
        <v>16</v>
      </c>
      <c r="B371" t="s">
        <v>4418</v>
      </c>
      <c r="C371" t="s">
        <v>4419</v>
      </c>
      <c r="D371" t="s">
        <v>4418</v>
      </c>
      <c r="E371" t="s">
        <v>4419</v>
      </c>
      <c r="F371" t="s">
        <v>3426</v>
      </c>
      <c r="G371" t="s">
        <v>4441</v>
      </c>
    </row>
    <row r="372" customHeight="1" spans="1:7">
      <c r="A372" t="s">
        <v>16</v>
      </c>
      <c r="B372" t="s">
        <v>4418</v>
      </c>
      <c r="C372" t="s">
        <v>4419</v>
      </c>
      <c r="D372" t="s">
        <v>4442</v>
      </c>
      <c r="E372" t="s">
        <v>4443</v>
      </c>
      <c r="F372" t="s">
        <v>3468</v>
      </c>
      <c r="G372" t="s">
        <v>4444</v>
      </c>
    </row>
    <row r="373" customHeight="1" spans="1:7">
      <c r="A373" t="s">
        <v>16</v>
      </c>
      <c r="B373" t="s">
        <v>4418</v>
      </c>
      <c r="C373" t="s">
        <v>4419</v>
      </c>
      <c r="D373" t="s">
        <v>4445</v>
      </c>
      <c r="E373" t="s">
        <v>4446</v>
      </c>
      <c r="F373" t="s">
        <v>3429</v>
      </c>
      <c r="G373" t="s">
        <v>4447</v>
      </c>
    </row>
    <row r="374" customHeight="1" spans="1:7">
      <c r="A374" t="s">
        <v>16</v>
      </c>
      <c r="B374" t="s">
        <v>4418</v>
      </c>
      <c r="C374" t="s">
        <v>4419</v>
      </c>
      <c r="D374" t="s">
        <v>4448</v>
      </c>
      <c r="E374" t="s">
        <v>4449</v>
      </c>
      <c r="F374" t="s">
        <v>3429</v>
      </c>
      <c r="G374" t="s">
        <v>4450</v>
      </c>
    </row>
    <row r="375" customHeight="1" spans="1:7">
      <c r="A375" t="s">
        <v>16</v>
      </c>
      <c r="B375" t="s">
        <v>4451</v>
      </c>
      <c r="C375" t="s">
        <v>4452</v>
      </c>
      <c r="D375" t="s">
        <v>4453</v>
      </c>
      <c r="E375" t="s">
        <v>4454</v>
      </c>
      <c r="F375" t="s">
        <v>3429</v>
      </c>
      <c r="G375" t="s">
        <v>4455</v>
      </c>
    </row>
    <row r="376" customHeight="1" spans="1:7">
      <c r="A376" t="s">
        <v>16</v>
      </c>
      <c r="B376" t="s">
        <v>4451</v>
      </c>
      <c r="C376" t="s">
        <v>4452</v>
      </c>
      <c r="D376" t="s">
        <v>4456</v>
      </c>
      <c r="E376" t="s">
        <v>4457</v>
      </c>
      <c r="F376" t="s">
        <v>3429</v>
      </c>
      <c r="G376" t="s">
        <v>4458</v>
      </c>
    </row>
    <row r="377" customHeight="1" spans="1:7">
      <c r="A377" t="s">
        <v>16</v>
      </c>
      <c r="B377" t="s">
        <v>4451</v>
      </c>
      <c r="C377" t="s">
        <v>4452</v>
      </c>
      <c r="D377" t="s">
        <v>4459</v>
      </c>
      <c r="E377" t="s">
        <v>4460</v>
      </c>
      <c r="F377" t="s">
        <v>3429</v>
      </c>
      <c r="G377" t="s">
        <v>4461</v>
      </c>
    </row>
    <row r="378" customHeight="1" spans="1:7">
      <c r="A378" t="s">
        <v>16</v>
      </c>
      <c r="B378" t="s">
        <v>4451</v>
      </c>
      <c r="C378" t="s">
        <v>4452</v>
      </c>
      <c r="D378" t="s">
        <v>4462</v>
      </c>
      <c r="E378" t="s">
        <v>4463</v>
      </c>
      <c r="F378" t="s">
        <v>3429</v>
      </c>
      <c r="G378" t="s">
        <v>4464</v>
      </c>
    </row>
    <row r="379" customHeight="1" spans="1:7">
      <c r="A379" t="s">
        <v>16</v>
      </c>
      <c r="B379" t="s">
        <v>4451</v>
      </c>
      <c r="C379" t="s">
        <v>4452</v>
      </c>
      <c r="D379" t="s">
        <v>4465</v>
      </c>
      <c r="E379" t="s">
        <v>4466</v>
      </c>
      <c r="F379" t="s">
        <v>3429</v>
      </c>
      <c r="G379" t="s">
        <v>4467</v>
      </c>
    </row>
    <row r="380" customHeight="1" spans="1:7">
      <c r="A380" t="s">
        <v>16</v>
      </c>
      <c r="B380" t="s">
        <v>4451</v>
      </c>
      <c r="C380" t="s">
        <v>4452</v>
      </c>
      <c r="D380" t="s">
        <v>4468</v>
      </c>
      <c r="E380" t="s">
        <v>4469</v>
      </c>
      <c r="F380" t="s">
        <v>3429</v>
      </c>
      <c r="G380" t="s">
        <v>4470</v>
      </c>
    </row>
    <row r="381" customHeight="1" spans="1:7">
      <c r="A381" t="s">
        <v>16</v>
      </c>
      <c r="B381" t="s">
        <v>4451</v>
      </c>
      <c r="C381" t="s">
        <v>4452</v>
      </c>
      <c r="D381" t="s">
        <v>4471</v>
      </c>
      <c r="E381" t="s">
        <v>4472</v>
      </c>
      <c r="F381" t="s">
        <v>3429</v>
      </c>
      <c r="G381" t="s">
        <v>4473</v>
      </c>
    </row>
    <row r="382" customHeight="1" spans="1:7">
      <c r="A382" t="s">
        <v>16</v>
      </c>
      <c r="B382" t="s">
        <v>4451</v>
      </c>
      <c r="C382" t="s">
        <v>4452</v>
      </c>
      <c r="D382" t="s">
        <v>4451</v>
      </c>
      <c r="E382" t="s">
        <v>4452</v>
      </c>
      <c r="F382" t="s">
        <v>3426</v>
      </c>
      <c r="G382" t="s">
        <v>4474</v>
      </c>
    </row>
    <row r="383" customHeight="1" spans="1:7">
      <c r="A383" t="s">
        <v>16</v>
      </c>
      <c r="B383" t="s">
        <v>4451</v>
      </c>
      <c r="C383" t="s">
        <v>4452</v>
      </c>
      <c r="D383" t="s">
        <v>4475</v>
      </c>
      <c r="E383" t="s">
        <v>4476</v>
      </c>
      <c r="F383" t="s">
        <v>3468</v>
      </c>
      <c r="G383" t="s">
        <v>4477</v>
      </c>
    </row>
    <row r="384" customHeight="1" spans="1:7">
      <c r="A384" t="s">
        <v>16</v>
      </c>
      <c r="B384" t="s">
        <v>4451</v>
      </c>
      <c r="C384" t="s">
        <v>4452</v>
      </c>
      <c r="D384" t="s">
        <v>4478</v>
      </c>
      <c r="E384" t="s">
        <v>4479</v>
      </c>
      <c r="F384" t="s">
        <v>3429</v>
      </c>
      <c r="G384" t="s">
        <v>4480</v>
      </c>
    </row>
    <row r="385" customHeight="1" spans="1:7">
      <c r="A385" t="s">
        <v>16</v>
      </c>
      <c r="B385" t="s">
        <v>4451</v>
      </c>
      <c r="C385" t="s">
        <v>4452</v>
      </c>
      <c r="D385" t="s">
        <v>4481</v>
      </c>
      <c r="E385" t="s">
        <v>4482</v>
      </c>
      <c r="F385" t="s">
        <v>3429</v>
      </c>
      <c r="G385" t="s">
        <v>4483</v>
      </c>
    </row>
    <row r="386" customHeight="1" spans="1:7">
      <c r="A386" t="s">
        <v>16</v>
      </c>
      <c r="B386" t="s">
        <v>4484</v>
      </c>
      <c r="C386" t="s">
        <v>4485</v>
      </c>
      <c r="D386" t="s">
        <v>4486</v>
      </c>
      <c r="E386" t="s">
        <v>4487</v>
      </c>
      <c r="F386" t="s">
        <v>3429</v>
      </c>
      <c r="G386" t="s">
        <v>4488</v>
      </c>
    </row>
    <row r="387" customHeight="1" spans="1:7">
      <c r="A387" t="s">
        <v>16</v>
      </c>
      <c r="B387" t="s">
        <v>4484</v>
      </c>
      <c r="C387" t="s">
        <v>4485</v>
      </c>
      <c r="D387" t="s">
        <v>4484</v>
      </c>
      <c r="E387" t="s">
        <v>4485</v>
      </c>
      <c r="F387" t="s">
        <v>3426</v>
      </c>
      <c r="G387" t="s">
        <v>4489</v>
      </c>
    </row>
    <row r="388" customHeight="1" spans="1:7">
      <c r="A388" t="s">
        <v>16</v>
      </c>
      <c r="B388" t="s">
        <v>4484</v>
      </c>
      <c r="C388" t="s">
        <v>4485</v>
      </c>
      <c r="D388" t="s">
        <v>4490</v>
      </c>
      <c r="E388" t="s">
        <v>4491</v>
      </c>
      <c r="F388" t="s">
        <v>3429</v>
      </c>
      <c r="G388" t="s">
        <v>4492</v>
      </c>
    </row>
    <row r="389" customHeight="1" spans="1:7">
      <c r="A389" t="s">
        <v>16</v>
      </c>
      <c r="B389" t="s">
        <v>4484</v>
      </c>
      <c r="C389" t="s">
        <v>4485</v>
      </c>
      <c r="D389" t="s">
        <v>4493</v>
      </c>
      <c r="E389" t="s">
        <v>4494</v>
      </c>
      <c r="F389" t="s">
        <v>3429</v>
      </c>
      <c r="G389" t="s">
        <v>4495</v>
      </c>
    </row>
    <row r="390" customHeight="1" spans="1:7">
      <c r="A390" t="s">
        <v>16</v>
      </c>
      <c r="B390" t="s">
        <v>4496</v>
      </c>
      <c r="C390" t="s">
        <v>4497</v>
      </c>
      <c r="D390" t="s">
        <v>4498</v>
      </c>
      <c r="E390" t="s">
        <v>4499</v>
      </c>
      <c r="F390" t="s">
        <v>3429</v>
      </c>
      <c r="G390" t="s">
        <v>4500</v>
      </c>
    </row>
    <row r="391" customHeight="1" spans="1:7">
      <c r="A391" t="s">
        <v>16</v>
      </c>
      <c r="B391" t="s">
        <v>4496</v>
      </c>
      <c r="C391" t="s">
        <v>4497</v>
      </c>
      <c r="D391" t="s">
        <v>4501</v>
      </c>
      <c r="E391" t="s">
        <v>4502</v>
      </c>
      <c r="F391" t="s">
        <v>3429</v>
      </c>
      <c r="G391" t="s">
        <v>4503</v>
      </c>
    </row>
    <row r="392" customHeight="1" spans="1:7">
      <c r="A392" t="s">
        <v>16</v>
      </c>
      <c r="B392" t="s">
        <v>4496</v>
      </c>
      <c r="C392" t="s">
        <v>4497</v>
      </c>
      <c r="D392" t="s">
        <v>4504</v>
      </c>
      <c r="E392" t="s">
        <v>4505</v>
      </c>
      <c r="F392" t="s">
        <v>3429</v>
      </c>
      <c r="G392" t="s">
        <v>4506</v>
      </c>
    </row>
    <row r="393" customHeight="1" spans="1:7">
      <c r="A393" t="s">
        <v>16</v>
      </c>
      <c r="B393" t="s">
        <v>4496</v>
      </c>
      <c r="C393" t="s">
        <v>4497</v>
      </c>
      <c r="D393" t="s">
        <v>4507</v>
      </c>
      <c r="E393" t="s">
        <v>4508</v>
      </c>
      <c r="F393" t="s">
        <v>3429</v>
      </c>
      <c r="G393" t="s">
        <v>4509</v>
      </c>
    </row>
    <row r="394" customHeight="1" spans="1:7">
      <c r="A394" t="s">
        <v>16</v>
      </c>
      <c r="B394" t="s">
        <v>4496</v>
      </c>
      <c r="C394" t="s">
        <v>4497</v>
      </c>
      <c r="D394" t="s">
        <v>4510</v>
      </c>
      <c r="E394" t="s">
        <v>4511</v>
      </c>
      <c r="F394" t="s">
        <v>3429</v>
      </c>
      <c r="G394" t="s">
        <v>4512</v>
      </c>
    </row>
    <row r="395" customHeight="1" spans="1:7">
      <c r="A395" t="s">
        <v>16</v>
      </c>
      <c r="B395" t="s">
        <v>4496</v>
      </c>
      <c r="C395" t="s">
        <v>4497</v>
      </c>
      <c r="D395" t="s">
        <v>4513</v>
      </c>
      <c r="E395" t="s">
        <v>4514</v>
      </c>
      <c r="F395" t="s">
        <v>3429</v>
      </c>
      <c r="G395" t="s">
        <v>4515</v>
      </c>
    </row>
    <row r="396" customHeight="1" spans="1:7">
      <c r="A396" t="s">
        <v>16</v>
      </c>
      <c r="B396" t="s">
        <v>4496</v>
      </c>
      <c r="C396" t="s">
        <v>4497</v>
      </c>
      <c r="D396" t="s">
        <v>3859</v>
      </c>
      <c r="E396" t="s">
        <v>4516</v>
      </c>
      <c r="F396" t="s">
        <v>3429</v>
      </c>
      <c r="G396" t="s">
        <v>4517</v>
      </c>
    </row>
    <row r="397" customHeight="1" spans="1:7">
      <c r="A397" t="s">
        <v>16</v>
      </c>
      <c r="B397" t="s">
        <v>4496</v>
      </c>
      <c r="C397" t="s">
        <v>4497</v>
      </c>
      <c r="D397" t="s">
        <v>4518</v>
      </c>
      <c r="E397" t="s">
        <v>4519</v>
      </c>
      <c r="F397" t="s">
        <v>3429</v>
      </c>
      <c r="G397" t="s">
        <v>4520</v>
      </c>
    </row>
    <row r="398" customHeight="1" spans="1:7">
      <c r="A398" t="s">
        <v>16</v>
      </c>
      <c r="B398" t="s">
        <v>4496</v>
      </c>
      <c r="C398" t="s">
        <v>4497</v>
      </c>
      <c r="D398" t="s">
        <v>4521</v>
      </c>
      <c r="E398" t="s">
        <v>4522</v>
      </c>
      <c r="F398" t="s">
        <v>3429</v>
      </c>
      <c r="G398" t="s">
        <v>4523</v>
      </c>
    </row>
    <row r="399" customHeight="1" spans="1:7">
      <c r="A399" t="s">
        <v>16</v>
      </c>
      <c r="B399" t="s">
        <v>4496</v>
      </c>
      <c r="C399" t="s">
        <v>4497</v>
      </c>
      <c r="D399" t="s">
        <v>4496</v>
      </c>
      <c r="E399" t="s">
        <v>4497</v>
      </c>
      <c r="F399" t="s">
        <v>3426</v>
      </c>
      <c r="G399" t="s">
        <v>4524</v>
      </c>
    </row>
    <row r="400" customHeight="1" spans="1:7">
      <c r="A400" t="s">
        <v>16</v>
      </c>
      <c r="B400" t="s">
        <v>4496</v>
      </c>
      <c r="C400" t="s">
        <v>4497</v>
      </c>
      <c r="D400" t="s">
        <v>4525</v>
      </c>
      <c r="E400" t="s">
        <v>4526</v>
      </c>
      <c r="F400" t="s">
        <v>3429</v>
      </c>
      <c r="G400" t="s">
        <v>4527</v>
      </c>
    </row>
    <row r="401" customHeight="1" spans="1:7">
      <c r="A401" t="s">
        <v>16</v>
      </c>
      <c r="B401" t="s">
        <v>4528</v>
      </c>
      <c r="C401" t="s">
        <v>4529</v>
      </c>
      <c r="D401" t="s">
        <v>4530</v>
      </c>
      <c r="E401" t="s">
        <v>4531</v>
      </c>
      <c r="F401" t="s">
        <v>3429</v>
      </c>
      <c r="G401" t="s">
        <v>4532</v>
      </c>
    </row>
    <row r="402" customHeight="1" spans="1:7">
      <c r="A402" t="s">
        <v>16</v>
      </c>
      <c r="B402" t="s">
        <v>4528</v>
      </c>
      <c r="C402" t="s">
        <v>4529</v>
      </c>
      <c r="D402" t="s">
        <v>4533</v>
      </c>
      <c r="E402" t="s">
        <v>4534</v>
      </c>
      <c r="F402" t="s">
        <v>3429</v>
      </c>
      <c r="G402" t="s">
        <v>4535</v>
      </c>
    </row>
    <row r="403" customHeight="1" spans="1:7">
      <c r="A403" t="s">
        <v>16</v>
      </c>
      <c r="B403" t="s">
        <v>4528</v>
      </c>
      <c r="C403" t="s">
        <v>4529</v>
      </c>
      <c r="D403" t="s">
        <v>4536</v>
      </c>
      <c r="E403" t="s">
        <v>4537</v>
      </c>
      <c r="F403" t="s">
        <v>3429</v>
      </c>
      <c r="G403" t="s">
        <v>4538</v>
      </c>
    </row>
    <row r="404" customHeight="1" spans="1:7">
      <c r="A404" t="s">
        <v>16</v>
      </c>
      <c r="B404" t="s">
        <v>4528</v>
      </c>
      <c r="C404" t="s">
        <v>4529</v>
      </c>
      <c r="D404" t="s">
        <v>4539</v>
      </c>
      <c r="E404" t="s">
        <v>4540</v>
      </c>
      <c r="F404" t="s">
        <v>3429</v>
      </c>
      <c r="G404" t="s">
        <v>4541</v>
      </c>
    </row>
    <row r="405" customHeight="1" spans="1:7">
      <c r="A405" t="s">
        <v>16</v>
      </c>
      <c r="B405" t="s">
        <v>4528</v>
      </c>
      <c r="C405" t="s">
        <v>4529</v>
      </c>
      <c r="D405" t="s">
        <v>4542</v>
      </c>
      <c r="E405" t="s">
        <v>4543</v>
      </c>
      <c r="F405" t="s">
        <v>3429</v>
      </c>
      <c r="G405" t="s">
        <v>4544</v>
      </c>
    </row>
    <row r="406" customHeight="1" spans="1:7">
      <c r="A406" t="s">
        <v>16</v>
      </c>
      <c r="B406" t="s">
        <v>4528</v>
      </c>
      <c r="C406" t="s">
        <v>4529</v>
      </c>
      <c r="D406" t="s">
        <v>4545</v>
      </c>
      <c r="E406" t="s">
        <v>4546</v>
      </c>
      <c r="F406" t="s">
        <v>3429</v>
      </c>
      <c r="G406" t="s">
        <v>4547</v>
      </c>
    </row>
    <row r="407" customHeight="1" spans="1:7">
      <c r="A407" t="s">
        <v>16</v>
      </c>
      <c r="B407" t="s">
        <v>4528</v>
      </c>
      <c r="C407" t="s">
        <v>4529</v>
      </c>
      <c r="D407" t="s">
        <v>3959</v>
      </c>
      <c r="E407" t="s">
        <v>4548</v>
      </c>
      <c r="F407" t="s">
        <v>3429</v>
      </c>
      <c r="G407" t="s">
        <v>4549</v>
      </c>
    </row>
    <row r="408" customHeight="1" spans="1:7">
      <c r="A408" t="s">
        <v>16</v>
      </c>
      <c r="B408" t="s">
        <v>4528</v>
      </c>
      <c r="C408" t="s">
        <v>4529</v>
      </c>
      <c r="D408" t="s">
        <v>4550</v>
      </c>
      <c r="E408" t="s">
        <v>4551</v>
      </c>
      <c r="F408" t="s">
        <v>3429</v>
      </c>
      <c r="G408" t="s">
        <v>4552</v>
      </c>
    </row>
    <row r="409" customHeight="1" spans="1:7">
      <c r="A409" t="s">
        <v>16</v>
      </c>
      <c r="B409" t="s">
        <v>4528</v>
      </c>
      <c r="C409" t="s">
        <v>4529</v>
      </c>
      <c r="D409" t="s">
        <v>4363</v>
      </c>
      <c r="E409" t="s">
        <v>4553</v>
      </c>
      <c r="F409" t="s">
        <v>3429</v>
      </c>
      <c r="G409" t="s">
        <v>4554</v>
      </c>
    </row>
    <row r="410" customHeight="1" spans="1:7">
      <c r="A410" t="s">
        <v>16</v>
      </c>
      <c r="B410" t="s">
        <v>4528</v>
      </c>
      <c r="C410" t="s">
        <v>4529</v>
      </c>
      <c r="D410" t="s">
        <v>4528</v>
      </c>
      <c r="E410" t="s">
        <v>4529</v>
      </c>
      <c r="F410" t="s">
        <v>3426</v>
      </c>
      <c r="G410" t="s">
        <v>4555</v>
      </c>
    </row>
    <row r="411" customHeight="1" spans="1:7">
      <c r="A411" t="s">
        <v>16</v>
      </c>
      <c r="B411" t="s">
        <v>4528</v>
      </c>
      <c r="C411" t="s">
        <v>4529</v>
      </c>
      <c r="D411" t="s">
        <v>4556</v>
      </c>
      <c r="E411" t="s">
        <v>4557</v>
      </c>
      <c r="F411" t="s">
        <v>3429</v>
      </c>
      <c r="G411" t="s">
        <v>4558</v>
      </c>
    </row>
    <row r="412" customHeight="1" spans="1:7">
      <c r="A412" t="s">
        <v>16</v>
      </c>
      <c r="B412" t="s">
        <v>4528</v>
      </c>
      <c r="C412" t="s">
        <v>4529</v>
      </c>
      <c r="D412" t="s">
        <v>4559</v>
      </c>
      <c r="E412" t="s">
        <v>4560</v>
      </c>
      <c r="F412" t="s">
        <v>3429</v>
      </c>
      <c r="G412" t="s">
        <v>4561</v>
      </c>
    </row>
    <row r="413" customHeight="1" spans="1:7">
      <c r="A413" t="s">
        <v>16</v>
      </c>
      <c r="B413" t="s">
        <v>4562</v>
      </c>
      <c r="C413" t="s">
        <v>4563</v>
      </c>
      <c r="D413" t="s">
        <v>4564</v>
      </c>
      <c r="E413" t="s">
        <v>4565</v>
      </c>
      <c r="F413" t="s">
        <v>3429</v>
      </c>
      <c r="G413" t="s">
        <v>4566</v>
      </c>
    </row>
    <row r="414" customHeight="1" spans="1:7">
      <c r="A414" t="s">
        <v>16</v>
      </c>
      <c r="B414" t="s">
        <v>4562</v>
      </c>
      <c r="C414" t="s">
        <v>4563</v>
      </c>
      <c r="D414" t="s">
        <v>4567</v>
      </c>
      <c r="E414" t="s">
        <v>4568</v>
      </c>
      <c r="F414" t="s">
        <v>3429</v>
      </c>
      <c r="G414" t="s">
        <v>4569</v>
      </c>
    </row>
    <row r="415" customHeight="1" spans="1:7">
      <c r="A415" t="s">
        <v>16</v>
      </c>
      <c r="B415" t="s">
        <v>4562</v>
      </c>
      <c r="C415" t="s">
        <v>4563</v>
      </c>
      <c r="D415" t="s">
        <v>4150</v>
      </c>
      <c r="E415" t="s">
        <v>4570</v>
      </c>
      <c r="F415" t="s">
        <v>3429</v>
      </c>
      <c r="G415" t="s">
        <v>4571</v>
      </c>
    </row>
    <row r="416" customHeight="1" spans="1:7">
      <c r="A416" t="s">
        <v>16</v>
      </c>
      <c r="B416" t="s">
        <v>4562</v>
      </c>
      <c r="C416" t="s">
        <v>4563</v>
      </c>
      <c r="D416" t="s">
        <v>4572</v>
      </c>
      <c r="E416" t="s">
        <v>4573</v>
      </c>
      <c r="F416" t="s">
        <v>3429</v>
      </c>
      <c r="G416" t="s">
        <v>4574</v>
      </c>
    </row>
    <row r="417" customHeight="1" spans="1:7">
      <c r="A417" t="s">
        <v>16</v>
      </c>
      <c r="B417" t="s">
        <v>4562</v>
      </c>
      <c r="C417" t="s">
        <v>4563</v>
      </c>
      <c r="D417" t="s">
        <v>4575</v>
      </c>
      <c r="E417" t="s">
        <v>4576</v>
      </c>
      <c r="F417" t="s">
        <v>3429</v>
      </c>
      <c r="G417" t="s">
        <v>4577</v>
      </c>
    </row>
    <row r="418" customHeight="1" spans="1:7">
      <c r="A418" t="s">
        <v>16</v>
      </c>
      <c r="B418" t="s">
        <v>4562</v>
      </c>
      <c r="C418" t="s">
        <v>4563</v>
      </c>
      <c r="D418" t="s">
        <v>4578</v>
      </c>
      <c r="E418" t="s">
        <v>4579</v>
      </c>
      <c r="F418" t="s">
        <v>3429</v>
      </c>
      <c r="G418" t="s">
        <v>4580</v>
      </c>
    </row>
    <row r="419" customHeight="1" spans="1:7">
      <c r="A419" t="s">
        <v>16</v>
      </c>
      <c r="B419" t="s">
        <v>4562</v>
      </c>
      <c r="C419" t="s">
        <v>4563</v>
      </c>
      <c r="D419" t="s">
        <v>4581</v>
      </c>
      <c r="E419" t="s">
        <v>4582</v>
      </c>
      <c r="F419" t="s">
        <v>3429</v>
      </c>
      <c r="G419" t="s">
        <v>4583</v>
      </c>
    </row>
    <row r="420" customHeight="1" spans="1:7">
      <c r="A420" t="s">
        <v>16</v>
      </c>
      <c r="B420" t="s">
        <v>4562</v>
      </c>
      <c r="C420" t="s">
        <v>4563</v>
      </c>
      <c r="D420" t="s">
        <v>4562</v>
      </c>
      <c r="E420" t="s">
        <v>4563</v>
      </c>
      <c r="F420" t="s">
        <v>3426</v>
      </c>
      <c r="G420" t="s">
        <v>4584</v>
      </c>
    </row>
    <row r="421" customHeight="1" spans="1:7">
      <c r="A421" t="s">
        <v>16</v>
      </c>
      <c r="B421" t="s">
        <v>4562</v>
      </c>
      <c r="C421" t="s">
        <v>4563</v>
      </c>
      <c r="D421" t="s">
        <v>4585</v>
      </c>
      <c r="E421" t="s">
        <v>4586</v>
      </c>
      <c r="F421" t="s">
        <v>3847</v>
      </c>
      <c r="G421" t="s">
        <v>4587</v>
      </c>
    </row>
    <row r="422" customHeight="1" spans="1:7">
      <c r="A422" t="s">
        <v>16</v>
      </c>
      <c r="B422" t="s">
        <v>4588</v>
      </c>
      <c r="C422" t="s">
        <v>4589</v>
      </c>
      <c r="D422" t="s">
        <v>3792</v>
      </c>
      <c r="E422" t="s">
        <v>4590</v>
      </c>
      <c r="F422" t="s">
        <v>3429</v>
      </c>
      <c r="G422" t="s">
        <v>4591</v>
      </c>
    </row>
    <row r="423" customHeight="1" spans="1:7">
      <c r="A423" t="s">
        <v>16</v>
      </c>
      <c r="B423" t="s">
        <v>4588</v>
      </c>
      <c r="C423" t="s">
        <v>4589</v>
      </c>
      <c r="D423" t="s">
        <v>4592</v>
      </c>
      <c r="E423" t="s">
        <v>4593</v>
      </c>
      <c r="F423" t="s">
        <v>3429</v>
      </c>
      <c r="G423" t="s">
        <v>4594</v>
      </c>
    </row>
    <row r="424" customHeight="1" spans="1:7">
      <c r="A424" t="s">
        <v>16</v>
      </c>
      <c r="B424" t="s">
        <v>4588</v>
      </c>
      <c r="C424" t="s">
        <v>4589</v>
      </c>
      <c r="D424" t="s">
        <v>3959</v>
      </c>
      <c r="E424" t="s">
        <v>4595</v>
      </c>
      <c r="F424" t="s">
        <v>3429</v>
      </c>
      <c r="G424" t="s">
        <v>4596</v>
      </c>
    </row>
    <row r="425" customHeight="1" spans="1:7">
      <c r="A425" t="s">
        <v>16</v>
      </c>
      <c r="B425" t="s">
        <v>4588</v>
      </c>
      <c r="C425" t="s">
        <v>4589</v>
      </c>
      <c r="D425" t="s">
        <v>4597</v>
      </c>
      <c r="E425" t="s">
        <v>4598</v>
      </c>
      <c r="F425" t="s">
        <v>3429</v>
      </c>
      <c r="G425" t="s">
        <v>4599</v>
      </c>
    </row>
    <row r="426" customHeight="1" spans="1:7">
      <c r="A426" t="s">
        <v>16</v>
      </c>
      <c r="B426" t="s">
        <v>4588</v>
      </c>
      <c r="C426" t="s">
        <v>4589</v>
      </c>
      <c r="D426" t="s">
        <v>4600</v>
      </c>
      <c r="E426" t="s">
        <v>4601</v>
      </c>
      <c r="F426" t="s">
        <v>3429</v>
      </c>
      <c r="G426" t="s">
        <v>4602</v>
      </c>
    </row>
    <row r="427" customHeight="1" spans="1:7">
      <c r="A427" t="s">
        <v>16</v>
      </c>
      <c r="B427" t="s">
        <v>4588</v>
      </c>
      <c r="C427" t="s">
        <v>4589</v>
      </c>
      <c r="D427" t="s">
        <v>4603</v>
      </c>
      <c r="E427" t="s">
        <v>4604</v>
      </c>
      <c r="F427" t="s">
        <v>3429</v>
      </c>
      <c r="G427" t="s">
        <v>4605</v>
      </c>
    </row>
    <row r="428" customHeight="1" spans="1:7">
      <c r="A428" t="s">
        <v>16</v>
      </c>
      <c r="B428" t="s">
        <v>4588</v>
      </c>
      <c r="C428" t="s">
        <v>4589</v>
      </c>
      <c r="D428" t="s">
        <v>4606</v>
      </c>
      <c r="E428" t="s">
        <v>4607</v>
      </c>
      <c r="F428" t="s">
        <v>3429</v>
      </c>
      <c r="G428" t="s">
        <v>4608</v>
      </c>
    </row>
    <row r="429" customHeight="1" spans="1:7">
      <c r="A429" t="s">
        <v>16</v>
      </c>
      <c r="B429" t="s">
        <v>4588</v>
      </c>
      <c r="C429" t="s">
        <v>4589</v>
      </c>
      <c r="D429" t="s">
        <v>4588</v>
      </c>
      <c r="E429" t="s">
        <v>4589</v>
      </c>
      <c r="F429" t="s">
        <v>3426</v>
      </c>
      <c r="G429" t="s">
        <v>4609</v>
      </c>
    </row>
    <row r="430" customHeight="1" spans="1:7">
      <c r="A430" t="s">
        <v>16</v>
      </c>
      <c r="B430" t="s">
        <v>4588</v>
      </c>
      <c r="C430" t="s">
        <v>4589</v>
      </c>
      <c r="D430" t="s">
        <v>4610</v>
      </c>
      <c r="E430" t="s">
        <v>4611</v>
      </c>
      <c r="F430" t="s">
        <v>3429</v>
      </c>
      <c r="G430" t="s">
        <v>4612</v>
      </c>
    </row>
    <row r="431" customHeight="1" spans="1:7">
      <c r="A431" t="s">
        <v>16</v>
      </c>
      <c r="B431" t="s">
        <v>4588</v>
      </c>
      <c r="C431" t="s">
        <v>4589</v>
      </c>
      <c r="D431" t="s">
        <v>4448</v>
      </c>
      <c r="E431" t="s">
        <v>4613</v>
      </c>
      <c r="F431" t="s">
        <v>3429</v>
      </c>
      <c r="G431" t="s">
        <v>4614</v>
      </c>
    </row>
    <row r="432" customHeight="1" spans="1:7">
      <c r="A432" t="s">
        <v>16</v>
      </c>
      <c r="B432" t="s">
        <v>4615</v>
      </c>
      <c r="C432" t="s">
        <v>4616</v>
      </c>
      <c r="D432" t="s">
        <v>3817</v>
      </c>
      <c r="E432" t="s">
        <v>4617</v>
      </c>
      <c r="F432" t="s">
        <v>3429</v>
      </c>
      <c r="G432" t="s">
        <v>4618</v>
      </c>
    </row>
    <row r="433" customHeight="1" spans="1:7">
      <c r="A433" t="s">
        <v>16</v>
      </c>
      <c r="B433" t="s">
        <v>4615</v>
      </c>
      <c r="C433" t="s">
        <v>4616</v>
      </c>
      <c r="D433" t="s">
        <v>4619</v>
      </c>
      <c r="E433" t="s">
        <v>4620</v>
      </c>
      <c r="F433" t="s">
        <v>3429</v>
      </c>
      <c r="G433" t="s">
        <v>4621</v>
      </c>
    </row>
    <row r="434" customHeight="1" spans="1:7">
      <c r="A434" t="s">
        <v>16</v>
      </c>
      <c r="B434" t="s">
        <v>4615</v>
      </c>
      <c r="C434" t="s">
        <v>4616</v>
      </c>
      <c r="D434" t="s">
        <v>4622</v>
      </c>
      <c r="E434" t="s">
        <v>4623</v>
      </c>
      <c r="F434" t="s">
        <v>3429</v>
      </c>
      <c r="G434" t="s">
        <v>4624</v>
      </c>
    </row>
    <row r="435" customHeight="1" spans="1:7">
      <c r="A435" t="s">
        <v>16</v>
      </c>
      <c r="B435" t="s">
        <v>4615</v>
      </c>
      <c r="C435" t="s">
        <v>4616</v>
      </c>
      <c r="D435" t="s">
        <v>4625</v>
      </c>
      <c r="E435" t="s">
        <v>4626</v>
      </c>
      <c r="F435" t="s">
        <v>3429</v>
      </c>
      <c r="G435" t="s">
        <v>4627</v>
      </c>
    </row>
    <row r="436" customHeight="1" spans="1:7">
      <c r="A436" t="s">
        <v>16</v>
      </c>
      <c r="B436" t="s">
        <v>4615</v>
      </c>
      <c r="C436" t="s">
        <v>4616</v>
      </c>
      <c r="D436" t="s">
        <v>4628</v>
      </c>
      <c r="E436" t="s">
        <v>4629</v>
      </c>
      <c r="F436" t="s">
        <v>3429</v>
      </c>
      <c r="G436" t="s">
        <v>4630</v>
      </c>
    </row>
    <row r="437" customHeight="1" spans="1:7">
      <c r="A437" t="s">
        <v>16</v>
      </c>
      <c r="B437" t="s">
        <v>4615</v>
      </c>
      <c r="C437" t="s">
        <v>4616</v>
      </c>
      <c r="D437" t="s">
        <v>4631</v>
      </c>
      <c r="E437" t="s">
        <v>4632</v>
      </c>
      <c r="F437" t="s">
        <v>3429</v>
      </c>
      <c r="G437" t="s">
        <v>4633</v>
      </c>
    </row>
    <row r="438" customHeight="1" spans="1:7">
      <c r="A438" t="s">
        <v>16</v>
      </c>
      <c r="B438" t="s">
        <v>4615</v>
      </c>
      <c r="C438" t="s">
        <v>4616</v>
      </c>
      <c r="D438" t="s">
        <v>4615</v>
      </c>
      <c r="E438" t="s">
        <v>4616</v>
      </c>
      <c r="F438" t="s">
        <v>3426</v>
      </c>
      <c r="G438" t="s">
        <v>4634</v>
      </c>
    </row>
    <row r="439" customHeight="1" spans="1:7">
      <c r="A439" t="s">
        <v>16</v>
      </c>
      <c r="B439" t="s">
        <v>4615</v>
      </c>
      <c r="C439" t="s">
        <v>4616</v>
      </c>
      <c r="D439" t="s">
        <v>4635</v>
      </c>
      <c r="E439" t="s">
        <v>4636</v>
      </c>
      <c r="F439" t="s">
        <v>3468</v>
      </c>
      <c r="G439" t="s">
        <v>4637</v>
      </c>
    </row>
    <row r="440" customHeight="1" spans="1:7">
      <c r="A440" t="s">
        <v>16</v>
      </c>
      <c r="B440" t="s">
        <v>4638</v>
      </c>
      <c r="C440" t="s">
        <v>4639</v>
      </c>
      <c r="D440" t="s">
        <v>4640</v>
      </c>
      <c r="E440" t="s">
        <v>4641</v>
      </c>
      <c r="F440" t="s">
        <v>3429</v>
      </c>
      <c r="G440" t="s">
        <v>4642</v>
      </c>
    </row>
    <row r="441" customHeight="1" spans="1:7">
      <c r="A441" t="s">
        <v>16</v>
      </c>
      <c r="B441" t="s">
        <v>4638</v>
      </c>
      <c r="C441" t="s">
        <v>4639</v>
      </c>
      <c r="D441" t="s">
        <v>3753</v>
      </c>
      <c r="E441" t="s">
        <v>4643</v>
      </c>
      <c r="F441" t="s">
        <v>3429</v>
      </c>
      <c r="G441" t="s">
        <v>4644</v>
      </c>
    </row>
    <row r="442" customHeight="1" spans="1:7">
      <c r="A442" t="s">
        <v>16</v>
      </c>
      <c r="B442" t="s">
        <v>4638</v>
      </c>
      <c r="C442" t="s">
        <v>4639</v>
      </c>
      <c r="D442" t="s">
        <v>4645</v>
      </c>
      <c r="E442" t="s">
        <v>4646</v>
      </c>
      <c r="F442" t="s">
        <v>3429</v>
      </c>
      <c r="G442" t="s">
        <v>4647</v>
      </c>
    </row>
    <row r="443" customHeight="1" spans="1:7">
      <c r="A443" t="s">
        <v>16</v>
      </c>
      <c r="B443" t="s">
        <v>4638</v>
      </c>
      <c r="C443" t="s">
        <v>4639</v>
      </c>
      <c r="D443" t="s">
        <v>3795</v>
      </c>
      <c r="E443" t="s">
        <v>4648</v>
      </c>
      <c r="F443" t="s">
        <v>3429</v>
      </c>
      <c r="G443" t="s">
        <v>4649</v>
      </c>
    </row>
    <row r="444" customHeight="1" spans="1:7">
      <c r="A444" t="s">
        <v>16</v>
      </c>
      <c r="B444" t="s">
        <v>4638</v>
      </c>
      <c r="C444" t="s">
        <v>4639</v>
      </c>
      <c r="D444" t="s">
        <v>4650</v>
      </c>
      <c r="E444" t="s">
        <v>4651</v>
      </c>
      <c r="F444" t="s">
        <v>3429</v>
      </c>
      <c r="G444" t="s">
        <v>4652</v>
      </c>
    </row>
    <row r="445" customHeight="1" spans="1:7">
      <c r="A445" t="s">
        <v>16</v>
      </c>
      <c r="B445" t="s">
        <v>4638</v>
      </c>
      <c r="C445" t="s">
        <v>4639</v>
      </c>
      <c r="D445" t="s">
        <v>4653</v>
      </c>
      <c r="E445" t="s">
        <v>4654</v>
      </c>
      <c r="F445" t="s">
        <v>3429</v>
      </c>
      <c r="G445" t="s">
        <v>4655</v>
      </c>
    </row>
    <row r="446" customHeight="1" spans="1:7">
      <c r="A446" t="s">
        <v>16</v>
      </c>
      <c r="B446" t="s">
        <v>4638</v>
      </c>
      <c r="C446" t="s">
        <v>4639</v>
      </c>
      <c r="D446" t="s">
        <v>4656</v>
      </c>
      <c r="E446" t="s">
        <v>4657</v>
      </c>
      <c r="F446" t="s">
        <v>3429</v>
      </c>
      <c r="G446" t="s">
        <v>4658</v>
      </c>
    </row>
    <row r="447" customHeight="1" spans="1:7">
      <c r="A447" t="s">
        <v>16</v>
      </c>
      <c r="B447" t="s">
        <v>4638</v>
      </c>
      <c r="C447" t="s">
        <v>4639</v>
      </c>
      <c r="D447" t="s">
        <v>4659</v>
      </c>
      <c r="E447" t="s">
        <v>4660</v>
      </c>
      <c r="F447" t="s">
        <v>3429</v>
      </c>
      <c r="G447" t="s">
        <v>4661</v>
      </c>
    </row>
    <row r="448" customHeight="1" spans="1:7">
      <c r="A448" t="s">
        <v>16</v>
      </c>
      <c r="B448" t="s">
        <v>4638</v>
      </c>
      <c r="C448" t="s">
        <v>4639</v>
      </c>
      <c r="D448" t="s">
        <v>4662</v>
      </c>
      <c r="E448" t="s">
        <v>4663</v>
      </c>
      <c r="F448" t="s">
        <v>3429</v>
      </c>
      <c r="G448" t="s">
        <v>4664</v>
      </c>
    </row>
    <row r="449" customHeight="1" spans="1:7">
      <c r="A449" t="s">
        <v>16</v>
      </c>
      <c r="B449" t="s">
        <v>4638</v>
      </c>
      <c r="C449" t="s">
        <v>4639</v>
      </c>
      <c r="D449" t="s">
        <v>4665</v>
      </c>
      <c r="E449" t="s">
        <v>4666</v>
      </c>
      <c r="F449" t="s">
        <v>3429</v>
      </c>
      <c r="G449" t="s">
        <v>4667</v>
      </c>
    </row>
    <row r="450" customHeight="1" spans="1:7">
      <c r="A450" t="s">
        <v>16</v>
      </c>
      <c r="B450" t="s">
        <v>4638</v>
      </c>
      <c r="C450" t="s">
        <v>4639</v>
      </c>
      <c r="D450" t="s">
        <v>4668</v>
      </c>
      <c r="E450" t="s">
        <v>4669</v>
      </c>
      <c r="F450" t="s">
        <v>3429</v>
      </c>
      <c r="G450" t="s">
        <v>4670</v>
      </c>
    </row>
    <row r="451" customHeight="1" spans="1:7">
      <c r="A451" t="s">
        <v>16</v>
      </c>
      <c r="B451" t="s">
        <v>4638</v>
      </c>
      <c r="C451" t="s">
        <v>4639</v>
      </c>
      <c r="D451" t="s">
        <v>4638</v>
      </c>
      <c r="E451" t="s">
        <v>4639</v>
      </c>
      <c r="F451" t="s">
        <v>3426</v>
      </c>
      <c r="G451" t="s">
        <v>4671</v>
      </c>
    </row>
    <row r="452" customHeight="1" spans="1:7">
      <c r="A452" t="s">
        <v>16</v>
      </c>
      <c r="B452" t="s">
        <v>4638</v>
      </c>
      <c r="C452" t="s">
        <v>4639</v>
      </c>
      <c r="D452" t="s">
        <v>4672</v>
      </c>
      <c r="E452" t="s">
        <v>4673</v>
      </c>
      <c r="F452" t="s">
        <v>3429</v>
      </c>
      <c r="G452" t="s">
        <v>4674</v>
      </c>
    </row>
    <row r="453" customHeight="1" spans="1:7">
      <c r="A453" t="s">
        <v>16</v>
      </c>
      <c r="B453" t="s">
        <v>4638</v>
      </c>
      <c r="C453" t="s">
        <v>4639</v>
      </c>
      <c r="D453" t="s">
        <v>4675</v>
      </c>
      <c r="E453" t="s">
        <v>4676</v>
      </c>
      <c r="F453" t="s">
        <v>3429</v>
      </c>
      <c r="G453" t="s">
        <v>4677</v>
      </c>
    </row>
    <row r="454" customHeight="1" spans="1:7">
      <c r="A454" t="s">
        <v>16</v>
      </c>
      <c r="B454" t="s">
        <v>4638</v>
      </c>
      <c r="C454" t="s">
        <v>4639</v>
      </c>
      <c r="D454" t="s">
        <v>4678</v>
      </c>
      <c r="E454" t="s">
        <v>4679</v>
      </c>
      <c r="F454" t="s">
        <v>3429</v>
      </c>
      <c r="G454" t="s">
        <v>4680</v>
      </c>
    </row>
    <row r="455" customHeight="1" spans="1:7">
      <c r="A455" t="s">
        <v>16</v>
      </c>
      <c r="B455" t="s">
        <v>4681</v>
      </c>
      <c r="C455" t="s">
        <v>4682</v>
      </c>
      <c r="D455" t="s">
        <v>4683</v>
      </c>
      <c r="E455" t="s">
        <v>4684</v>
      </c>
      <c r="F455" t="s">
        <v>3429</v>
      </c>
      <c r="G455" t="s">
        <v>4685</v>
      </c>
    </row>
    <row r="456" customHeight="1" spans="1:7">
      <c r="A456" t="s">
        <v>16</v>
      </c>
      <c r="B456" t="s">
        <v>4681</v>
      </c>
      <c r="C456" t="s">
        <v>4682</v>
      </c>
      <c r="D456" t="s">
        <v>4686</v>
      </c>
      <c r="E456" t="s">
        <v>4687</v>
      </c>
      <c r="F456" t="s">
        <v>3429</v>
      </c>
      <c r="G456" t="s">
        <v>4688</v>
      </c>
    </row>
    <row r="457" customHeight="1" spans="1:7">
      <c r="A457" t="s">
        <v>16</v>
      </c>
      <c r="B457" t="s">
        <v>4681</v>
      </c>
      <c r="C457" t="s">
        <v>4682</v>
      </c>
      <c r="D457" t="s">
        <v>4689</v>
      </c>
      <c r="E457" t="s">
        <v>4690</v>
      </c>
      <c r="F457" t="s">
        <v>3429</v>
      </c>
      <c r="G457" t="s">
        <v>4691</v>
      </c>
    </row>
    <row r="458" customHeight="1" spans="1:7">
      <c r="A458" t="s">
        <v>16</v>
      </c>
      <c r="B458" t="s">
        <v>4681</v>
      </c>
      <c r="C458" t="s">
        <v>4682</v>
      </c>
      <c r="D458" t="s">
        <v>4692</v>
      </c>
      <c r="E458" t="s">
        <v>4693</v>
      </c>
      <c r="F458" t="s">
        <v>3429</v>
      </c>
      <c r="G458" t="s">
        <v>4694</v>
      </c>
    </row>
    <row r="459" customHeight="1" spans="1:7">
      <c r="A459" t="s">
        <v>16</v>
      </c>
      <c r="B459" t="s">
        <v>4681</v>
      </c>
      <c r="C459" t="s">
        <v>4682</v>
      </c>
      <c r="D459" t="s">
        <v>3817</v>
      </c>
      <c r="E459" t="s">
        <v>4695</v>
      </c>
      <c r="F459" t="s">
        <v>3429</v>
      </c>
      <c r="G459" t="s">
        <v>4696</v>
      </c>
    </row>
    <row r="460" customHeight="1" spans="1:7">
      <c r="A460" t="s">
        <v>16</v>
      </c>
      <c r="B460" t="s">
        <v>4681</v>
      </c>
      <c r="C460" t="s">
        <v>4682</v>
      </c>
      <c r="D460" t="s">
        <v>4697</v>
      </c>
      <c r="E460" t="s">
        <v>4698</v>
      </c>
      <c r="F460" t="s">
        <v>3429</v>
      </c>
      <c r="G460" t="s">
        <v>4699</v>
      </c>
    </row>
    <row r="461" customHeight="1" spans="1:7">
      <c r="A461" t="s">
        <v>16</v>
      </c>
      <c r="B461" t="s">
        <v>4681</v>
      </c>
      <c r="C461" t="s">
        <v>4682</v>
      </c>
      <c r="D461" t="s">
        <v>4700</v>
      </c>
      <c r="E461" t="s">
        <v>4701</v>
      </c>
      <c r="F461" t="s">
        <v>3429</v>
      </c>
      <c r="G461" t="s">
        <v>4702</v>
      </c>
    </row>
    <row r="462" customHeight="1" spans="1:7">
      <c r="A462" t="s">
        <v>16</v>
      </c>
      <c r="B462" t="s">
        <v>4681</v>
      </c>
      <c r="C462" t="s">
        <v>4682</v>
      </c>
      <c r="D462" t="s">
        <v>4703</v>
      </c>
      <c r="E462" t="s">
        <v>4704</v>
      </c>
      <c r="F462" t="s">
        <v>3429</v>
      </c>
      <c r="G462" t="s">
        <v>4705</v>
      </c>
    </row>
    <row r="463" customHeight="1" spans="1:7">
      <c r="A463" t="s">
        <v>16</v>
      </c>
      <c r="B463" t="s">
        <v>4681</v>
      </c>
      <c r="C463" t="s">
        <v>4682</v>
      </c>
      <c r="D463" t="s">
        <v>4706</v>
      </c>
      <c r="E463" t="s">
        <v>4707</v>
      </c>
      <c r="F463" t="s">
        <v>3429</v>
      </c>
      <c r="G463" t="s">
        <v>4708</v>
      </c>
    </row>
    <row r="464" customHeight="1" spans="1:7">
      <c r="A464" t="s">
        <v>16</v>
      </c>
      <c r="B464" t="s">
        <v>4681</v>
      </c>
      <c r="C464" t="s">
        <v>4682</v>
      </c>
      <c r="D464" t="s">
        <v>4681</v>
      </c>
      <c r="E464" t="s">
        <v>4682</v>
      </c>
      <c r="F464" t="s">
        <v>3426</v>
      </c>
      <c r="G464" t="s">
        <v>4709</v>
      </c>
    </row>
  </sheetData>
  <sheetProtection insertRows="0" deleteColumns="0" deleteRows="0" sort="0" autoFilter="0"/>
  <pageMargins left="0.7" right="0.7" top="0.75" bottom="0.75" header="0.3" footer="0.3"/>
  <pageSetup paperSize="9" orientation="portrait"/>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I23"/>
  <sheetViews>
    <sheetView showGridLines="0" workbookViewId="0">
      <selection activeCell="A1" sqref="A1"/>
    </sheetView>
  </sheetViews>
  <sheetFormatPr defaultColWidth="9.14285714285714" defaultRowHeight="11.25" customHeight="1"/>
  <cols>
    <col min="1" max="1" width="13.847619047619" style="4" customWidth="1"/>
  </cols>
  <sheetData>
    <row r="1" customHeight="1" spans="1:9">
      <c r="A1" s="4" t="s">
        <v>4710</v>
      </c>
      <c r="B1" s="12" t="s">
        <v>4711</v>
      </c>
      <c r="C1" s="12" t="s">
        <v>4712</v>
      </c>
      <c r="D1" s="12" t="s">
        <v>4713</v>
      </c>
      <c r="E1" s="12" t="s">
        <v>4714</v>
      </c>
      <c r="F1" s="12" t="s">
        <v>4715</v>
      </c>
      <c r="G1" s="12" t="s">
        <v>4716</v>
      </c>
      <c r="H1" s="12" t="s">
        <v>4717</v>
      </c>
      <c r="I1" s="12" t="s">
        <v>4718</v>
      </c>
    </row>
    <row r="2" customHeight="1" spans="1:9">
      <c r="A2" s="4" t="s">
        <v>107</v>
      </c>
      <c r="B2" t="s">
        <v>4719</v>
      </c>
      <c r="C2" t="s">
        <v>22</v>
      </c>
      <c r="D2" t="s">
        <v>1000</v>
      </c>
      <c r="E2" t="s">
        <v>1001</v>
      </c>
      <c r="F2" t="s">
        <v>22</v>
      </c>
      <c r="G2" t="s">
        <v>22</v>
      </c>
      <c r="H2" t="s">
        <v>22</v>
      </c>
      <c r="I2" t="s">
        <v>22</v>
      </c>
    </row>
    <row r="3" customHeight="1" spans="1:9">
      <c r="A3" s="4" t="s">
        <v>108</v>
      </c>
      <c r="B3" t="s">
        <v>4720</v>
      </c>
      <c r="C3" t="s">
        <v>22</v>
      </c>
      <c r="D3" t="s">
        <v>1000</v>
      </c>
      <c r="E3" t="s">
        <v>4721</v>
      </c>
      <c r="F3" t="s">
        <v>22</v>
      </c>
      <c r="G3" t="s">
        <v>22</v>
      </c>
      <c r="H3" t="s">
        <v>22</v>
      </c>
      <c r="I3" t="s">
        <v>22</v>
      </c>
    </row>
    <row r="4" customHeight="1" spans="1:9">
      <c r="A4" s="4" t="s">
        <v>91</v>
      </c>
      <c r="B4" t="s">
        <v>4722</v>
      </c>
      <c r="C4" t="s">
        <v>22</v>
      </c>
      <c r="D4" t="s">
        <v>1000</v>
      </c>
      <c r="E4" t="s">
        <v>4721</v>
      </c>
      <c r="F4" t="s">
        <v>22</v>
      </c>
      <c r="G4" t="s">
        <v>22</v>
      </c>
      <c r="H4" t="s">
        <v>22</v>
      </c>
      <c r="I4" t="s">
        <v>22</v>
      </c>
    </row>
    <row r="5" customHeight="1" spans="1:9">
      <c r="A5" s="4" t="s">
        <v>92</v>
      </c>
      <c r="B5" t="s">
        <v>4723</v>
      </c>
      <c r="C5" t="s">
        <v>22</v>
      </c>
      <c r="D5" t="s">
        <v>1000</v>
      </c>
      <c r="E5" t="s">
        <v>1001</v>
      </c>
      <c r="F5" t="s">
        <v>22</v>
      </c>
      <c r="G5" t="s">
        <v>22</v>
      </c>
      <c r="H5" t="s">
        <v>22</v>
      </c>
      <c r="I5" t="s">
        <v>22</v>
      </c>
    </row>
    <row r="6" customHeight="1" spans="1:9">
      <c r="A6" s="4" t="s">
        <v>109</v>
      </c>
      <c r="B6" t="s">
        <v>4724</v>
      </c>
      <c r="C6" t="s">
        <v>22</v>
      </c>
      <c r="D6" t="s">
        <v>1000</v>
      </c>
      <c r="E6" t="s">
        <v>1001</v>
      </c>
      <c r="F6" t="s">
        <v>22</v>
      </c>
      <c r="G6" t="s">
        <v>22</v>
      </c>
      <c r="H6" t="s">
        <v>22</v>
      </c>
      <c r="I6" t="s">
        <v>22</v>
      </c>
    </row>
    <row r="7" customHeight="1" spans="1:9">
      <c r="A7" s="4" t="s">
        <v>93</v>
      </c>
      <c r="B7" t="s">
        <v>996</v>
      </c>
      <c r="C7" t="s">
        <v>22</v>
      </c>
      <c r="D7" t="s">
        <v>1000</v>
      </c>
      <c r="E7" t="s">
        <v>1001</v>
      </c>
      <c r="F7" t="s">
        <v>22</v>
      </c>
      <c r="G7" t="s">
        <v>22</v>
      </c>
      <c r="H7" t="s">
        <v>22</v>
      </c>
      <c r="I7" t="s">
        <v>22</v>
      </c>
    </row>
    <row r="8" customHeight="1" spans="1:9">
      <c r="A8" s="4" t="s">
        <v>94</v>
      </c>
      <c r="B8" t="s">
        <v>1006</v>
      </c>
      <c r="C8" t="s">
        <v>22</v>
      </c>
      <c r="D8" t="s">
        <v>1000</v>
      </c>
      <c r="E8" t="s">
        <v>1001</v>
      </c>
      <c r="F8" t="s">
        <v>22</v>
      </c>
      <c r="G8" t="s">
        <v>22</v>
      </c>
      <c r="H8" t="s">
        <v>22</v>
      </c>
      <c r="I8" t="s">
        <v>22</v>
      </c>
    </row>
    <row r="9" customHeight="1" spans="1:9">
      <c r="A9" s="4" t="s">
        <v>110</v>
      </c>
      <c r="B9" t="s">
        <v>4725</v>
      </c>
      <c r="C9" t="s">
        <v>22</v>
      </c>
      <c r="D9" t="s">
        <v>1000</v>
      </c>
      <c r="E9" t="s">
        <v>1001</v>
      </c>
      <c r="F9" t="s">
        <v>22</v>
      </c>
      <c r="G9" t="s">
        <v>22</v>
      </c>
      <c r="H9" t="s">
        <v>22</v>
      </c>
      <c r="I9" t="s">
        <v>22</v>
      </c>
    </row>
    <row r="10" customHeight="1" spans="1:9">
      <c r="A10" s="4" t="s">
        <v>146</v>
      </c>
      <c r="B10" t="s">
        <v>4726</v>
      </c>
      <c r="C10" t="s">
        <v>22</v>
      </c>
      <c r="D10" t="s">
        <v>1000</v>
      </c>
      <c r="E10" t="s">
        <v>4727</v>
      </c>
      <c r="F10" t="s">
        <v>22</v>
      </c>
      <c r="G10" t="s">
        <v>22</v>
      </c>
      <c r="H10" t="s">
        <v>22</v>
      </c>
      <c r="I10" t="s">
        <v>22</v>
      </c>
    </row>
    <row r="11" customHeight="1" spans="1:9">
      <c r="A11" s="4" t="s">
        <v>147</v>
      </c>
      <c r="B11" t="s">
        <v>4728</v>
      </c>
      <c r="C11" t="s">
        <v>22</v>
      </c>
      <c r="D11" t="s">
        <v>1000</v>
      </c>
      <c r="E11" t="s">
        <v>4721</v>
      </c>
      <c r="F11" t="s">
        <v>22</v>
      </c>
      <c r="G11" t="s">
        <v>22</v>
      </c>
      <c r="H11" t="s">
        <v>22</v>
      </c>
      <c r="I11" t="s">
        <v>22</v>
      </c>
    </row>
    <row r="12" customHeight="1" spans="1:9">
      <c r="A12" s="4" t="s">
        <v>148</v>
      </c>
      <c r="B12" t="s">
        <v>4729</v>
      </c>
      <c r="C12" t="s">
        <v>22</v>
      </c>
      <c r="D12" t="s">
        <v>1000</v>
      </c>
      <c r="E12" t="s">
        <v>4721</v>
      </c>
      <c r="F12" t="s">
        <v>22</v>
      </c>
      <c r="G12" t="s">
        <v>22</v>
      </c>
      <c r="H12" t="s">
        <v>22</v>
      </c>
      <c r="I12" t="s">
        <v>22</v>
      </c>
    </row>
    <row r="13" customHeight="1" spans="1:9">
      <c r="A13" s="4" t="s">
        <v>149</v>
      </c>
      <c r="B13" t="s">
        <v>4730</v>
      </c>
      <c r="C13" t="s">
        <v>22</v>
      </c>
      <c r="D13" t="s">
        <v>1000</v>
      </c>
      <c r="E13" t="s">
        <v>4721</v>
      </c>
      <c r="F13" t="s">
        <v>22</v>
      </c>
      <c r="G13" t="s">
        <v>22</v>
      </c>
      <c r="H13" t="s">
        <v>22</v>
      </c>
      <c r="I13" t="s">
        <v>22</v>
      </c>
    </row>
    <row r="14" customHeight="1" spans="1:9">
      <c r="A14" s="4" t="s">
        <v>150</v>
      </c>
      <c r="B14" t="s">
        <v>4731</v>
      </c>
      <c r="C14" t="s">
        <v>22</v>
      </c>
      <c r="D14" t="s">
        <v>1000</v>
      </c>
      <c r="E14" t="s">
        <v>4721</v>
      </c>
      <c r="F14" t="s">
        <v>22</v>
      </c>
      <c r="G14" t="s">
        <v>22</v>
      </c>
      <c r="H14" t="s">
        <v>22</v>
      </c>
      <c r="I14" t="s">
        <v>22</v>
      </c>
    </row>
    <row r="15" customHeight="1" spans="1:9">
      <c r="A15" s="4" t="s">
        <v>151</v>
      </c>
      <c r="B15" t="s">
        <v>4732</v>
      </c>
      <c r="C15" t="s">
        <v>22</v>
      </c>
      <c r="D15" t="s">
        <v>1000</v>
      </c>
      <c r="E15" t="s">
        <v>4721</v>
      </c>
      <c r="F15" t="s">
        <v>22</v>
      </c>
      <c r="G15" t="s">
        <v>22</v>
      </c>
      <c r="H15" t="s">
        <v>22</v>
      </c>
      <c r="I15" t="s">
        <v>22</v>
      </c>
    </row>
    <row r="16" customHeight="1" spans="1:9">
      <c r="A16" s="4" t="s">
        <v>1100</v>
      </c>
      <c r="B16" t="s">
        <v>4733</v>
      </c>
      <c r="C16" t="s">
        <v>22</v>
      </c>
      <c r="D16" t="s">
        <v>1000</v>
      </c>
      <c r="E16" t="s">
        <v>4721</v>
      </c>
      <c r="F16" t="s">
        <v>22</v>
      </c>
      <c r="G16" t="s">
        <v>22</v>
      </c>
      <c r="H16" t="s">
        <v>22</v>
      </c>
      <c r="I16" t="s">
        <v>22</v>
      </c>
    </row>
    <row r="17" customHeight="1" spans="1:9">
      <c r="A17" s="4" t="s">
        <v>1102</v>
      </c>
      <c r="B17" t="s">
        <v>4734</v>
      </c>
      <c r="C17" t="s">
        <v>22</v>
      </c>
      <c r="D17" t="s">
        <v>1000</v>
      </c>
      <c r="E17" t="s">
        <v>1001</v>
      </c>
      <c r="F17" t="s">
        <v>22</v>
      </c>
      <c r="G17" t="s">
        <v>22</v>
      </c>
      <c r="H17" t="s">
        <v>22</v>
      </c>
      <c r="I17" t="s">
        <v>22</v>
      </c>
    </row>
    <row r="18" customHeight="1" spans="1:9">
      <c r="A18" s="4" t="s">
        <v>1105</v>
      </c>
      <c r="B18" t="s">
        <v>4735</v>
      </c>
      <c r="C18" t="s">
        <v>22</v>
      </c>
      <c r="D18" t="s">
        <v>1000</v>
      </c>
      <c r="E18" t="s">
        <v>4736</v>
      </c>
      <c r="F18" t="s">
        <v>22</v>
      </c>
      <c r="G18" t="s">
        <v>22</v>
      </c>
      <c r="H18" t="s">
        <v>22</v>
      </c>
      <c r="I18" t="s">
        <v>22</v>
      </c>
    </row>
    <row r="19" customHeight="1" spans="1:9">
      <c r="A19" s="4" t="s">
        <v>1112</v>
      </c>
      <c r="B19" t="s">
        <v>4737</v>
      </c>
      <c r="C19" t="s">
        <v>22</v>
      </c>
      <c r="D19" t="s">
        <v>1000</v>
      </c>
      <c r="E19" t="s">
        <v>4721</v>
      </c>
      <c r="F19" t="s">
        <v>22</v>
      </c>
      <c r="G19" t="s">
        <v>22</v>
      </c>
      <c r="H19" t="s">
        <v>22</v>
      </c>
      <c r="I19" t="s">
        <v>22</v>
      </c>
    </row>
    <row r="20" customHeight="1" spans="1:9">
      <c r="A20" s="4" t="s">
        <v>1117</v>
      </c>
      <c r="B20" t="s">
        <v>4738</v>
      </c>
      <c r="C20" t="s">
        <v>22</v>
      </c>
      <c r="D20" t="s">
        <v>1000</v>
      </c>
      <c r="E20" t="s">
        <v>4721</v>
      </c>
      <c r="F20" t="s">
        <v>22</v>
      </c>
      <c r="G20" t="s">
        <v>22</v>
      </c>
      <c r="H20" t="s">
        <v>22</v>
      </c>
      <c r="I20" t="s">
        <v>22</v>
      </c>
    </row>
    <row r="21" customHeight="1" spans="1:9">
      <c r="A21" s="4" t="s">
        <v>1121</v>
      </c>
      <c r="B21" t="s">
        <v>4739</v>
      </c>
      <c r="C21" t="s">
        <v>22</v>
      </c>
      <c r="D21" t="s">
        <v>1000</v>
      </c>
      <c r="E21" t="s">
        <v>4721</v>
      </c>
      <c r="F21" t="s">
        <v>22</v>
      </c>
      <c r="G21" t="s">
        <v>22</v>
      </c>
      <c r="H21" t="s">
        <v>22</v>
      </c>
      <c r="I21" t="s">
        <v>22</v>
      </c>
    </row>
    <row r="22" customHeight="1" spans="1:9">
      <c r="A22" s="4" t="s">
        <v>1123</v>
      </c>
      <c r="B22" t="s">
        <v>4740</v>
      </c>
      <c r="C22" t="s">
        <v>22</v>
      </c>
      <c r="D22" t="s">
        <v>1000</v>
      </c>
      <c r="E22" t="s">
        <v>4721</v>
      </c>
      <c r="F22" t="s">
        <v>22</v>
      </c>
      <c r="G22" t="s">
        <v>22</v>
      </c>
      <c r="H22" t="s">
        <v>22</v>
      </c>
      <c r="I22" t="s">
        <v>22</v>
      </c>
    </row>
    <row r="23" customHeight="1" spans="1:9">
      <c r="A23" s="4" t="s">
        <v>1125</v>
      </c>
      <c r="B23" t="s">
        <v>4741</v>
      </c>
      <c r="C23" t="s">
        <v>4742</v>
      </c>
      <c r="D23" t="s">
        <v>4743</v>
      </c>
      <c r="E23" t="s">
        <v>4744</v>
      </c>
      <c r="F23" t="s">
        <v>4745</v>
      </c>
      <c r="G23" t="s">
        <v>4746</v>
      </c>
      <c r="H23" t="s">
        <v>4413</v>
      </c>
      <c r="I23" t="s">
        <v>4747</v>
      </c>
    </row>
  </sheetData>
  <sheetProtection insertRows="0" deleteColumns="0" deleteRows="0" sort="0" autoFilter="0"/>
  <pageMargins left="0.7" right="0.7" top="0.75" bottom="0.75" header="0.3" footer="0.3"/>
  <pageSetup paperSize="1" orientation="portrait"/>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AL337"/>
  <sheetViews>
    <sheetView workbookViewId="0">
      <selection activeCell="A1" sqref="A1"/>
    </sheetView>
  </sheetViews>
  <sheetFormatPr defaultColWidth="9" defaultRowHeight="11.25" customHeight="1"/>
  <sheetData>
    <row r="1" customHeight="1" spans="1:38">
      <c r="A1" t="s">
        <v>2406</v>
      </c>
      <c r="B1" t="s">
        <v>2407</v>
      </c>
      <c r="C1" t="s">
        <v>2408</v>
      </c>
      <c r="D1" t="s">
        <v>4748</v>
      </c>
      <c r="E1" t="s">
        <v>4749</v>
      </c>
      <c r="F1" t="s">
        <v>4750</v>
      </c>
      <c r="G1" t="s">
        <v>4751</v>
      </c>
      <c r="H1" t="s">
        <v>4752</v>
      </c>
      <c r="I1" t="s">
        <v>4753</v>
      </c>
      <c r="J1" t="s">
        <v>4754</v>
      </c>
      <c r="K1" t="s">
        <v>4755</v>
      </c>
      <c r="L1" t="s">
        <v>4756</v>
      </c>
      <c r="M1" t="s">
        <v>4757</v>
      </c>
      <c r="N1" t="s">
        <v>4758</v>
      </c>
      <c r="O1" t="s">
        <v>3418</v>
      </c>
      <c r="P1" t="s">
        <v>3420</v>
      </c>
      <c r="Q1" t="s">
        <v>3421</v>
      </c>
      <c r="R1" t="s">
        <v>4759</v>
      </c>
      <c r="S1" t="s">
        <v>4760</v>
      </c>
      <c r="T1" t="s">
        <v>4761</v>
      </c>
      <c r="U1" t="s">
        <v>4762</v>
      </c>
      <c r="V1" t="s">
        <v>4763</v>
      </c>
      <c r="W1" t="s">
        <v>4764</v>
      </c>
      <c r="X1" t="s">
        <v>4765</v>
      </c>
      <c r="Y1" t="s">
        <v>4766</v>
      </c>
      <c r="Z1" t="s">
        <v>4767</v>
      </c>
      <c r="AA1" t="s">
        <v>4768</v>
      </c>
      <c r="AB1" t="s">
        <v>4769</v>
      </c>
      <c r="AC1" t="s">
        <v>4770</v>
      </c>
      <c r="AD1" t="s">
        <v>4771</v>
      </c>
      <c r="AE1" t="s">
        <v>4772</v>
      </c>
      <c r="AF1" t="s">
        <v>4773</v>
      </c>
      <c r="AG1" t="s">
        <v>4774</v>
      </c>
      <c r="AH1" t="s">
        <v>4775</v>
      </c>
      <c r="AI1" t="s">
        <v>4776</v>
      </c>
      <c r="AJ1" t="s">
        <v>4777</v>
      </c>
      <c r="AK1" t="s">
        <v>4778</v>
      </c>
      <c r="AL1" t="s">
        <v>4779</v>
      </c>
    </row>
    <row r="2" customHeight="1" spans="1:38">
      <c r="A2" t="s">
        <v>22</v>
      </c>
      <c r="B2" t="s">
        <v>49</v>
      </c>
      <c r="C2" t="s">
        <v>51</v>
      </c>
      <c r="D2" t="s">
        <v>22</v>
      </c>
      <c r="E2" t="s">
        <v>4780</v>
      </c>
      <c r="F2" t="s">
        <v>1046</v>
      </c>
      <c r="G2" t="s">
        <v>1047</v>
      </c>
      <c r="H2" t="s">
        <v>1047</v>
      </c>
      <c r="I2" t="s">
        <v>1048</v>
      </c>
      <c r="J2" t="s">
        <v>1049</v>
      </c>
      <c r="K2" t="s">
        <v>1050</v>
      </c>
      <c r="L2" t="s">
        <v>4781</v>
      </c>
      <c r="M2" t="s">
        <v>92</v>
      </c>
      <c r="N2" t="s">
        <v>107</v>
      </c>
      <c r="O2" t="s">
        <v>1047</v>
      </c>
      <c r="P2" t="s">
        <v>4782</v>
      </c>
      <c r="Q2" t="s">
        <v>1048</v>
      </c>
      <c r="R2" t="s">
        <v>1049</v>
      </c>
      <c r="S2" t="s">
        <v>1050</v>
      </c>
      <c r="T2" t="s">
        <v>4783</v>
      </c>
      <c r="U2" t="s">
        <v>4784</v>
      </c>
      <c r="V2" t="s">
        <v>4785</v>
      </c>
      <c r="W2" t="s">
        <v>4786</v>
      </c>
      <c r="X2" t="s">
        <v>4787</v>
      </c>
      <c r="Y2" t="s">
        <v>4784</v>
      </c>
      <c r="Z2" t="s">
        <v>4788</v>
      </c>
      <c r="AA2" t="s">
        <v>4789</v>
      </c>
      <c r="AB2" t="s">
        <v>4785</v>
      </c>
      <c r="AC2" t="s">
        <v>66</v>
      </c>
      <c r="AD2" t="s">
        <v>66</v>
      </c>
      <c r="AE2" t="s">
        <v>66</v>
      </c>
      <c r="AF2" t="s">
        <v>4790</v>
      </c>
      <c r="AG2" t="s">
        <v>4791</v>
      </c>
      <c r="AH2" t="s">
        <v>4790</v>
      </c>
      <c r="AI2" t="s">
        <v>4791</v>
      </c>
      <c r="AJ2" t="s">
        <v>4790</v>
      </c>
      <c r="AK2" t="s">
        <v>4791</v>
      </c>
      <c r="AL2" t="s">
        <v>4792</v>
      </c>
    </row>
    <row r="3" customHeight="1" spans="1:38">
      <c r="A3" t="s">
        <v>22</v>
      </c>
      <c r="B3" t="s">
        <v>49</v>
      </c>
      <c r="C3" t="s">
        <v>51</v>
      </c>
      <c r="D3" t="s">
        <v>22</v>
      </c>
      <c r="E3" t="s">
        <v>4793</v>
      </c>
      <c r="F3" t="s">
        <v>1046</v>
      </c>
      <c r="G3" t="s">
        <v>1047</v>
      </c>
      <c r="H3" t="s">
        <v>1047</v>
      </c>
      <c r="I3" t="s">
        <v>1048</v>
      </c>
      <c r="J3" t="s">
        <v>1049</v>
      </c>
      <c r="K3" t="s">
        <v>1050</v>
      </c>
      <c r="L3" t="s">
        <v>4794</v>
      </c>
      <c r="M3" t="s">
        <v>4795</v>
      </c>
      <c r="N3" t="s">
        <v>107</v>
      </c>
      <c r="O3" t="s">
        <v>1047</v>
      </c>
      <c r="P3" t="s">
        <v>4782</v>
      </c>
      <c r="Q3" t="s">
        <v>1048</v>
      </c>
      <c r="R3" t="s">
        <v>1049</v>
      </c>
      <c r="S3" t="s">
        <v>1050</v>
      </c>
      <c r="T3" t="s">
        <v>4796</v>
      </c>
      <c r="U3" t="s">
        <v>4797</v>
      </c>
      <c r="V3" t="s">
        <v>4798</v>
      </c>
      <c r="W3" t="s">
        <v>4786</v>
      </c>
      <c r="X3" t="s">
        <v>4799</v>
      </c>
      <c r="Y3" t="s">
        <v>4800</v>
      </c>
      <c r="Z3" t="s">
        <v>4801</v>
      </c>
      <c r="AA3" t="s">
        <v>4802</v>
      </c>
      <c r="AB3" t="s">
        <v>4798</v>
      </c>
      <c r="AC3" t="s">
        <v>66</v>
      </c>
      <c r="AD3" t="s">
        <v>66</v>
      </c>
      <c r="AE3" t="s">
        <v>66</v>
      </c>
      <c r="AF3" t="s">
        <v>4803</v>
      </c>
      <c r="AG3" t="s">
        <v>4804</v>
      </c>
      <c r="AH3" t="s">
        <v>4803</v>
      </c>
      <c r="AI3" t="s">
        <v>4804</v>
      </c>
      <c r="AJ3" t="s">
        <v>4803</v>
      </c>
      <c r="AK3" t="s">
        <v>4804</v>
      </c>
      <c r="AL3" t="s">
        <v>4792</v>
      </c>
    </row>
    <row r="4" customHeight="1" spans="1:38">
      <c r="A4" t="s">
        <v>22</v>
      </c>
      <c r="B4" t="s">
        <v>49</v>
      </c>
      <c r="C4" t="s">
        <v>51</v>
      </c>
      <c r="D4" t="s">
        <v>22</v>
      </c>
      <c r="E4" t="s">
        <v>4793</v>
      </c>
      <c r="F4" t="s">
        <v>1046</v>
      </c>
      <c r="G4" t="s">
        <v>1047</v>
      </c>
      <c r="H4" t="s">
        <v>1047</v>
      </c>
      <c r="I4" t="s">
        <v>1048</v>
      </c>
      <c r="J4" t="s">
        <v>1049</v>
      </c>
      <c r="K4" t="s">
        <v>1050</v>
      </c>
      <c r="L4" t="s">
        <v>4794</v>
      </c>
      <c r="M4" t="s">
        <v>4795</v>
      </c>
      <c r="N4" t="s">
        <v>107</v>
      </c>
      <c r="O4" t="s">
        <v>1047</v>
      </c>
      <c r="P4" t="s">
        <v>4782</v>
      </c>
      <c r="Q4" t="s">
        <v>1048</v>
      </c>
      <c r="R4" t="s">
        <v>1049</v>
      </c>
      <c r="S4" t="s">
        <v>1050</v>
      </c>
      <c r="T4" t="s">
        <v>4796</v>
      </c>
      <c r="U4" t="s">
        <v>4805</v>
      </c>
      <c r="V4" t="s">
        <v>4806</v>
      </c>
      <c r="W4" t="s">
        <v>4786</v>
      </c>
      <c r="X4" t="s">
        <v>4807</v>
      </c>
      <c r="Y4" t="s">
        <v>4800</v>
      </c>
      <c r="Z4" t="s">
        <v>4156</v>
      </c>
      <c r="AA4" t="s">
        <v>4808</v>
      </c>
      <c r="AB4" t="s">
        <v>4809</v>
      </c>
      <c r="AC4" t="s">
        <v>66</v>
      </c>
      <c r="AD4" t="s">
        <v>66</v>
      </c>
      <c r="AE4" t="s">
        <v>66</v>
      </c>
      <c r="AF4" t="s">
        <v>4803</v>
      </c>
      <c r="AG4" t="s">
        <v>4810</v>
      </c>
      <c r="AH4" t="s">
        <v>4803</v>
      </c>
      <c r="AI4" t="s">
        <v>4810</v>
      </c>
      <c r="AJ4" t="s">
        <v>4803</v>
      </c>
      <c r="AK4" t="s">
        <v>4810</v>
      </c>
      <c r="AL4" t="s">
        <v>4792</v>
      </c>
    </row>
    <row r="5" customHeight="1" spans="1:38">
      <c r="A5" t="s">
        <v>22</v>
      </c>
      <c r="B5" t="s">
        <v>49</v>
      </c>
      <c r="C5" t="s">
        <v>51</v>
      </c>
      <c r="D5" t="s">
        <v>22</v>
      </c>
      <c r="E5" t="s">
        <v>4811</v>
      </c>
      <c r="F5" t="s">
        <v>1070</v>
      </c>
      <c r="G5" t="s">
        <v>1047</v>
      </c>
      <c r="H5" t="s">
        <v>1047</v>
      </c>
      <c r="I5" t="s">
        <v>1048</v>
      </c>
      <c r="J5" t="s">
        <v>1049</v>
      </c>
      <c r="K5" t="s">
        <v>1050</v>
      </c>
      <c r="L5" t="s">
        <v>4812</v>
      </c>
      <c r="M5" t="s">
        <v>4813</v>
      </c>
      <c r="N5" t="s">
        <v>107</v>
      </c>
      <c r="O5" t="s">
        <v>1047</v>
      </c>
      <c r="P5" t="s">
        <v>4782</v>
      </c>
      <c r="Q5" t="s">
        <v>1048</v>
      </c>
      <c r="R5" t="s">
        <v>1049</v>
      </c>
      <c r="S5" t="s">
        <v>1050</v>
      </c>
      <c r="T5" t="s">
        <v>4783</v>
      </c>
      <c r="U5" t="s">
        <v>4797</v>
      </c>
      <c r="V5" t="s">
        <v>4814</v>
      </c>
      <c r="W5" t="s">
        <v>4786</v>
      </c>
      <c r="X5" t="s">
        <v>4787</v>
      </c>
      <c r="Y5" t="s">
        <v>4815</v>
      </c>
      <c r="Z5" t="s">
        <v>4801</v>
      </c>
      <c r="AA5" t="s">
        <v>4802</v>
      </c>
      <c r="AB5" t="s">
        <v>4814</v>
      </c>
      <c r="AC5" t="s">
        <v>66</v>
      </c>
      <c r="AD5" t="s">
        <v>19</v>
      </c>
      <c r="AE5" t="s">
        <v>19</v>
      </c>
      <c r="AF5" t="s">
        <v>4816</v>
      </c>
      <c r="AG5" t="s">
        <v>4817</v>
      </c>
      <c r="AH5" t="s">
        <v>22</v>
      </c>
      <c r="AI5" t="s">
        <v>22</v>
      </c>
      <c r="AJ5" t="s">
        <v>22</v>
      </c>
      <c r="AK5" t="s">
        <v>22</v>
      </c>
      <c r="AL5" t="s">
        <v>4792</v>
      </c>
    </row>
    <row r="6" customHeight="1" spans="1:38">
      <c r="A6" t="s">
        <v>22</v>
      </c>
      <c r="B6" t="s">
        <v>49</v>
      </c>
      <c r="C6" t="s">
        <v>51</v>
      </c>
      <c r="D6" t="s">
        <v>22</v>
      </c>
      <c r="E6" t="s">
        <v>4811</v>
      </c>
      <c r="F6" t="s">
        <v>1070</v>
      </c>
      <c r="G6" t="s">
        <v>1047</v>
      </c>
      <c r="H6" t="s">
        <v>1047</v>
      </c>
      <c r="I6" t="s">
        <v>1048</v>
      </c>
      <c r="J6" t="s">
        <v>1049</v>
      </c>
      <c r="K6" t="s">
        <v>1050</v>
      </c>
      <c r="L6" t="s">
        <v>4812</v>
      </c>
      <c r="M6" t="s">
        <v>4813</v>
      </c>
      <c r="N6" t="s">
        <v>107</v>
      </c>
      <c r="O6" t="s">
        <v>1047</v>
      </c>
      <c r="P6" t="s">
        <v>4782</v>
      </c>
      <c r="Q6" t="s">
        <v>1048</v>
      </c>
      <c r="R6" t="s">
        <v>1049</v>
      </c>
      <c r="S6" t="s">
        <v>1050</v>
      </c>
      <c r="T6" t="s">
        <v>4783</v>
      </c>
      <c r="U6" t="s">
        <v>4818</v>
      </c>
      <c r="V6" t="s">
        <v>4819</v>
      </c>
      <c r="W6" t="s">
        <v>4786</v>
      </c>
      <c r="X6" t="s">
        <v>4820</v>
      </c>
      <c r="Y6" t="s">
        <v>4815</v>
      </c>
      <c r="Z6" t="s">
        <v>4194</v>
      </c>
      <c r="AA6" t="s">
        <v>4821</v>
      </c>
      <c r="AB6" t="s">
        <v>4819</v>
      </c>
      <c r="AC6" t="s">
        <v>66</v>
      </c>
      <c r="AD6" t="s">
        <v>19</v>
      </c>
      <c r="AE6" t="s">
        <v>19</v>
      </c>
      <c r="AF6" t="s">
        <v>4816</v>
      </c>
      <c r="AG6" t="s">
        <v>4822</v>
      </c>
      <c r="AH6" t="s">
        <v>22</v>
      </c>
      <c r="AI6" t="s">
        <v>22</v>
      </c>
      <c r="AJ6" t="s">
        <v>22</v>
      </c>
      <c r="AK6" t="s">
        <v>22</v>
      </c>
      <c r="AL6" t="s">
        <v>4792</v>
      </c>
    </row>
    <row r="7" customHeight="1" spans="1:38">
      <c r="A7" t="s">
        <v>22</v>
      </c>
      <c r="B7" t="s">
        <v>49</v>
      </c>
      <c r="C7" t="s">
        <v>51</v>
      </c>
      <c r="D7" t="s">
        <v>22</v>
      </c>
      <c r="E7" t="s">
        <v>4823</v>
      </c>
      <c r="F7" t="s">
        <v>1046</v>
      </c>
      <c r="G7" t="s">
        <v>1047</v>
      </c>
      <c r="H7" t="s">
        <v>1047</v>
      </c>
      <c r="I7" t="s">
        <v>1048</v>
      </c>
      <c r="J7" t="s">
        <v>1049</v>
      </c>
      <c r="K7" t="s">
        <v>1050</v>
      </c>
      <c r="L7" t="s">
        <v>4824</v>
      </c>
      <c r="M7" t="s">
        <v>4825</v>
      </c>
      <c r="N7" t="s">
        <v>107</v>
      </c>
      <c r="O7" t="s">
        <v>1047</v>
      </c>
      <c r="P7" t="s">
        <v>4782</v>
      </c>
      <c r="Q7" t="s">
        <v>1048</v>
      </c>
      <c r="R7" t="s">
        <v>1049</v>
      </c>
      <c r="S7" t="s">
        <v>1050</v>
      </c>
      <c r="T7" t="s">
        <v>4796</v>
      </c>
      <c r="U7" t="s">
        <v>4797</v>
      </c>
      <c r="V7" t="s">
        <v>4814</v>
      </c>
      <c r="W7" t="s">
        <v>4786</v>
      </c>
      <c r="X7" t="s">
        <v>4807</v>
      </c>
      <c r="Y7" t="s">
        <v>4800</v>
      </c>
      <c r="Z7" t="s">
        <v>4801</v>
      </c>
      <c r="AA7" t="s">
        <v>4802</v>
      </c>
      <c r="AB7" t="s">
        <v>4814</v>
      </c>
      <c r="AC7" t="s">
        <v>66</v>
      </c>
      <c r="AD7" t="s">
        <v>66</v>
      </c>
      <c r="AE7" t="s">
        <v>66</v>
      </c>
      <c r="AF7" t="s">
        <v>4826</v>
      </c>
      <c r="AG7" t="s">
        <v>4827</v>
      </c>
      <c r="AH7" t="s">
        <v>4826</v>
      </c>
      <c r="AI7" t="s">
        <v>4827</v>
      </c>
      <c r="AJ7" t="s">
        <v>4826</v>
      </c>
      <c r="AK7" t="s">
        <v>4827</v>
      </c>
      <c r="AL7" t="s">
        <v>4792</v>
      </c>
    </row>
    <row r="8" customHeight="1" spans="1:38">
      <c r="A8" t="s">
        <v>22</v>
      </c>
      <c r="B8" t="s">
        <v>49</v>
      </c>
      <c r="C8" t="s">
        <v>51</v>
      </c>
      <c r="D8" t="s">
        <v>22</v>
      </c>
      <c r="E8" t="s">
        <v>4823</v>
      </c>
      <c r="F8" t="s">
        <v>1046</v>
      </c>
      <c r="G8" t="s">
        <v>1047</v>
      </c>
      <c r="H8" t="s">
        <v>1047</v>
      </c>
      <c r="I8" t="s">
        <v>1048</v>
      </c>
      <c r="J8" t="s">
        <v>1049</v>
      </c>
      <c r="K8" t="s">
        <v>1050</v>
      </c>
      <c r="L8" t="s">
        <v>4824</v>
      </c>
      <c r="M8" t="s">
        <v>4825</v>
      </c>
      <c r="N8" t="s">
        <v>107</v>
      </c>
      <c r="O8" t="s">
        <v>1047</v>
      </c>
      <c r="P8" t="s">
        <v>4782</v>
      </c>
      <c r="Q8" t="s">
        <v>1048</v>
      </c>
      <c r="R8" t="s">
        <v>1049</v>
      </c>
      <c r="S8" t="s">
        <v>1050</v>
      </c>
      <c r="T8" t="s">
        <v>4796</v>
      </c>
      <c r="U8" t="s">
        <v>4805</v>
      </c>
      <c r="V8" t="s">
        <v>4806</v>
      </c>
      <c r="W8" t="s">
        <v>4786</v>
      </c>
      <c r="X8" t="s">
        <v>4828</v>
      </c>
      <c r="Y8" t="s">
        <v>4800</v>
      </c>
      <c r="Z8" t="s">
        <v>4829</v>
      </c>
      <c r="AA8" t="s">
        <v>4830</v>
      </c>
      <c r="AB8" t="s">
        <v>4831</v>
      </c>
      <c r="AC8" t="s">
        <v>66</v>
      </c>
      <c r="AD8" t="s">
        <v>66</v>
      </c>
      <c r="AE8" t="s">
        <v>66</v>
      </c>
      <c r="AF8" t="s">
        <v>4826</v>
      </c>
      <c r="AG8" t="s">
        <v>4832</v>
      </c>
      <c r="AH8" t="s">
        <v>4826</v>
      </c>
      <c r="AI8" t="s">
        <v>4832</v>
      </c>
      <c r="AJ8" t="s">
        <v>4826</v>
      </c>
      <c r="AK8" t="s">
        <v>4832</v>
      </c>
      <c r="AL8" t="s">
        <v>4792</v>
      </c>
    </row>
    <row r="9" customHeight="1" spans="1:38">
      <c r="A9" t="s">
        <v>22</v>
      </c>
      <c r="B9" t="s">
        <v>49</v>
      </c>
      <c r="C9" t="s">
        <v>51</v>
      </c>
      <c r="D9" t="s">
        <v>22</v>
      </c>
      <c r="E9" t="s">
        <v>4833</v>
      </c>
      <c r="F9" t="s">
        <v>1046</v>
      </c>
      <c r="G9" t="s">
        <v>1047</v>
      </c>
      <c r="H9" t="s">
        <v>1047</v>
      </c>
      <c r="I9" t="s">
        <v>1048</v>
      </c>
      <c r="J9" t="s">
        <v>1049</v>
      </c>
      <c r="K9" t="s">
        <v>1050</v>
      </c>
      <c r="L9" t="s">
        <v>4834</v>
      </c>
      <c r="M9" t="s">
        <v>4835</v>
      </c>
      <c r="N9" t="s">
        <v>107</v>
      </c>
      <c r="O9" t="s">
        <v>1047</v>
      </c>
      <c r="P9" t="s">
        <v>4782</v>
      </c>
      <c r="Q9" t="s">
        <v>1048</v>
      </c>
      <c r="R9" t="s">
        <v>1049</v>
      </c>
      <c r="S9" t="s">
        <v>1050</v>
      </c>
      <c r="T9" t="s">
        <v>4796</v>
      </c>
      <c r="U9" t="s">
        <v>4805</v>
      </c>
      <c r="V9" t="s">
        <v>4806</v>
      </c>
      <c r="W9" t="s">
        <v>4786</v>
      </c>
      <c r="X9" t="s">
        <v>4807</v>
      </c>
      <c r="Y9" t="s">
        <v>4800</v>
      </c>
      <c r="Z9" t="s">
        <v>4836</v>
      </c>
      <c r="AA9" t="s">
        <v>4837</v>
      </c>
      <c r="AB9" t="s">
        <v>4838</v>
      </c>
      <c r="AC9" t="s">
        <v>66</v>
      </c>
      <c r="AD9" t="s">
        <v>66</v>
      </c>
      <c r="AE9" t="s">
        <v>66</v>
      </c>
      <c r="AF9" t="s">
        <v>4839</v>
      </c>
      <c r="AG9" t="s">
        <v>4840</v>
      </c>
      <c r="AH9" t="s">
        <v>4839</v>
      </c>
      <c r="AI9" t="s">
        <v>4840</v>
      </c>
      <c r="AJ9" t="s">
        <v>4839</v>
      </c>
      <c r="AK9" t="s">
        <v>4840</v>
      </c>
      <c r="AL9" t="s">
        <v>4792</v>
      </c>
    </row>
    <row r="10" customHeight="1" spans="1:38">
      <c r="A10" t="s">
        <v>22</v>
      </c>
      <c r="B10" t="s">
        <v>49</v>
      </c>
      <c r="C10" t="s">
        <v>51</v>
      </c>
      <c r="D10" t="s">
        <v>22</v>
      </c>
      <c r="E10" t="s">
        <v>4833</v>
      </c>
      <c r="F10" t="s">
        <v>1046</v>
      </c>
      <c r="G10" t="s">
        <v>1047</v>
      </c>
      <c r="H10" t="s">
        <v>1047</v>
      </c>
      <c r="I10" t="s">
        <v>1048</v>
      </c>
      <c r="J10" t="s">
        <v>1049</v>
      </c>
      <c r="K10" t="s">
        <v>1050</v>
      </c>
      <c r="L10" t="s">
        <v>4834</v>
      </c>
      <c r="M10" t="s">
        <v>4835</v>
      </c>
      <c r="N10" t="s">
        <v>107</v>
      </c>
      <c r="O10" t="s">
        <v>1047</v>
      </c>
      <c r="P10" t="s">
        <v>4782</v>
      </c>
      <c r="Q10" t="s">
        <v>1048</v>
      </c>
      <c r="R10" t="s">
        <v>1049</v>
      </c>
      <c r="S10" t="s">
        <v>1050</v>
      </c>
      <c r="T10" t="s">
        <v>4796</v>
      </c>
      <c r="U10" t="s">
        <v>4797</v>
      </c>
      <c r="V10" t="s">
        <v>4841</v>
      </c>
      <c r="W10" t="s">
        <v>4786</v>
      </c>
      <c r="X10" t="s">
        <v>4807</v>
      </c>
      <c r="Y10" t="s">
        <v>4800</v>
      </c>
      <c r="Z10" t="s">
        <v>4842</v>
      </c>
      <c r="AA10" t="s">
        <v>4843</v>
      </c>
      <c r="AB10" t="s">
        <v>4841</v>
      </c>
      <c r="AC10" t="s">
        <v>66</v>
      </c>
      <c r="AD10" t="s">
        <v>66</v>
      </c>
      <c r="AE10" t="s">
        <v>66</v>
      </c>
      <c r="AF10" t="s">
        <v>4839</v>
      </c>
      <c r="AG10" t="s">
        <v>4840</v>
      </c>
      <c r="AH10" t="s">
        <v>4839</v>
      </c>
      <c r="AI10" t="s">
        <v>4840</v>
      </c>
      <c r="AJ10" t="s">
        <v>4839</v>
      </c>
      <c r="AK10" t="s">
        <v>4840</v>
      </c>
      <c r="AL10" t="s">
        <v>4792</v>
      </c>
    </row>
    <row r="11" customHeight="1" spans="1:38">
      <c r="A11" t="s">
        <v>22</v>
      </c>
      <c r="B11" t="s">
        <v>49</v>
      </c>
      <c r="C11" t="s">
        <v>51</v>
      </c>
      <c r="D11" t="s">
        <v>22</v>
      </c>
      <c r="E11" t="s">
        <v>4844</v>
      </c>
      <c r="F11" t="s">
        <v>1046</v>
      </c>
      <c r="G11" t="s">
        <v>1047</v>
      </c>
      <c r="H11" t="s">
        <v>1047</v>
      </c>
      <c r="I11" t="s">
        <v>1048</v>
      </c>
      <c r="J11" t="s">
        <v>1049</v>
      </c>
      <c r="K11" t="s">
        <v>1050</v>
      </c>
      <c r="L11" t="s">
        <v>4845</v>
      </c>
      <c r="M11" t="s">
        <v>4846</v>
      </c>
      <c r="N11" t="s">
        <v>107</v>
      </c>
      <c r="O11" t="s">
        <v>1047</v>
      </c>
      <c r="P11" t="s">
        <v>4782</v>
      </c>
      <c r="Q11" t="s">
        <v>1048</v>
      </c>
      <c r="R11" t="s">
        <v>1049</v>
      </c>
      <c r="S11" t="s">
        <v>1050</v>
      </c>
      <c r="T11" t="s">
        <v>4796</v>
      </c>
      <c r="U11" t="s">
        <v>4797</v>
      </c>
      <c r="V11" t="s">
        <v>4798</v>
      </c>
      <c r="W11" t="s">
        <v>4786</v>
      </c>
      <c r="X11" t="s">
        <v>4807</v>
      </c>
      <c r="Y11" t="s">
        <v>4800</v>
      </c>
      <c r="Z11" t="s">
        <v>4847</v>
      </c>
      <c r="AA11" t="s">
        <v>4848</v>
      </c>
      <c r="AB11" t="s">
        <v>4798</v>
      </c>
      <c r="AC11" t="s">
        <v>66</v>
      </c>
      <c r="AD11" t="s">
        <v>66</v>
      </c>
      <c r="AE11" t="s">
        <v>66</v>
      </c>
      <c r="AF11" t="s">
        <v>4849</v>
      </c>
      <c r="AG11" t="s">
        <v>4850</v>
      </c>
      <c r="AH11" t="s">
        <v>4849</v>
      </c>
      <c r="AI11" t="s">
        <v>4850</v>
      </c>
      <c r="AJ11" t="s">
        <v>4849</v>
      </c>
      <c r="AK11" t="s">
        <v>4850</v>
      </c>
      <c r="AL11" t="s">
        <v>4792</v>
      </c>
    </row>
    <row r="12" customHeight="1" spans="1:38">
      <c r="A12" t="s">
        <v>22</v>
      </c>
      <c r="B12" t="s">
        <v>49</v>
      </c>
      <c r="C12" t="s">
        <v>51</v>
      </c>
      <c r="D12" t="s">
        <v>22</v>
      </c>
      <c r="E12" t="s">
        <v>4844</v>
      </c>
      <c r="F12" t="s">
        <v>1046</v>
      </c>
      <c r="G12" t="s">
        <v>1047</v>
      </c>
      <c r="H12" t="s">
        <v>1047</v>
      </c>
      <c r="I12" t="s">
        <v>1048</v>
      </c>
      <c r="J12" t="s">
        <v>1049</v>
      </c>
      <c r="K12" t="s">
        <v>1050</v>
      </c>
      <c r="L12" t="s">
        <v>4845</v>
      </c>
      <c r="M12" t="s">
        <v>4846</v>
      </c>
      <c r="N12" t="s">
        <v>107</v>
      </c>
      <c r="O12" t="s">
        <v>1047</v>
      </c>
      <c r="P12" t="s">
        <v>4782</v>
      </c>
      <c r="Q12" t="s">
        <v>1048</v>
      </c>
      <c r="R12" t="s">
        <v>1049</v>
      </c>
      <c r="S12" t="s">
        <v>1050</v>
      </c>
      <c r="T12" t="s">
        <v>4796</v>
      </c>
      <c r="U12" t="s">
        <v>4805</v>
      </c>
      <c r="V12" t="s">
        <v>4806</v>
      </c>
      <c r="W12" t="s">
        <v>4786</v>
      </c>
      <c r="X12" t="s">
        <v>4807</v>
      </c>
      <c r="Y12" t="s">
        <v>4800</v>
      </c>
      <c r="Z12" t="s">
        <v>4836</v>
      </c>
      <c r="AA12" t="s">
        <v>4837</v>
      </c>
      <c r="AB12" t="s">
        <v>4838</v>
      </c>
      <c r="AC12" t="s">
        <v>66</v>
      </c>
      <c r="AD12" t="s">
        <v>66</v>
      </c>
      <c r="AE12" t="s">
        <v>66</v>
      </c>
      <c r="AF12" t="s">
        <v>4849</v>
      </c>
      <c r="AG12" t="s">
        <v>4851</v>
      </c>
      <c r="AH12" t="s">
        <v>4849</v>
      </c>
      <c r="AI12" t="s">
        <v>4851</v>
      </c>
      <c r="AJ12" t="s">
        <v>4849</v>
      </c>
      <c r="AK12" t="s">
        <v>4851</v>
      </c>
      <c r="AL12" t="s">
        <v>4792</v>
      </c>
    </row>
    <row r="13" customHeight="1" spans="1:38">
      <c r="A13" t="s">
        <v>22</v>
      </c>
      <c r="B13" t="s">
        <v>49</v>
      </c>
      <c r="C13" t="s">
        <v>51</v>
      </c>
      <c r="D13" t="s">
        <v>22</v>
      </c>
      <c r="E13" t="s">
        <v>4852</v>
      </c>
      <c r="F13" t="s">
        <v>1070</v>
      </c>
      <c r="G13" t="s">
        <v>1047</v>
      </c>
      <c r="H13" t="s">
        <v>1047</v>
      </c>
      <c r="I13" t="s">
        <v>1048</v>
      </c>
      <c r="J13" t="s">
        <v>1049</v>
      </c>
      <c r="K13" t="s">
        <v>1050</v>
      </c>
      <c r="L13" t="s">
        <v>4853</v>
      </c>
      <c r="M13" t="s">
        <v>4854</v>
      </c>
      <c r="N13" t="s">
        <v>107</v>
      </c>
      <c r="O13" t="s">
        <v>1047</v>
      </c>
      <c r="P13" t="s">
        <v>4782</v>
      </c>
      <c r="Q13" t="s">
        <v>1048</v>
      </c>
      <c r="R13" t="s">
        <v>1049</v>
      </c>
      <c r="S13" t="s">
        <v>1050</v>
      </c>
      <c r="T13" t="s">
        <v>4796</v>
      </c>
      <c r="U13" t="s">
        <v>4797</v>
      </c>
      <c r="V13" t="s">
        <v>4841</v>
      </c>
      <c r="W13" t="s">
        <v>4786</v>
      </c>
      <c r="X13" t="s">
        <v>4807</v>
      </c>
      <c r="Y13" t="s">
        <v>4800</v>
      </c>
      <c r="Z13" t="s">
        <v>4855</v>
      </c>
      <c r="AA13" t="s">
        <v>4856</v>
      </c>
      <c r="AB13" t="s">
        <v>4841</v>
      </c>
      <c r="AC13" t="s">
        <v>66</v>
      </c>
      <c r="AD13" t="s">
        <v>19</v>
      </c>
      <c r="AE13" t="s">
        <v>19</v>
      </c>
      <c r="AF13" t="s">
        <v>4857</v>
      </c>
      <c r="AG13" t="s">
        <v>4858</v>
      </c>
      <c r="AH13" t="s">
        <v>22</v>
      </c>
      <c r="AI13" t="s">
        <v>22</v>
      </c>
      <c r="AJ13" t="s">
        <v>22</v>
      </c>
      <c r="AK13" t="s">
        <v>22</v>
      </c>
      <c r="AL13" t="s">
        <v>4792</v>
      </c>
    </row>
    <row r="14" customHeight="1" spans="1:38">
      <c r="A14" t="s">
        <v>22</v>
      </c>
      <c r="B14" t="s">
        <v>49</v>
      </c>
      <c r="C14" t="s">
        <v>51</v>
      </c>
      <c r="D14" t="s">
        <v>22</v>
      </c>
      <c r="E14" t="s">
        <v>4852</v>
      </c>
      <c r="F14" t="s">
        <v>1070</v>
      </c>
      <c r="G14" t="s">
        <v>1047</v>
      </c>
      <c r="H14" t="s">
        <v>1047</v>
      </c>
      <c r="I14" t="s">
        <v>1048</v>
      </c>
      <c r="J14" t="s">
        <v>1049</v>
      </c>
      <c r="K14" t="s">
        <v>1050</v>
      </c>
      <c r="L14" t="s">
        <v>4853</v>
      </c>
      <c r="M14" t="s">
        <v>4854</v>
      </c>
      <c r="N14" t="s">
        <v>107</v>
      </c>
      <c r="O14" t="s">
        <v>1047</v>
      </c>
      <c r="P14" t="s">
        <v>4782</v>
      </c>
      <c r="Q14" t="s">
        <v>1048</v>
      </c>
      <c r="R14" t="s">
        <v>1049</v>
      </c>
      <c r="S14" t="s">
        <v>1050</v>
      </c>
      <c r="T14" t="s">
        <v>4796</v>
      </c>
      <c r="U14" t="s">
        <v>4805</v>
      </c>
      <c r="V14" t="s">
        <v>4806</v>
      </c>
      <c r="W14" t="s">
        <v>4786</v>
      </c>
      <c r="X14" t="s">
        <v>4807</v>
      </c>
      <c r="Y14" t="s">
        <v>4800</v>
      </c>
      <c r="Z14" t="s">
        <v>4836</v>
      </c>
      <c r="AA14" t="s">
        <v>4837</v>
      </c>
      <c r="AB14" t="s">
        <v>4838</v>
      </c>
      <c r="AC14" t="s">
        <v>66</v>
      </c>
      <c r="AD14" t="s">
        <v>19</v>
      </c>
      <c r="AE14" t="s">
        <v>19</v>
      </c>
      <c r="AF14" t="s">
        <v>4857</v>
      </c>
      <c r="AG14" t="s">
        <v>4859</v>
      </c>
      <c r="AH14" t="s">
        <v>22</v>
      </c>
      <c r="AI14" t="s">
        <v>22</v>
      </c>
      <c r="AJ14" t="s">
        <v>22</v>
      </c>
      <c r="AK14" t="s">
        <v>22</v>
      </c>
      <c r="AL14" t="s">
        <v>4792</v>
      </c>
    </row>
    <row r="15" customHeight="1" spans="1:38">
      <c r="A15" t="s">
        <v>22</v>
      </c>
      <c r="B15" t="s">
        <v>49</v>
      </c>
      <c r="C15" t="s">
        <v>51</v>
      </c>
      <c r="D15" t="s">
        <v>22</v>
      </c>
      <c r="E15" t="s">
        <v>4860</v>
      </c>
      <c r="F15" t="s">
        <v>1046</v>
      </c>
      <c r="G15" t="s">
        <v>1047</v>
      </c>
      <c r="H15" t="s">
        <v>1047</v>
      </c>
      <c r="I15" t="s">
        <v>1048</v>
      </c>
      <c r="J15" t="s">
        <v>1049</v>
      </c>
      <c r="K15" t="s">
        <v>1050</v>
      </c>
      <c r="L15" t="s">
        <v>4861</v>
      </c>
      <c r="M15" t="s">
        <v>4862</v>
      </c>
      <c r="N15" t="s">
        <v>107</v>
      </c>
      <c r="O15" t="s">
        <v>1047</v>
      </c>
      <c r="P15" t="s">
        <v>4782</v>
      </c>
      <c r="Q15" t="s">
        <v>1048</v>
      </c>
      <c r="R15" t="s">
        <v>1049</v>
      </c>
      <c r="S15" t="s">
        <v>1050</v>
      </c>
      <c r="T15" t="s">
        <v>4796</v>
      </c>
      <c r="U15" t="s">
        <v>4797</v>
      </c>
      <c r="V15" t="s">
        <v>4841</v>
      </c>
      <c r="W15" t="s">
        <v>4786</v>
      </c>
      <c r="X15" t="s">
        <v>4807</v>
      </c>
      <c r="Y15" t="s">
        <v>4800</v>
      </c>
      <c r="Z15" t="s">
        <v>4863</v>
      </c>
      <c r="AA15" t="s">
        <v>4864</v>
      </c>
      <c r="AB15" t="s">
        <v>4841</v>
      </c>
      <c r="AC15" t="s">
        <v>66</v>
      </c>
      <c r="AD15" t="s">
        <v>66</v>
      </c>
      <c r="AE15" t="s">
        <v>66</v>
      </c>
      <c r="AF15" t="s">
        <v>4865</v>
      </c>
      <c r="AG15" t="s">
        <v>4866</v>
      </c>
      <c r="AH15" t="s">
        <v>4865</v>
      </c>
      <c r="AI15" t="s">
        <v>4866</v>
      </c>
      <c r="AJ15" t="s">
        <v>4865</v>
      </c>
      <c r="AK15" t="s">
        <v>4866</v>
      </c>
      <c r="AL15" t="s">
        <v>4792</v>
      </c>
    </row>
    <row r="16" customHeight="1" spans="1:38">
      <c r="A16" t="s">
        <v>22</v>
      </c>
      <c r="B16" t="s">
        <v>49</v>
      </c>
      <c r="C16" t="s">
        <v>51</v>
      </c>
      <c r="D16" t="s">
        <v>22</v>
      </c>
      <c r="E16" t="s">
        <v>4860</v>
      </c>
      <c r="F16" t="s">
        <v>1046</v>
      </c>
      <c r="G16" t="s">
        <v>1047</v>
      </c>
      <c r="H16" t="s">
        <v>1047</v>
      </c>
      <c r="I16" t="s">
        <v>1048</v>
      </c>
      <c r="J16" t="s">
        <v>1049</v>
      </c>
      <c r="K16" t="s">
        <v>1050</v>
      </c>
      <c r="L16" t="s">
        <v>4861</v>
      </c>
      <c r="M16" t="s">
        <v>4862</v>
      </c>
      <c r="N16" t="s">
        <v>107</v>
      </c>
      <c r="O16" t="s">
        <v>1047</v>
      </c>
      <c r="P16" t="s">
        <v>4782</v>
      </c>
      <c r="Q16" t="s">
        <v>1048</v>
      </c>
      <c r="R16" t="s">
        <v>1049</v>
      </c>
      <c r="S16" t="s">
        <v>1050</v>
      </c>
      <c r="T16" t="s">
        <v>4796</v>
      </c>
      <c r="U16" t="s">
        <v>4805</v>
      </c>
      <c r="V16" t="s">
        <v>4806</v>
      </c>
      <c r="W16" t="s">
        <v>4786</v>
      </c>
      <c r="X16" t="s">
        <v>4828</v>
      </c>
      <c r="Y16" t="s">
        <v>4800</v>
      </c>
      <c r="Z16" t="s">
        <v>4867</v>
      </c>
      <c r="AA16" t="s">
        <v>4868</v>
      </c>
      <c r="AB16" t="s">
        <v>4869</v>
      </c>
      <c r="AC16" t="s">
        <v>66</v>
      </c>
      <c r="AD16" t="s">
        <v>66</v>
      </c>
      <c r="AE16" t="s">
        <v>66</v>
      </c>
      <c r="AF16" t="s">
        <v>4865</v>
      </c>
      <c r="AG16" t="s">
        <v>4866</v>
      </c>
      <c r="AH16" t="s">
        <v>4865</v>
      </c>
      <c r="AI16" t="s">
        <v>4866</v>
      </c>
      <c r="AJ16" t="s">
        <v>4865</v>
      </c>
      <c r="AK16" t="s">
        <v>4866</v>
      </c>
      <c r="AL16" t="s">
        <v>4792</v>
      </c>
    </row>
    <row r="17" customHeight="1" spans="1:38">
      <c r="A17" t="s">
        <v>22</v>
      </c>
      <c r="B17" t="s">
        <v>49</v>
      </c>
      <c r="C17" t="s">
        <v>51</v>
      </c>
      <c r="D17" t="s">
        <v>22</v>
      </c>
      <c r="E17" t="s">
        <v>1169</v>
      </c>
      <c r="F17" t="s">
        <v>1070</v>
      </c>
      <c r="G17" t="s">
        <v>1047</v>
      </c>
      <c r="H17" t="s">
        <v>1047</v>
      </c>
      <c r="I17" t="s">
        <v>1048</v>
      </c>
      <c r="J17" t="s">
        <v>1049</v>
      </c>
      <c r="K17" t="s">
        <v>1050</v>
      </c>
      <c r="L17" t="s">
        <v>1170</v>
      </c>
      <c r="M17" t="s">
        <v>110</v>
      </c>
      <c r="N17" t="s">
        <v>107</v>
      </c>
      <c r="O17" t="s">
        <v>1047</v>
      </c>
      <c r="P17" t="s">
        <v>4782</v>
      </c>
      <c r="Q17" t="s">
        <v>1048</v>
      </c>
      <c r="R17" t="s">
        <v>1049</v>
      </c>
      <c r="S17" t="s">
        <v>1050</v>
      </c>
      <c r="T17" t="s">
        <v>4796</v>
      </c>
      <c r="U17" t="s">
        <v>4797</v>
      </c>
      <c r="V17" t="s">
        <v>4841</v>
      </c>
      <c r="W17" t="s">
        <v>4786</v>
      </c>
      <c r="X17" t="s">
        <v>4807</v>
      </c>
      <c r="Y17" t="s">
        <v>4800</v>
      </c>
      <c r="Z17" t="s">
        <v>4847</v>
      </c>
      <c r="AA17" t="s">
        <v>4848</v>
      </c>
      <c r="AB17" t="s">
        <v>4841</v>
      </c>
      <c r="AC17" t="s">
        <v>66</v>
      </c>
      <c r="AD17" t="s">
        <v>19</v>
      </c>
      <c r="AE17" t="s">
        <v>19</v>
      </c>
      <c r="AF17" t="s">
        <v>4870</v>
      </c>
      <c r="AG17" t="s">
        <v>4871</v>
      </c>
      <c r="AH17" t="s">
        <v>22</v>
      </c>
      <c r="AI17" t="s">
        <v>22</v>
      </c>
      <c r="AJ17" t="s">
        <v>22</v>
      </c>
      <c r="AK17" t="s">
        <v>22</v>
      </c>
      <c r="AL17" t="s">
        <v>4792</v>
      </c>
    </row>
    <row r="18" customHeight="1" spans="1:38">
      <c r="A18" t="s">
        <v>22</v>
      </c>
      <c r="B18" t="s">
        <v>49</v>
      </c>
      <c r="C18" t="s">
        <v>51</v>
      </c>
      <c r="D18" t="s">
        <v>22</v>
      </c>
      <c r="E18" t="s">
        <v>1169</v>
      </c>
      <c r="F18" t="s">
        <v>1070</v>
      </c>
      <c r="G18" t="s">
        <v>1047</v>
      </c>
      <c r="H18" t="s">
        <v>1047</v>
      </c>
      <c r="I18" t="s">
        <v>1048</v>
      </c>
      <c r="J18" t="s">
        <v>1049</v>
      </c>
      <c r="K18" t="s">
        <v>1050</v>
      </c>
      <c r="L18" t="s">
        <v>1170</v>
      </c>
      <c r="M18" t="s">
        <v>110</v>
      </c>
      <c r="N18" t="s">
        <v>107</v>
      </c>
      <c r="O18" t="s">
        <v>1047</v>
      </c>
      <c r="P18" t="s">
        <v>4782</v>
      </c>
      <c r="Q18" t="s">
        <v>1048</v>
      </c>
      <c r="R18" t="s">
        <v>1049</v>
      </c>
      <c r="S18" t="s">
        <v>1050</v>
      </c>
      <c r="T18" t="s">
        <v>4796</v>
      </c>
      <c r="U18" t="s">
        <v>4805</v>
      </c>
      <c r="V18" t="s">
        <v>4806</v>
      </c>
      <c r="W18" t="s">
        <v>4786</v>
      </c>
      <c r="X18" t="s">
        <v>4807</v>
      </c>
      <c r="Y18" t="s">
        <v>4800</v>
      </c>
      <c r="Z18" t="s">
        <v>4836</v>
      </c>
      <c r="AA18" t="s">
        <v>4837</v>
      </c>
      <c r="AB18" t="s">
        <v>4838</v>
      </c>
      <c r="AC18" t="s">
        <v>66</v>
      </c>
      <c r="AD18" t="s">
        <v>19</v>
      </c>
      <c r="AE18" t="s">
        <v>19</v>
      </c>
      <c r="AF18" t="s">
        <v>4870</v>
      </c>
      <c r="AG18" t="s">
        <v>4871</v>
      </c>
      <c r="AH18" t="s">
        <v>22</v>
      </c>
      <c r="AI18" t="s">
        <v>22</v>
      </c>
      <c r="AJ18" t="s">
        <v>22</v>
      </c>
      <c r="AK18" t="s">
        <v>22</v>
      </c>
      <c r="AL18" t="s">
        <v>4792</v>
      </c>
    </row>
    <row r="19" customHeight="1" spans="1:38">
      <c r="A19" t="s">
        <v>22</v>
      </c>
      <c r="B19" t="s">
        <v>49</v>
      </c>
      <c r="C19" t="s">
        <v>51</v>
      </c>
      <c r="D19" t="s">
        <v>22</v>
      </c>
      <c r="E19" t="s">
        <v>4872</v>
      </c>
      <c r="F19" t="s">
        <v>1046</v>
      </c>
      <c r="G19" t="s">
        <v>1047</v>
      </c>
      <c r="H19" t="s">
        <v>1047</v>
      </c>
      <c r="I19" t="s">
        <v>1048</v>
      </c>
      <c r="J19" t="s">
        <v>1049</v>
      </c>
      <c r="K19" t="s">
        <v>1050</v>
      </c>
      <c r="L19" t="s">
        <v>1080</v>
      </c>
      <c r="M19" t="s">
        <v>4873</v>
      </c>
      <c r="N19" t="s">
        <v>107</v>
      </c>
      <c r="O19" t="s">
        <v>1047</v>
      </c>
      <c r="P19" t="s">
        <v>4782</v>
      </c>
      <c r="Q19" t="s">
        <v>1048</v>
      </c>
      <c r="R19" t="s">
        <v>1049</v>
      </c>
      <c r="S19" t="s">
        <v>1050</v>
      </c>
      <c r="T19" t="s">
        <v>4796</v>
      </c>
      <c r="U19" t="s">
        <v>4797</v>
      </c>
      <c r="V19" t="s">
        <v>4841</v>
      </c>
      <c r="W19" t="s">
        <v>4786</v>
      </c>
      <c r="X19" t="s">
        <v>4807</v>
      </c>
      <c r="Y19" t="s">
        <v>4800</v>
      </c>
      <c r="Z19" t="s">
        <v>4847</v>
      </c>
      <c r="AA19" t="s">
        <v>4848</v>
      </c>
      <c r="AB19" t="s">
        <v>4841</v>
      </c>
      <c r="AC19" t="s">
        <v>66</v>
      </c>
      <c r="AD19" t="s">
        <v>66</v>
      </c>
      <c r="AE19" t="s">
        <v>66</v>
      </c>
      <c r="AF19" t="s">
        <v>1232</v>
      </c>
      <c r="AG19" t="s">
        <v>4874</v>
      </c>
      <c r="AH19" t="s">
        <v>1232</v>
      </c>
      <c r="AI19" t="s">
        <v>4874</v>
      </c>
      <c r="AJ19" t="s">
        <v>1232</v>
      </c>
      <c r="AK19" t="s">
        <v>4874</v>
      </c>
      <c r="AL19" t="s">
        <v>4792</v>
      </c>
    </row>
    <row r="20" customHeight="1" spans="1:38">
      <c r="A20" t="s">
        <v>22</v>
      </c>
      <c r="B20" t="s">
        <v>49</v>
      </c>
      <c r="C20" t="s">
        <v>51</v>
      </c>
      <c r="D20" t="s">
        <v>22</v>
      </c>
      <c r="E20" t="s">
        <v>4875</v>
      </c>
      <c r="F20" t="s">
        <v>1046</v>
      </c>
      <c r="G20" t="s">
        <v>1047</v>
      </c>
      <c r="H20" t="s">
        <v>1047</v>
      </c>
      <c r="I20" t="s">
        <v>1048</v>
      </c>
      <c r="J20" t="s">
        <v>1049</v>
      </c>
      <c r="K20" t="s">
        <v>1050</v>
      </c>
      <c r="L20" t="s">
        <v>4834</v>
      </c>
      <c r="M20" t="s">
        <v>1851</v>
      </c>
      <c r="N20" t="s">
        <v>107</v>
      </c>
      <c r="O20" t="s">
        <v>1047</v>
      </c>
      <c r="P20" t="s">
        <v>4782</v>
      </c>
      <c r="Q20" t="s">
        <v>1048</v>
      </c>
      <c r="R20" t="s">
        <v>1049</v>
      </c>
      <c r="S20" t="s">
        <v>1050</v>
      </c>
      <c r="T20" t="s">
        <v>4796</v>
      </c>
      <c r="U20" t="s">
        <v>4797</v>
      </c>
      <c r="V20" t="s">
        <v>4841</v>
      </c>
      <c r="W20" t="s">
        <v>4786</v>
      </c>
      <c r="X20" t="s">
        <v>4807</v>
      </c>
      <c r="Y20" t="s">
        <v>4800</v>
      </c>
      <c r="Z20" t="s">
        <v>4876</v>
      </c>
      <c r="AA20" t="s">
        <v>4877</v>
      </c>
      <c r="AB20" t="s">
        <v>4841</v>
      </c>
      <c r="AC20" t="s">
        <v>66</v>
      </c>
      <c r="AD20" t="s">
        <v>66</v>
      </c>
      <c r="AE20" t="s">
        <v>66</v>
      </c>
      <c r="AF20" t="s">
        <v>4878</v>
      </c>
      <c r="AG20" t="s">
        <v>4879</v>
      </c>
      <c r="AH20" t="s">
        <v>4878</v>
      </c>
      <c r="AI20" t="s">
        <v>4879</v>
      </c>
      <c r="AJ20" t="s">
        <v>4878</v>
      </c>
      <c r="AK20" t="s">
        <v>4879</v>
      </c>
      <c r="AL20" t="s">
        <v>4792</v>
      </c>
    </row>
    <row r="21" customHeight="1" spans="1:38">
      <c r="A21" t="s">
        <v>22</v>
      </c>
      <c r="B21" t="s">
        <v>49</v>
      </c>
      <c r="C21" t="s">
        <v>51</v>
      </c>
      <c r="D21" t="s">
        <v>22</v>
      </c>
      <c r="E21" t="s">
        <v>4875</v>
      </c>
      <c r="F21" t="s">
        <v>1046</v>
      </c>
      <c r="G21" t="s">
        <v>1047</v>
      </c>
      <c r="H21" t="s">
        <v>1047</v>
      </c>
      <c r="I21" t="s">
        <v>1048</v>
      </c>
      <c r="J21" t="s">
        <v>1049</v>
      </c>
      <c r="K21" t="s">
        <v>1050</v>
      </c>
      <c r="L21" t="s">
        <v>4834</v>
      </c>
      <c r="M21" t="s">
        <v>1851</v>
      </c>
      <c r="N21" t="s">
        <v>107</v>
      </c>
      <c r="O21" t="s">
        <v>1047</v>
      </c>
      <c r="P21" t="s">
        <v>4782</v>
      </c>
      <c r="Q21" t="s">
        <v>1048</v>
      </c>
      <c r="R21" t="s">
        <v>1049</v>
      </c>
      <c r="S21" t="s">
        <v>1050</v>
      </c>
      <c r="T21" t="s">
        <v>4796</v>
      </c>
      <c r="U21" t="s">
        <v>4805</v>
      </c>
      <c r="V21" t="s">
        <v>4806</v>
      </c>
      <c r="W21" t="s">
        <v>4786</v>
      </c>
      <c r="X21" t="s">
        <v>4828</v>
      </c>
      <c r="Y21" t="s">
        <v>4800</v>
      </c>
      <c r="Z21" t="s">
        <v>4880</v>
      </c>
      <c r="AA21" t="s">
        <v>4881</v>
      </c>
      <c r="AB21" t="s">
        <v>4869</v>
      </c>
      <c r="AC21" t="s">
        <v>66</v>
      </c>
      <c r="AD21" t="s">
        <v>66</v>
      </c>
      <c r="AE21" t="s">
        <v>66</v>
      </c>
      <c r="AF21" t="s">
        <v>4882</v>
      </c>
      <c r="AG21" t="s">
        <v>4883</v>
      </c>
      <c r="AH21" t="s">
        <v>4882</v>
      </c>
      <c r="AI21" t="s">
        <v>4883</v>
      </c>
      <c r="AJ21" t="s">
        <v>4882</v>
      </c>
      <c r="AK21" t="s">
        <v>4883</v>
      </c>
      <c r="AL21" t="s">
        <v>4792</v>
      </c>
    </row>
    <row r="22" customHeight="1" spans="1:38">
      <c r="A22" t="s">
        <v>22</v>
      </c>
      <c r="B22" t="s">
        <v>49</v>
      </c>
      <c r="C22" t="s">
        <v>51</v>
      </c>
      <c r="D22" t="s">
        <v>22</v>
      </c>
      <c r="E22" t="s">
        <v>1145</v>
      </c>
      <c r="F22" t="s">
        <v>1046</v>
      </c>
      <c r="G22" t="s">
        <v>1047</v>
      </c>
      <c r="H22" t="s">
        <v>1047</v>
      </c>
      <c r="I22" t="s">
        <v>1048</v>
      </c>
      <c r="J22" t="s">
        <v>1049</v>
      </c>
      <c r="K22" t="s">
        <v>1050</v>
      </c>
      <c r="L22" t="s">
        <v>1146</v>
      </c>
      <c r="M22" t="s">
        <v>1147</v>
      </c>
      <c r="N22" t="s">
        <v>107</v>
      </c>
      <c r="O22" t="s">
        <v>1047</v>
      </c>
      <c r="P22" t="s">
        <v>4782</v>
      </c>
      <c r="Q22" t="s">
        <v>1048</v>
      </c>
      <c r="R22" t="s">
        <v>1049</v>
      </c>
      <c r="S22" t="s">
        <v>1050</v>
      </c>
      <c r="T22" t="s">
        <v>4796</v>
      </c>
      <c r="U22" t="s">
        <v>4805</v>
      </c>
      <c r="V22" t="s">
        <v>4806</v>
      </c>
      <c r="W22" t="s">
        <v>4786</v>
      </c>
      <c r="X22" t="s">
        <v>4828</v>
      </c>
      <c r="Y22" t="s">
        <v>4800</v>
      </c>
      <c r="Z22" t="s">
        <v>4884</v>
      </c>
      <c r="AA22" t="s">
        <v>4885</v>
      </c>
      <c r="AB22" t="s">
        <v>4869</v>
      </c>
      <c r="AC22" t="s">
        <v>66</v>
      </c>
      <c r="AD22" t="s">
        <v>66</v>
      </c>
      <c r="AE22" t="s">
        <v>66</v>
      </c>
      <c r="AF22" t="s">
        <v>4886</v>
      </c>
      <c r="AG22" t="s">
        <v>4887</v>
      </c>
      <c r="AH22" t="s">
        <v>4886</v>
      </c>
      <c r="AI22" t="s">
        <v>4887</v>
      </c>
      <c r="AJ22" t="s">
        <v>4886</v>
      </c>
      <c r="AK22" t="s">
        <v>4887</v>
      </c>
      <c r="AL22" t="s">
        <v>4792</v>
      </c>
    </row>
    <row r="23" customHeight="1" spans="1:38">
      <c r="A23" t="s">
        <v>22</v>
      </c>
      <c r="B23" t="s">
        <v>49</v>
      </c>
      <c r="C23" t="s">
        <v>51</v>
      </c>
      <c r="D23" t="s">
        <v>22</v>
      </c>
      <c r="E23" t="s">
        <v>1145</v>
      </c>
      <c r="F23" t="s">
        <v>1046</v>
      </c>
      <c r="G23" t="s">
        <v>1047</v>
      </c>
      <c r="H23" t="s">
        <v>1047</v>
      </c>
      <c r="I23" t="s">
        <v>1048</v>
      </c>
      <c r="J23" t="s">
        <v>1049</v>
      </c>
      <c r="K23" t="s">
        <v>1050</v>
      </c>
      <c r="L23" t="s">
        <v>1146</v>
      </c>
      <c r="M23" t="s">
        <v>1147</v>
      </c>
      <c r="N23" t="s">
        <v>107</v>
      </c>
      <c r="O23" t="s">
        <v>1047</v>
      </c>
      <c r="P23" t="s">
        <v>4782</v>
      </c>
      <c r="Q23" t="s">
        <v>1048</v>
      </c>
      <c r="R23" t="s">
        <v>1049</v>
      </c>
      <c r="S23" t="s">
        <v>1050</v>
      </c>
      <c r="T23" t="s">
        <v>4796</v>
      </c>
      <c r="U23" t="s">
        <v>4797</v>
      </c>
      <c r="V23" t="s">
        <v>4841</v>
      </c>
      <c r="W23" t="s">
        <v>4786</v>
      </c>
      <c r="X23" t="s">
        <v>4807</v>
      </c>
      <c r="Y23" t="s">
        <v>4800</v>
      </c>
      <c r="Z23" t="s">
        <v>4888</v>
      </c>
      <c r="AA23" t="s">
        <v>4889</v>
      </c>
      <c r="AB23" t="s">
        <v>4841</v>
      </c>
      <c r="AC23" t="s">
        <v>66</v>
      </c>
      <c r="AD23" t="s">
        <v>66</v>
      </c>
      <c r="AE23" t="s">
        <v>66</v>
      </c>
      <c r="AF23" t="s">
        <v>4886</v>
      </c>
      <c r="AG23" t="s">
        <v>4890</v>
      </c>
      <c r="AH23" t="s">
        <v>4886</v>
      </c>
      <c r="AI23" t="s">
        <v>4890</v>
      </c>
      <c r="AJ23" t="s">
        <v>4886</v>
      </c>
      <c r="AK23" t="s">
        <v>4890</v>
      </c>
      <c r="AL23" t="s">
        <v>4792</v>
      </c>
    </row>
    <row r="24" customHeight="1" spans="1:38">
      <c r="A24" t="s">
        <v>22</v>
      </c>
      <c r="B24" t="s">
        <v>49</v>
      </c>
      <c r="C24" t="s">
        <v>51</v>
      </c>
      <c r="D24" t="s">
        <v>22</v>
      </c>
      <c r="E24" t="s">
        <v>4891</v>
      </c>
      <c r="F24" t="s">
        <v>1046</v>
      </c>
      <c r="G24" t="s">
        <v>1047</v>
      </c>
      <c r="H24" t="s">
        <v>1047</v>
      </c>
      <c r="I24" t="s">
        <v>1048</v>
      </c>
      <c r="J24" t="s">
        <v>1049</v>
      </c>
      <c r="K24" t="s">
        <v>1050</v>
      </c>
      <c r="L24" t="s">
        <v>1146</v>
      </c>
      <c r="M24" t="s">
        <v>4330</v>
      </c>
      <c r="N24" t="s">
        <v>107</v>
      </c>
      <c r="O24" t="s">
        <v>1047</v>
      </c>
      <c r="P24" t="s">
        <v>4782</v>
      </c>
      <c r="Q24" t="s">
        <v>1048</v>
      </c>
      <c r="R24" t="s">
        <v>1049</v>
      </c>
      <c r="S24" t="s">
        <v>1050</v>
      </c>
      <c r="T24" t="s">
        <v>4796</v>
      </c>
      <c r="U24" t="s">
        <v>4805</v>
      </c>
      <c r="V24" t="s">
        <v>4806</v>
      </c>
      <c r="W24" t="s">
        <v>4786</v>
      </c>
      <c r="X24" t="s">
        <v>4828</v>
      </c>
      <c r="Y24" t="s">
        <v>4800</v>
      </c>
      <c r="Z24" t="s">
        <v>4892</v>
      </c>
      <c r="AA24" t="s">
        <v>4893</v>
      </c>
      <c r="AB24" t="s">
        <v>4869</v>
      </c>
      <c r="AC24" t="s">
        <v>66</v>
      </c>
      <c r="AD24" t="s">
        <v>66</v>
      </c>
      <c r="AE24" t="s">
        <v>66</v>
      </c>
      <c r="AF24" t="s">
        <v>4849</v>
      </c>
      <c r="AG24" t="s">
        <v>4894</v>
      </c>
      <c r="AH24" t="s">
        <v>4849</v>
      </c>
      <c r="AI24" t="s">
        <v>4894</v>
      </c>
      <c r="AJ24" t="s">
        <v>4849</v>
      </c>
      <c r="AK24" t="s">
        <v>4894</v>
      </c>
      <c r="AL24" t="s">
        <v>4792</v>
      </c>
    </row>
    <row r="25" customHeight="1" spans="1:38">
      <c r="A25" t="s">
        <v>22</v>
      </c>
      <c r="B25" t="s">
        <v>49</v>
      </c>
      <c r="C25" t="s">
        <v>51</v>
      </c>
      <c r="D25" t="s">
        <v>22</v>
      </c>
      <c r="E25" t="s">
        <v>4891</v>
      </c>
      <c r="F25" t="s">
        <v>1046</v>
      </c>
      <c r="G25" t="s">
        <v>1047</v>
      </c>
      <c r="H25" t="s">
        <v>1047</v>
      </c>
      <c r="I25" t="s">
        <v>1048</v>
      </c>
      <c r="J25" t="s">
        <v>1049</v>
      </c>
      <c r="K25" t="s">
        <v>1050</v>
      </c>
      <c r="L25" t="s">
        <v>1146</v>
      </c>
      <c r="M25" t="s">
        <v>4330</v>
      </c>
      <c r="N25" t="s">
        <v>107</v>
      </c>
      <c r="O25" t="s">
        <v>1047</v>
      </c>
      <c r="P25" t="s">
        <v>4782</v>
      </c>
      <c r="Q25" t="s">
        <v>1048</v>
      </c>
      <c r="R25" t="s">
        <v>1049</v>
      </c>
      <c r="S25" t="s">
        <v>1050</v>
      </c>
      <c r="T25" t="s">
        <v>4796</v>
      </c>
      <c r="U25" t="s">
        <v>4797</v>
      </c>
      <c r="V25" t="s">
        <v>4841</v>
      </c>
      <c r="W25" t="s">
        <v>4786</v>
      </c>
      <c r="X25" t="s">
        <v>4807</v>
      </c>
      <c r="Y25" t="s">
        <v>4800</v>
      </c>
      <c r="Z25" t="s">
        <v>4895</v>
      </c>
      <c r="AA25" t="s">
        <v>4896</v>
      </c>
      <c r="AB25" t="s">
        <v>4841</v>
      </c>
      <c r="AC25" t="s">
        <v>66</v>
      </c>
      <c r="AD25" t="s">
        <v>66</v>
      </c>
      <c r="AE25" t="s">
        <v>66</v>
      </c>
      <c r="AF25" t="s">
        <v>4849</v>
      </c>
      <c r="AG25" t="s">
        <v>4897</v>
      </c>
      <c r="AH25" t="s">
        <v>4849</v>
      </c>
      <c r="AI25" t="s">
        <v>4897</v>
      </c>
      <c r="AJ25" t="s">
        <v>4849</v>
      </c>
      <c r="AK25" t="s">
        <v>4897</v>
      </c>
      <c r="AL25" t="s">
        <v>4792</v>
      </c>
    </row>
    <row r="26" customHeight="1" spans="1:38">
      <c r="A26" t="s">
        <v>22</v>
      </c>
      <c r="B26" t="s">
        <v>49</v>
      </c>
      <c r="C26" t="s">
        <v>51</v>
      </c>
      <c r="D26" t="s">
        <v>22</v>
      </c>
      <c r="E26" t="s">
        <v>4898</v>
      </c>
      <c r="F26" t="s">
        <v>1070</v>
      </c>
      <c r="G26" t="s">
        <v>1047</v>
      </c>
      <c r="H26" t="s">
        <v>1047</v>
      </c>
      <c r="I26" t="s">
        <v>1048</v>
      </c>
      <c r="J26" t="s">
        <v>1049</v>
      </c>
      <c r="K26" t="s">
        <v>1050</v>
      </c>
      <c r="L26" t="s">
        <v>4899</v>
      </c>
      <c r="M26" t="s">
        <v>146</v>
      </c>
      <c r="N26" t="s">
        <v>107</v>
      </c>
      <c r="O26" t="s">
        <v>1047</v>
      </c>
      <c r="P26" t="s">
        <v>4782</v>
      </c>
      <c r="Q26" t="s">
        <v>1048</v>
      </c>
      <c r="R26" t="s">
        <v>1049</v>
      </c>
      <c r="S26" t="s">
        <v>1050</v>
      </c>
      <c r="T26" t="s">
        <v>4783</v>
      </c>
      <c r="U26" t="s">
        <v>4784</v>
      </c>
      <c r="V26" t="s">
        <v>4900</v>
      </c>
      <c r="W26" t="s">
        <v>4786</v>
      </c>
      <c r="X26" t="s">
        <v>4787</v>
      </c>
      <c r="Y26" t="s">
        <v>4784</v>
      </c>
      <c r="Z26" t="s">
        <v>4901</v>
      </c>
      <c r="AA26" t="s">
        <v>4902</v>
      </c>
      <c r="AB26" t="s">
        <v>4900</v>
      </c>
      <c r="AC26" t="s">
        <v>66</v>
      </c>
      <c r="AD26" t="s">
        <v>19</v>
      </c>
      <c r="AE26" t="s">
        <v>19</v>
      </c>
      <c r="AF26" t="s">
        <v>4903</v>
      </c>
      <c r="AG26" t="s">
        <v>4904</v>
      </c>
      <c r="AH26" t="s">
        <v>22</v>
      </c>
      <c r="AI26" t="s">
        <v>22</v>
      </c>
      <c r="AJ26" t="s">
        <v>22</v>
      </c>
      <c r="AK26" t="s">
        <v>22</v>
      </c>
      <c r="AL26" t="s">
        <v>4792</v>
      </c>
    </row>
    <row r="27" customHeight="1" spans="1:38">
      <c r="A27" t="s">
        <v>22</v>
      </c>
      <c r="B27" t="s">
        <v>49</v>
      </c>
      <c r="C27" t="s">
        <v>51</v>
      </c>
      <c r="D27" t="s">
        <v>22</v>
      </c>
      <c r="E27" t="s">
        <v>4905</v>
      </c>
      <c r="F27" t="s">
        <v>1070</v>
      </c>
      <c r="G27" t="s">
        <v>1047</v>
      </c>
      <c r="H27" t="s">
        <v>1047</v>
      </c>
      <c r="I27" t="s">
        <v>1048</v>
      </c>
      <c r="J27" t="s">
        <v>1049</v>
      </c>
      <c r="K27" t="s">
        <v>1050</v>
      </c>
      <c r="L27" t="s">
        <v>4899</v>
      </c>
      <c r="M27" t="s">
        <v>146</v>
      </c>
      <c r="N27" t="s">
        <v>107</v>
      </c>
      <c r="O27" t="s">
        <v>1047</v>
      </c>
      <c r="P27" t="s">
        <v>4782</v>
      </c>
      <c r="Q27" t="s">
        <v>1048</v>
      </c>
      <c r="R27" t="s">
        <v>1049</v>
      </c>
      <c r="S27" t="s">
        <v>1050</v>
      </c>
      <c r="T27" t="s">
        <v>4796</v>
      </c>
      <c r="U27" t="s">
        <v>4797</v>
      </c>
      <c r="V27" t="s">
        <v>4906</v>
      </c>
      <c r="W27" t="s">
        <v>4786</v>
      </c>
      <c r="X27" t="s">
        <v>4807</v>
      </c>
      <c r="Y27" t="s">
        <v>4800</v>
      </c>
      <c r="Z27" t="s">
        <v>4907</v>
      </c>
      <c r="AA27" t="s">
        <v>4908</v>
      </c>
      <c r="AB27" t="s">
        <v>4906</v>
      </c>
      <c r="AC27" t="s">
        <v>66</v>
      </c>
      <c r="AD27" t="s">
        <v>19</v>
      </c>
      <c r="AE27" t="s">
        <v>19</v>
      </c>
      <c r="AF27" t="s">
        <v>4903</v>
      </c>
      <c r="AG27" t="s">
        <v>4904</v>
      </c>
      <c r="AH27" t="s">
        <v>22</v>
      </c>
      <c r="AI27" t="s">
        <v>22</v>
      </c>
      <c r="AJ27" t="s">
        <v>22</v>
      </c>
      <c r="AK27" t="s">
        <v>22</v>
      </c>
      <c r="AL27" t="s">
        <v>4792</v>
      </c>
    </row>
    <row r="28" customHeight="1" spans="1:38">
      <c r="A28" t="s">
        <v>22</v>
      </c>
      <c r="B28" t="s">
        <v>49</v>
      </c>
      <c r="C28" t="s">
        <v>51</v>
      </c>
      <c r="D28" t="s">
        <v>22</v>
      </c>
      <c r="E28" t="s">
        <v>4909</v>
      </c>
      <c r="F28" t="s">
        <v>1046</v>
      </c>
      <c r="G28" t="s">
        <v>1047</v>
      </c>
      <c r="H28" t="s">
        <v>1047</v>
      </c>
      <c r="I28" t="s">
        <v>1048</v>
      </c>
      <c r="J28" t="s">
        <v>1049</v>
      </c>
      <c r="K28" t="s">
        <v>1050</v>
      </c>
      <c r="L28" t="s">
        <v>4910</v>
      </c>
      <c r="M28" t="s">
        <v>107</v>
      </c>
      <c r="N28" t="s">
        <v>107</v>
      </c>
      <c r="O28" t="s">
        <v>1047</v>
      </c>
      <c r="P28" t="s">
        <v>4782</v>
      </c>
      <c r="Q28" t="s">
        <v>1048</v>
      </c>
      <c r="R28" t="s">
        <v>1049</v>
      </c>
      <c r="S28" t="s">
        <v>1050</v>
      </c>
      <c r="T28" t="s">
        <v>4796</v>
      </c>
      <c r="U28" t="s">
        <v>4797</v>
      </c>
      <c r="V28" t="s">
        <v>4798</v>
      </c>
      <c r="W28" t="s">
        <v>4786</v>
      </c>
      <c r="X28" t="s">
        <v>4807</v>
      </c>
      <c r="Y28" t="s">
        <v>4800</v>
      </c>
      <c r="Z28" t="s">
        <v>4911</v>
      </c>
      <c r="AA28" t="s">
        <v>4912</v>
      </c>
      <c r="AB28" t="s">
        <v>4798</v>
      </c>
      <c r="AC28" t="s">
        <v>66</v>
      </c>
      <c r="AD28" t="s">
        <v>66</v>
      </c>
      <c r="AE28" t="s">
        <v>66</v>
      </c>
      <c r="AF28" t="s">
        <v>4913</v>
      </c>
      <c r="AG28" t="s">
        <v>4914</v>
      </c>
      <c r="AH28" t="s">
        <v>4915</v>
      </c>
      <c r="AI28" t="s">
        <v>4914</v>
      </c>
      <c r="AJ28" t="s">
        <v>4915</v>
      </c>
      <c r="AK28" t="s">
        <v>4914</v>
      </c>
      <c r="AL28" t="s">
        <v>4792</v>
      </c>
    </row>
    <row r="29" customHeight="1" spans="1:38">
      <c r="A29" t="s">
        <v>22</v>
      </c>
      <c r="B29" t="s">
        <v>49</v>
      </c>
      <c r="C29" t="s">
        <v>51</v>
      </c>
      <c r="D29" t="s">
        <v>22</v>
      </c>
      <c r="E29" t="s">
        <v>4909</v>
      </c>
      <c r="F29" t="s">
        <v>1046</v>
      </c>
      <c r="G29" t="s">
        <v>1047</v>
      </c>
      <c r="H29" t="s">
        <v>1047</v>
      </c>
      <c r="I29" t="s">
        <v>1048</v>
      </c>
      <c r="J29" t="s">
        <v>1049</v>
      </c>
      <c r="K29" t="s">
        <v>1050</v>
      </c>
      <c r="L29" t="s">
        <v>4910</v>
      </c>
      <c r="M29" t="s">
        <v>107</v>
      </c>
      <c r="N29" t="s">
        <v>107</v>
      </c>
      <c r="O29" t="s">
        <v>1047</v>
      </c>
      <c r="P29" t="s">
        <v>4782</v>
      </c>
      <c r="Q29" t="s">
        <v>1048</v>
      </c>
      <c r="R29" t="s">
        <v>1049</v>
      </c>
      <c r="S29" t="s">
        <v>1050</v>
      </c>
      <c r="T29" t="s">
        <v>4796</v>
      </c>
      <c r="U29" t="s">
        <v>4805</v>
      </c>
      <c r="V29" t="s">
        <v>4806</v>
      </c>
      <c r="W29" t="s">
        <v>4786</v>
      </c>
      <c r="X29" t="s">
        <v>4807</v>
      </c>
      <c r="Y29" t="s">
        <v>4800</v>
      </c>
      <c r="Z29" t="s">
        <v>4836</v>
      </c>
      <c r="AA29" t="s">
        <v>4837</v>
      </c>
      <c r="AB29" t="s">
        <v>4838</v>
      </c>
      <c r="AC29" t="s">
        <v>66</v>
      </c>
      <c r="AD29" t="s">
        <v>66</v>
      </c>
      <c r="AE29" t="s">
        <v>66</v>
      </c>
      <c r="AF29" t="s">
        <v>4913</v>
      </c>
      <c r="AG29" t="s">
        <v>4916</v>
      </c>
      <c r="AH29" t="s">
        <v>4915</v>
      </c>
      <c r="AI29" t="s">
        <v>4916</v>
      </c>
      <c r="AJ29" t="s">
        <v>4915</v>
      </c>
      <c r="AK29" t="s">
        <v>4916</v>
      </c>
      <c r="AL29" t="s">
        <v>4792</v>
      </c>
    </row>
    <row r="30" customHeight="1" spans="1:38">
      <c r="A30" t="s">
        <v>22</v>
      </c>
      <c r="B30" t="s">
        <v>49</v>
      </c>
      <c r="C30" t="s">
        <v>51</v>
      </c>
      <c r="D30" t="s">
        <v>22</v>
      </c>
      <c r="E30" t="s">
        <v>4917</v>
      </c>
      <c r="F30" t="s">
        <v>1046</v>
      </c>
      <c r="G30" t="s">
        <v>1047</v>
      </c>
      <c r="H30" t="s">
        <v>1047</v>
      </c>
      <c r="I30" t="s">
        <v>1048</v>
      </c>
      <c r="J30" t="s">
        <v>1049</v>
      </c>
      <c r="K30" t="s">
        <v>1050</v>
      </c>
      <c r="L30" t="s">
        <v>4918</v>
      </c>
      <c r="M30" t="s">
        <v>4919</v>
      </c>
      <c r="N30" t="s">
        <v>107</v>
      </c>
      <c r="O30" t="s">
        <v>1047</v>
      </c>
      <c r="P30" t="s">
        <v>4782</v>
      </c>
      <c r="Q30" t="s">
        <v>1048</v>
      </c>
      <c r="R30" t="s">
        <v>1049</v>
      </c>
      <c r="S30" t="s">
        <v>1050</v>
      </c>
      <c r="T30" t="s">
        <v>4796</v>
      </c>
      <c r="U30" t="s">
        <v>4797</v>
      </c>
      <c r="V30" t="s">
        <v>4841</v>
      </c>
      <c r="W30" t="s">
        <v>4786</v>
      </c>
      <c r="X30" t="s">
        <v>4807</v>
      </c>
      <c r="Y30" t="s">
        <v>4800</v>
      </c>
      <c r="Z30" t="s">
        <v>4920</v>
      </c>
      <c r="AA30" t="s">
        <v>4921</v>
      </c>
      <c r="AB30" t="s">
        <v>4841</v>
      </c>
      <c r="AC30" t="s">
        <v>66</v>
      </c>
      <c r="AD30" t="s">
        <v>66</v>
      </c>
      <c r="AE30" t="s">
        <v>66</v>
      </c>
      <c r="AF30" t="s">
        <v>4816</v>
      </c>
      <c r="AG30" t="s">
        <v>4922</v>
      </c>
      <c r="AH30" t="s">
        <v>4816</v>
      </c>
      <c r="AI30" t="s">
        <v>4922</v>
      </c>
      <c r="AJ30" t="s">
        <v>4816</v>
      </c>
      <c r="AK30" t="s">
        <v>4922</v>
      </c>
      <c r="AL30" t="s">
        <v>4792</v>
      </c>
    </row>
    <row r="31" customHeight="1" spans="1:38">
      <c r="A31" t="s">
        <v>22</v>
      </c>
      <c r="B31" t="s">
        <v>49</v>
      </c>
      <c r="C31" t="s">
        <v>51</v>
      </c>
      <c r="D31" t="s">
        <v>22</v>
      </c>
      <c r="E31" t="s">
        <v>4917</v>
      </c>
      <c r="F31" t="s">
        <v>1046</v>
      </c>
      <c r="G31" t="s">
        <v>1047</v>
      </c>
      <c r="H31" t="s">
        <v>1047</v>
      </c>
      <c r="I31" t="s">
        <v>1048</v>
      </c>
      <c r="J31" t="s">
        <v>1049</v>
      </c>
      <c r="K31" t="s">
        <v>1050</v>
      </c>
      <c r="L31" t="s">
        <v>4918</v>
      </c>
      <c r="M31" t="s">
        <v>4919</v>
      </c>
      <c r="N31" t="s">
        <v>107</v>
      </c>
      <c r="O31" t="s">
        <v>1047</v>
      </c>
      <c r="P31" t="s">
        <v>4782</v>
      </c>
      <c r="Q31" t="s">
        <v>1048</v>
      </c>
      <c r="R31" t="s">
        <v>1049</v>
      </c>
      <c r="S31" t="s">
        <v>1050</v>
      </c>
      <c r="T31" t="s">
        <v>4796</v>
      </c>
      <c r="U31" t="s">
        <v>4805</v>
      </c>
      <c r="V31" t="s">
        <v>4806</v>
      </c>
      <c r="W31" t="s">
        <v>4786</v>
      </c>
      <c r="X31" t="s">
        <v>4807</v>
      </c>
      <c r="Y31" t="s">
        <v>4800</v>
      </c>
      <c r="Z31" t="s">
        <v>4836</v>
      </c>
      <c r="AA31" t="s">
        <v>4837</v>
      </c>
      <c r="AB31" t="s">
        <v>4838</v>
      </c>
      <c r="AC31" t="s">
        <v>66</v>
      </c>
      <c r="AD31" t="s">
        <v>66</v>
      </c>
      <c r="AE31" t="s">
        <v>66</v>
      </c>
      <c r="AF31" t="s">
        <v>4816</v>
      </c>
      <c r="AG31" t="s">
        <v>4923</v>
      </c>
      <c r="AH31" t="s">
        <v>4816</v>
      </c>
      <c r="AI31" t="s">
        <v>4923</v>
      </c>
      <c r="AJ31" t="s">
        <v>4816</v>
      </c>
      <c r="AK31" t="s">
        <v>4923</v>
      </c>
      <c r="AL31" t="s">
        <v>4792</v>
      </c>
    </row>
    <row r="32" customHeight="1" spans="1:38">
      <c r="A32" t="s">
        <v>22</v>
      </c>
      <c r="B32" t="s">
        <v>49</v>
      </c>
      <c r="C32" t="s">
        <v>51</v>
      </c>
      <c r="D32" t="s">
        <v>22</v>
      </c>
      <c r="E32" t="s">
        <v>4924</v>
      </c>
      <c r="F32" t="s">
        <v>1046</v>
      </c>
      <c r="G32" t="s">
        <v>1047</v>
      </c>
      <c r="H32" t="s">
        <v>1047</v>
      </c>
      <c r="I32" t="s">
        <v>1048</v>
      </c>
      <c r="J32" t="s">
        <v>1049</v>
      </c>
      <c r="K32" t="s">
        <v>1050</v>
      </c>
      <c r="L32" t="s">
        <v>4925</v>
      </c>
      <c r="M32" t="s">
        <v>4926</v>
      </c>
      <c r="N32" t="s">
        <v>107</v>
      </c>
      <c r="O32" t="s">
        <v>1047</v>
      </c>
      <c r="P32" t="s">
        <v>4782</v>
      </c>
      <c r="Q32" t="s">
        <v>1048</v>
      </c>
      <c r="R32" t="s">
        <v>1049</v>
      </c>
      <c r="S32" t="s">
        <v>1050</v>
      </c>
      <c r="T32" t="s">
        <v>4796</v>
      </c>
      <c r="U32" t="s">
        <v>4805</v>
      </c>
      <c r="V32" t="s">
        <v>4806</v>
      </c>
      <c r="W32" t="s">
        <v>4786</v>
      </c>
      <c r="X32" t="s">
        <v>4807</v>
      </c>
      <c r="Y32" t="s">
        <v>4800</v>
      </c>
      <c r="Z32" t="s">
        <v>4836</v>
      </c>
      <c r="AA32" t="s">
        <v>4837</v>
      </c>
      <c r="AB32" t="s">
        <v>4838</v>
      </c>
      <c r="AC32" t="s">
        <v>66</v>
      </c>
      <c r="AD32" t="s">
        <v>66</v>
      </c>
      <c r="AE32" t="s">
        <v>66</v>
      </c>
      <c r="AF32" t="s">
        <v>4927</v>
      </c>
      <c r="AG32" t="s">
        <v>4928</v>
      </c>
      <c r="AH32" t="s">
        <v>4927</v>
      </c>
      <c r="AI32" t="s">
        <v>4928</v>
      </c>
      <c r="AJ32" t="s">
        <v>4927</v>
      </c>
      <c r="AK32" t="s">
        <v>4928</v>
      </c>
      <c r="AL32" t="s">
        <v>4792</v>
      </c>
    </row>
    <row r="33" customHeight="1" spans="1:38">
      <c r="A33" t="s">
        <v>22</v>
      </c>
      <c r="B33" t="s">
        <v>49</v>
      </c>
      <c r="C33" t="s">
        <v>51</v>
      </c>
      <c r="D33" t="s">
        <v>22</v>
      </c>
      <c r="E33" t="s">
        <v>4924</v>
      </c>
      <c r="F33" t="s">
        <v>1046</v>
      </c>
      <c r="G33" t="s">
        <v>1047</v>
      </c>
      <c r="H33" t="s">
        <v>1047</v>
      </c>
      <c r="I33" t="s">
        <v>1048</v>
      </c>
      <c r="J33" t="s">
        <v>1049</v>
      </c>
      <c r="K33" t="s">
        <v>1050</v>
      </c>
      <c r="L33" t="s">
        <v>4925</v>
      </c>
      <c r="M33" t="s">
        <v>4926</v>
      </c>
      <c r="N33" t="s">
        <v>107</v>
      </c>
      <c r="O33" t="s">
        <v>1047</v>
      </c>
      <c r="P33" t="s">
        <v>4782</v>
      </c>
      <c r="Q33" t="s">
        <v>1048</v>
      </c>
      <c r="R33" t="s">
        <v>1049</v>
      </c>
      <c r="S33" t="s">
        <v>1050</v>
      </c>
      <c r="T33" t="s">
        <v>4796</v>
      </c>
      <c r="U33" t="s">
        <v>4797</v>
      </c>
      <c r="V33" t="s">
        <v>4841</v>
      </c>
      <c r="W33" t="s">
        <v>4786</v>
      </c>
      <c r="X33" t="s">
        <v>4807</v>
      </c>
      <c r="Y33" t="s">
        <v>4800</v>
      </c>
      <c r="Z33" t="s">
        <v>4929</v>
      </c>
      <c r="AA33" t="s">
        <v>4864</v>
      </c>
      <c r="AB33" t="s">
        <v>4841</v>
      </c>
      <c r="AC33" t="s">
        <v>66</v>
      </c>
      <c r="AD33" t="s">
        <v>66</v>
      </c>
      <c r="AE33" t="s">
        <v>66</v>
      </c>
      <c r="AF33" t="s">
        <v>4927</v>
      </c>
      <c r="AG33" t="s">
        <v>4930</v>
      </c>
      <c r="AH33" t="s">
        <v>4927</v>
      </c>
      <c r="AI33" t="s">
        <v>4930</v>
      </c>
      <c r="AJ33" t="s">
        <v>4927</v>
      </c>
      <c r="AK33" t="s">
        <v>4930</v>
      </c>
      <c r="AL33" t="s">
        <v>4792</v>
      </c>
    </row>
    <row r="34" customHeight="1" spans="1:38">
      <c r="A34" t="s">
        <v>22</v>
      </c>
      <c r="B34" t="s">
        <v>49</v>
      </c>
      <c r="C34" t="s">
        <v>51</v>
      </c>
      <c r="D34" t="s">
        <v>22</v>
      </c>
      <c r="E34" t="s">
        <v>1135</v>
      </c>
      <c r="F34" t="s">
        <v>1046</v>
      </c>
      <c r="G34" t="s">
        <v>1047</v>
      </c>
      <c r="H34" t="s">
        <v>1047</v>
      </c>
      <c r="I34" t="s">
        <v>1048</v>
      </c>
      <c r="J34" t="s">
        <v>1049</v>
      </c>
      <c r="K34" t="s">
        <v>1050</v>
      </c>
      <c r="L34" t="s">
        <v>1136</v>
      </c>
      <c r="M34" t="s">
        <v>1137</v>
      </c>
      <c r="N34" t="s">
        <v>107</v>
      </c>
      <c r="O34" t="s">
        <v>1047</v>
      </c>
      <c r="P34" t="s">
        <v>4782</v>
      </c>
      <c r="Q34" t="s">
        <v>1048</v>
      </c>
      <c r="R34" t="s">
        <v>1049</v>
      </c>
      <c r="S34" t="s">
        <v>1050</v>
      </c>
      <c r="T34" t="s">
        <v>4796</v>
      </c>
      <c r="U34" t="s">
        <v>4797</v>
      </c>
      <c r="V34" t="s">
        <v>4798</v>
      </c>
      <c r="W34" t="s">
        <v>4786</v>
      </c>
      <c r="X34" t="s">
        <v>4807</v>
      </c>
      <c r="Y34" t="s">
        <v>4800</v>
      </c>
      <c r="Z34" t="s">
        <v>4931</v>
      </c>
      <c r="AA34" t="s">
        <v>4864</v>
      </c>
      <c r="AB34" t="s">
        <v>4798</v>
      </c>
      <c r="AC34" t="s">
        <v>66</v>
      </c>
      <c r="AD34" t="s">
        <v>66</v>
      </c>
      <c r="AE34" t="s">
        <v>66</v>
      </c>
      <c r="AF34" t="s">
        <v>4932</v>
      </c>
      <c r="AG34" t="s">
        <v>4933</v>
      </c>
      <c r="AH34" t="s">
        <v>4932</v>
      </c>
      <c r="AI34" t="s">
        <v>4933</v>
      </c>
      <c r="AJ34" t="s">
        <v>4932</v>
      </c>
      <c r="AK34" t="s">
        <v>4933</v>
      </c>
      <c r="AL34" t="s">
        <v>4792</v>
      </c>
    </row>
    <row r="35" customHeight="1" spans="1:38">
      <c r="A35" t="s">
        <v>22</v>
      </c>
      <c r="B35" t="s">
        <v>49</v>
      </c>
      <c r="C35" t="s">
        <v>51</v>
      </c>
      <c r="D35" t="s">
        <v>22</v>
      </c>
      <c r="E35" t="s">
        <v>1135</v>
      </c>
      <c r="F35" t="s">
        <v>1046</v>
      </c>
      <c r="G35" t="s">
        <v>1047</v>
      </c>
      <c r="H35" t="s">
        <v>1047</v>
      </c>
      <c r="I35" t="s">
        <v>1048</v>
      </c>
      <c r="J35" t="s">
        <v>1049</v>
      </c>
      <c r="K35" t="s">
        <v>1050</v>
      </c>
      <c r="L35" t="s">
        <v>1136</v>
      </c>
      <c r="M35" t="s">
        <v>1137</v>
      </c>
      <c r="N35" t="s">
        <v>107</v>
      </c>
      <c r="O35" t="s">
        <v>1047</v>
      </c>
      <c r="P35" t="s">
        <v>4782</v>
      </c>
      <c r="Q35" t="s">
        <v>1048</v>
      </c>
      <c r="R35" t="s">
        <v>1049</v>
      </c>
      <c r="S35" t="s">
        <v>1050</v>
      </c>
      <c r="T35" t="s">
        <v>4796</v>
      </c>
      <c r="U35" t="s">
        <v>4805</v>
      </c>
      <c r="V35" t="s">
        <v>4806</v>
      </c>
      <c r="W35" t="s">
        <v>4786</v>
      </c>
      <c r="X35" t="s">
        <v>4828</v>
      </c>
      <c r="Y35" t="s">
        <v>4800</v>
      </c>
      <c r="Z35" t="s">
        <v>4934</v>
      </c>
      <c r="AA35" t="s">
        <v>4935</v>
      </c>
      <c r="AB35" t="s">
        <v>4936</v>
      </c>
      <c r="AC35" t="s">
        <v>66</v>
      </c>
      <c r="AD35" t="s">
        <v>66</v>
      </c>
      <c r="AE35" t="s">
        <v>66</v>
      </c>
      <c r="AF35" t="s">
        <v>4932</v>
      </c>
      <c r="AG35" t="s">
        <v>4937</v>
      </c>
      <c r="AH35" t="s">
        <v>4932</v>
      </c>
      <c r="AI35" t="s">
        <v>4937</v>
      </c>
      <c r="AJ35" t="s">
        <v>4932</v>
      </c>
      <c r="AK35" t="s">
        <v>4937</v>
      </c>
      <c r="AL35" t="s">
        <v>4792</v>
      </c>
    </row>
    <row r="36" customHeight="1" spans="1:38">
      <c r="A36" t="s">
        <v>22</v>
      </c>
      <c r="B36" t="s">
        <v>49</v>
      </c>
      <c r="C36" t="s">
        <v>51</v>
      </c>
      <c r="D36" t="s">
        <v>22</v>
      </c>
      <c r="E36" t="s">
        <v>4938</v>
      </c>
      <c r="F36" t="s">
        <v>1070</v>
      </c>
      <c r="G36" t="s">
        <v>1047</v>
      </c>
      <c r="H36" t="s">
        <v>1047</v>
      </c>
      <c r="I36" t="s">
        <v>1048</v>
      </c>
      <c r="J36" t="s">
        <v>1049</v>
      </c>
      <c r="K36" t="s">
        <v>1050</v>
      </c>
      <c r="L36" t="s">
        <v>4939</v>
      </c>
      <c r="M36" t="s">
        <v>4940</v>
      </c>
      <c r="N36" t="s">
        <v>107</v>
      </c>
      <c r="O36" t="s">
        <v>1047</v>
      </c>
      <c r="P36" t="s">
        <v>4782</v>
      </c>
      <c r="Q36" t="s">
        <v>1048</v>
      </c>
      <c r="R36" t="s">
        <v>1049</v>
      </c>
      <c r="S36" t="s">
        <v>1050</v>
      </c>
      <c r="T36" t="s">
        <v>4796</v>
      </c>
      <c r="U36" t="s">
        <v>4805</v>
      </c>
      <c r="V36" t="s">
        <v>4806</v>
      </c>
      <c r="W36" t="s">
        <v>4786</v>
      </c>
      <c r="X36" t="s">
        <v>4807</v>
      </c>
      <c r="Y36" t="s">
        <v>4800</v>
      </c>
      <c r="Z36" t="s">
        <v>4836</v>
      </c>
      <c r="AA36" t="s">
        <v>4837</v>
      </c>
      <c r="AB36" t="s">
        <v>4838</v>
      </c>
      <c r="AC36" t="s">
        <v>66</v>
      </c>
      <c r="AD36" t="s">
        <v>19</v>
      </c>
      <c r="AE36" t="s">
        <v>19</v>
      </c>
      <c r="AF36" t="s">
        <v>4839</v>
      </c>
      <c r="AG36" t="s">
        <v>4941</v>
      </c>
      <c r="AH36" t="s">
        <v>22</v>
      </c>
      <c r="AI36" t="s">
        <v>22</v>
      </c>
      <c r="AJ36" t="s">
        <v>22</v>
      </c>
      <c r="AK36" t="s">
        <v>22</v>
      </c>
      <c r="AL36" t="s">
        <v>4792</v>
      </c>
    </row>
    <row r="37" customHeight="1" spans="1:38">
      <c r="A37" t="s">
        <v>22</v>
      </c>
      <c r="B37" t="s">
        <v>49</v>
      </c>
      <c r="C37" t="s">
        <v>51</v>
      </c>
      <c r="D37" t="s">
        <v>22</v>
      </c>
      <c r="E37" t="s">
        <v>4938</v>
      </c>
      <c r="F37" t="s">
        <v>1070</v>
      </c>
      <c r="G37" t="s">
        <v>1047</v>
      </c>
      <c r="H37" t="s">
        <v>1047</v>
      </c>
      <c r="I37" t="s">
        <v>1048</v>
      </c>
      <c r="J37" t="s">
        <v>1049</v>
      </c>
      <c r="K37" t="s">
        <v>1050</v>
      </c>
      <c r="L37" t="s">
        <v>4939</v>
      </c>
      <c r="M37" t="s">
        <v>4940</v>
      </c>
      <c r="N37" t="s">
        <v>107</v>
      </c>
      <c r="O37" t="s">
        <v>1047</v>
      </c>
      <c r="P37" t="s">
        <v>4782</v>
      </c>
      <c r="Q37" t="s">
        <v>1048</v>
      </c>
      <c r="R37" t="s">
        <v>1049</v>
      </c>
      <c r="S37" t="s">
        <v>1050</v>
      </c>
      <c r="T37" t="s">
        <v>4796</v>
      </c>
      <c r="U37" t="s">
        <v>4797</v>
      </c>
      <c r="V37" t="s">
        <v>4841</v>
      </c>
      <c r="W37" t="s">
        <v>4786</v>
      </c>
      <c r="X37" t="s">
        <v>4807</v>
      </c>
      <c r="Y37" t="s">
        <v>4800</v>
      </c>
      <c r="Z37" t="s">
        <v>4847</v>
      </c>
      <c r="AA37" t="s">
        <v>4848</v>
      </c>
      <c r="AB37" t="s">
        <v>4841</v>
      </c>
      <c r="AC37" t="s">
        <v>66</v>
      </c>
      <c r="AD37" t="s">
        <v>19</v>
      </c>
      <c r="AE37" t="s">
        <v>19</v>
      </c>
      <c r="AF37" t="s">
        <v>4839</v>
      </c>
      <c r="AG37" t="s">
        <v>4942</v>
      </c>
      <c r="AH37" t="s">
        <v>22</v>
      </c>
      <c r="AI37" t="s">
        <v>22</v>
      </c>
      <c r="AJ37" t="s">
        <v>22</v>
      </c>
      <c r="AK37" t="s">
        <v>22</v>
      </c>
      <c r="AL37" t="s">
        <v>4792</v>
      </c>
    </row>
    <row r="38" customHeight="1" spans="1:38">
      <c r="A38" t="s">
        <v>22</v>
      </c>
      <c r="B38" t="s">
        <v>49</v>
      </c>
      <c r="C38" t="s">
        <v>51</v>
      </c>
      <c r="D38" t="s">
        <v>22</v>
      </c>
      <c r="E38" t="s">
        <v>1079</v>
      </c>
      <c r="F38" t="s">
        <v>1046</v>
      </c>
      <c r="G38" t="s">
        <v>1047</v>
      </c>
      <c r="H38" t="s">
        <v>1047</v>
      </c>
      <c r="I38" t="s">
        <v>1048</v>
      </c>
      <c r="J38" t="s">
        <v>1049</v>
      </c>
      <c r="K38" t="s">
        <v>1050</v>
      </c>
      <c r="L38" t="s">
        <v>1080</v>
      </c>
      <c r="M38" t="s">
        <v>1081</v>
      </c>
      <c r="N38" t="s">
        <v>107</v>
      </c>
      <c r="O38" t="s">
        <v>1047</v>
      </c>
      <c r="P38" t="s">
        <v>4782</v>
      </c>
      <c r="Q38" t="s">
        <v>1048</v>
      </c>
      <c r="R38" t="s">
        <v>1049</v>
      </c>
      <c r="S38" t="s">
        <v>1050</v>
      </c>
      <c r="T38" t="s">
        <v>4796</v>
      </c>
      <c r="U38" t="s">
        <v>4805</v>
      </c>
      <c r="V38" t="s">
        <v>4869</v>
      </c>
      <c r="W38" t="s">
        <v>4786</v>
      </c>
      <c r="X38" t="s">
        <v>4828</v>
      </c>
      <c r="Y38" t="s">
        <v>4800</v>
      </c>
      <c r="Z38" t="s">
        <v>4943</v>
      </c>
      <c r="AA38" t="s">
        <v>4944</v>
      </c>
      <c r="AB38" t="s">
        <v>4869</v>
      </c>
      <c r="AC38" t="s">
        <v>66</v>
      </c>
      <c r="AD38" t="s">
        <v>66</v>
      </c>
      <c r="AE38" t="s">
        <v>66</v>
      </c>
      <c r="AF38" t="s">
        <v>4945</v>
      </c>
      <c r="AG38" t="s">
        <v>4946</v>
      </c>
      <c r="AH38" t="s">
        <v>4945</v>
      </c>
      <c r="AI38" t="s">
        <v>4946</v>
      </c>
      <c r="AJ38" t="s">
        <v>4945</v>
      </c>
      <c r="AK38" t="s">
        <v>4946</v>
      </c>
      <c r="AL38" t="s">
        <v>4792</v>
      </c>
    </row>
    <row r="39" customHeight="1" spans="1:38">
      <c r="A39" t="s">
        <v>22</v>
      </c>
      <c r="B39" t="s">
        <v>49</v>
      </c>
      <c r="C39" t="s">
        <v>51</v>
      </c>
      <c r="D39" t="s">
        <v>22</v>
      </c>
      <c r="E39" t="s">
        <v>1079</v>
      </c>
      <c r="F39" t="s">
        <v>1046</v>
      </c>
      <c r="G39" t="s">
        <v>1047</v>
      </c>
      <c r="H39" t="s">
        <v>1047</v>
      </c>
      <c r="I39" t="s">
        <v>1048</v>
      </c>
      <c r="J39" t="s">
        <v>1049</v>
      </c>
      <c r="K39" t="s">
        <v>1050</v>
      </c>
      <c r="L39" t="s">
        <v>1080</v>
      </c>
      <c r="M39" t="s">
        <v>1081</v>
      </c>
      <c r="N39" t="s">
        <v>107</v>
      </c>
      <c r="O39" t="s">
        <v>1047</v>
      </c>
      <c r="P39" t="s">
        <v>4782</v>
      </c>
      <c r="Q39" t="s">
        <v>1048</v>
      </c>
      <c r="R39" t="s">
        <v>1049</v>
      </c>
      <c r="S39" t="s">
        <v>1050</v>
      </c>
      <c r="T39" t="s">
        <v>4796</v>
      </c>
      <c r="U39" t="s">
        <v>4797</v>
      </c>
      <c r="V39" t="s">
        <v>4841</v>
      </c>
      <c r="W39" t="s">
        <v>4786</v>
      </c>
      <c r="X39" t="s">
        <v>4807</v>
      </c>
      <c r="Y39" t="s">
        <v>4800</v>
      </c>
      <c r="Z39" t="s">
        <v>4947</v>
      </c>
      <c r="AA39" t="s">
        <v>4948</v>
      </c>
      <c r="AB39" t="s">
        <v>4841</v>
      </c>
      <c r="AC39" t="s">
        <v>66</v>
      </c>
      <c r="AD39" t="s">
        <v>66</v>
      </c>
      <c r="AE39" t="s">
        <v>66</v>
      </c>
      <c r="AF39" t="s">
        <v>4945</v>
      </c>
      <c r="AG39" t="s">
        <v>4922</v>
      </c>
      <c r="AH39" t="s">
        <v>4945</v>
      </c>
      <c r="AI39" t="s">
        <v>4922</v>
      </c>
      <c r="AJ39" t="s">
        <v>4945</v>
      </c>
      <c r="AK39" t="s">
        <v>4922</v>
      </c>
      <c r="AL39" t="s">
        <v>4792</v>
      </c>
    </row>
    <row r="40" customHeight="1" spans="1:38">
      <c r="A40" t="s">
        <v>22</v>
      </c>
      <c r="B40" t="s">
        <v>49</v>
      </c>
      <c r="C40" t="s">
        <v>51</v>
      </c>
      <c r="D40" t="s">
        <v>22</v>
      </c>
      <c r="E40" t="s">
        <v>4949</v>
      </c>
      <c r="F40" t="s">
        <v>1046</v>
      </c>
      <c r="G40" t="s">
        <v>1047</v>
      </c>
      <c r="H40" t="s">
        <v>1047</v>
      </c>
      <c r="I40" t="s">
        <v>1048</v>
      </c>
      <c r="J40" t="s">
        <v>1049</v>
      </c>
      <c r="K40" t="s">
        <v>1050</v>
      </c>
      <c r="L40" t="s">
        <v>1080</v>
      </c>
      <c r="M40" t="s">
        <v>1872</v>
      </c>
      <c r="N40" t="s">
        <v>107</v>
      </c>
      <c r="O40" t="s">
        <v>1047</v>
      </c>
      <c r="P40" t="s">
        <v>4782</v>
      </c>
      <c r="Q40" t="s">
        <v>1048</v>
      </c>
      <c r="R40" t="s">
        <v>1049</v>
      </c>
      <c r="S40" t="s">
        <v>1050</v>
      </c>
      <c r="T40" t="s">
        <v>4796</v>
      </c>
      <c r="U40" t="s">
        <v>4805</v>
      </c>
      <c r="V40" t="s">
        <v>4806</v>
      </c>
      <c r="W40" t="s">
        <v>4786</v>
      </c>
      <c r="X40" t="s">
        <v>4807</v>
      </c>
      <c r="Y40" t="s">
        <v>4800</v>
      </c>
      <c r="Z40" t="s">
        <v>4836</v>
      </c>
      <c r="AA40" t="s">
        <v>4837</v>
      </c>
      <c r="AB40" t="s">
        <v>4838</v>
      </c>
      <c r="AC40" t="s">
        <v>66</v>
      </c>
      <c r="AD40" t="s">
        <v>66</v>
      </c>
      <c r="AE40" t="s">
        <v>66</v>
      </c>
      <c r="AF40" t="s">
        <v>4950</v>
      </c>
      <c r="AG40" t="s">
        <v>4951</v>
      </c>
      <c r="AH40" t="s">
        <v>4950</v>
      </c>
      <c r="AI40" t="s">
        <v>4951</v>
      </c>
      <c r="AJ40" t="s">
        <v>4950</v>
      </c>
      <c r="AK40" t="s">
        <v>4951</v>
      </c>
      <c r="AL40" t="s">
        <v>4792</v>
      </c>
    </row>
    <row r="41" customHeight="1" spans="1:38">
      <c r="A41" t="s">
        <v>22</v>
      </c>
      <c r="B41" t="s">
        <v>49</v>
      </c>
      <c r="C41" t="s">
        <v>51</v>
      </c>
      <c r="D41" t="s">
        <v>22</v>
      </c>
      <c r="E41" t="s">
        <v>4949</v>
      </c>
      <c r="F41" t="s">
        <v>1046</v>
      </c>
      <c r="G41" t="s">
        <v>1047</v>
      </c>
      <c r="H41" t="s">
        <v>1047</v>
      </c>
      <c r="I41" t="s">
        <v>1048</v>
      </c>
      <c r="J41" t="s">
        <v>1049</v>
      </c>
      <c r="K41" t="s">
        <v>1050</v>
      </c>
      <c r="L41" t="s">
        <v>1080</v>
      </c>
      <c r="M41" t="s">
        <v>1872</v>
      </c>
      <c r="N41" t="s">
        <v>107</v>
      </c>
      <c r="O41" t="s">
        <v>1047</v>
      </c>
      <c r="P41" t="s">
        <v>4782</v>
      </c>
      <c r="Q41" t="s">
        <v>1048</v>
      </c>
      <c r="R41" t="s">
        <v>1049</v>
      </c>
      <c r="S41" t="s">
        <v>1050</v>
      </c>
      <c r="T41" t="s">
        <v>4796</v>
      </c>
      <c r="U41" t="s">
        <v>4797</v>
      </c>
      <c r="V41" t="s">
        <v>4841</v>
      </c>
      <c r="W41" t="s">
        <v>4786</v>
      </c>
      <c r="X41" t="s">
        <v>4807</v>
      </c>
      <c r="Y41" t="s">
        <v>4800</v>
      </c>
      <c r="Z41" t="s">
        <v>4847</v>
      </c>
      <c r="AA41" t="s">
        <v>4848</v>
      </c>
      <c r="AB41" t="s">
        <v>4841</v>
      </c>
      <c r="AC41" t="s">
        <v>66</v>
      </c>
      <c r="AD41" t="s">
        <v>66</v>
      </c>
      <c r="AE41" t="s">
        <v>66</v>
      </c>
      <c r="AF41" t="s">
        <v>4952</v>
      </c>
      <c r="AG41" t="s">
        <v>4953</v>
      </c>
      <c r="AH41" t="s">
        <v>4952</v>
      </c>
      <c r="AI41" t="s">
        <v>4953</v>
      </c>
      <c r="AJ41" t="s">
        <v>4952</v>
      </c>
      <c r="AK41" t="s">
        <v>4953</v>
      </c>
      <c r="AL41" t="s">
        <v>4792</v>
      </c>
    </row>
    <row r="42" customHeight="1" spans="1:38">
      <c r="A42" t="s">
        <v>22</v>
      </c>
      <c r="B42" t="s">
        <v>49</v>
      </c>
      <c r="C42" t="s">
        <v>51</v>
      </c>
      <c r="D42" t="s">
        <v>22</v>
      </c>
      <c r="E42" t="s">
        <v>4954</v>
      </c>
      <c r="F42" t="s">
        <v>1046</v>
      </c>
      <c r="G42" t="s">
        <v>1047</v>
      </c>
      <c r="H42" t="s">
        <v>1047</v>
      </c>
      <c r="I42" t="s">
        <v>1048</v>
      </c>
      <c r="J42" t="s">
        <v>1049</v>
      </c>
      <c r="K42" t="s">
        <v>1050</v>
      </c>
      <c r="L42" t="s">
        <v>4955</v>
      </c>
      <c r="M42" t="s">
        <v>4956</v>
      </c>
      <c r="N42" t="s">
        <v>107</v>
      </c>
      <c r="O42" t="s">
        <v>1047</v>
      </c>
      <c r="P42" t="s">
        <v>4782</v>
      </c>
      <c r="Q42" t="s">
        <v>1048</v>
      </c>
      <c r="R42" t="s">
        <v>1049</v>
      </c>
      <c r="S42" t="s">
        <v>1050</v>
      </c>
      <c r="T42" t="s">
        <v>4796</v>
      </c>
      <c r="U42" t="s">
        <v>4805</v>
      </c>
      <c r="V42" t="s">
        <v>4806</v>
      </c>
      <c r="W42" t="s">
        <v>4786</v>
      </c>
      <c r="X42" t="s">
        <v>4828</v>
      </c>
      <c r="Y42" t="s">
        <v>4800</v>
      </c>
      <c r="Z42" t="s">
        <v>4957</v>
      </c>
      <c r="AA42" t="s">
        <v>4958</v>
      </c>
      <c r="AB42" t="s">
        <v>4959</v>
      </c>
      <c r="AC42" t="s">
        <v>66</v>
      </c>
      <c r="AD42" t="s">
        <v>66</v>
      </c>
      <c r="AE42" t="s">
        <v>66</v>
      </c>
      <c r="AF42" t="s">
        <v>4960</v>
      </c>
      <c r="AG42" t="s">
        <v>4961</v>
      </c>
      <c r="AH42" t="s">
        <v>4960</v>
      </c>
      <c r="AI42" t="s">
        <v>4961</v>
      </c>
      <c r="AJ42" t="s">
        <v>4960</v>
      </c>
      <c r="AK42" t="s">
        <v>4961</v>
      </c>
      <c r="AL42" t="s">
        <v>4792</v>
      </c>
    </row>
    <row r="43" customHeight="1" spans="1:38">
      <c r="A43" t="s">
        <v>22</v>
      </c>
      <c r="B43" t="s">
        <v>49</v>
      </c>
      <c r="C43" t="s">
        <v>51</v>
      </c>
      <c r="D43" t="s">
        <v>22</v>
      </c>
      <c r="E43" t="s">
        <v>4954</v>
      </c>
      <c r="F43" t="s">
        <v>1046</v>
      </c>
      <c r="G43" t="s">
        <v>1047</v>
      </c>
      <c r="H43" t="s">
        <v>1047</v>
      </c>
      <c r="I43" t="s">
        <v>1048</v>
      </c>
      <c r="J43" t="s">
        <v>1049</v>
      </c>
      <c r="K43" t="s">
        <v>1050</v>
      </c>
      <c r="L43" t="s">
        <v>4955</v>
      </c>
      <c r="M43" t="s">
        <v>4956</v>
      </c>
      <c r="N43" t="s">
        <v>107</v>
      </c>
      <c r="O43" t="s">
        <v>1047</v>
      </c>
      <c r="P43" t="s">
        <v>4782</v>
      </c>
      <c r="Q43" t="s">
        <v>1048</v>
      </c>
      <c r="R43" t="s">
        <v>1049</v>
      </c>
      <c r="S43" t="s">
        <v>1050</v>
      </c>
      <c r="T43" t="s">
        <v>4796</v>
      </c>
      <c r="U43" t="s">
        <v>4797</v>
      </c>
      <c r="V43" t="s">
        <v>4798</v>
      </c>
      <c r="W43" t="s">
        <v>4786</v>
      </c>
      <c r="X43" t="s">
        <v>4807</v>
      </c>
      <c r="Y43" t="s">
        <v>4800</v>
      </c>
      <c r="Z43" t="s">
        <v>4962</v>
      </c>
      <c r="AA43" t="s">
        <v>4963</v>
      </c>
      <c r="AB43" t="s">
        <v>4798</v>
      </c>
      <c r="AC43" t="s">
        <v>66</v>
      </c>
      <c r="AD43" t="s">
        <v>66</v>
      </c>
      <c r="AE43" t="s">
        <v>66</v>
      </c>
      <c r="AF43" t="s">
        <v>4960</v>
      </c>
      <c r="AG43" t="s">
        <v>4964</v>
      </c>
      <c r="AH43" t="s">
        <v>4960</v>
      </c>
      <c r="AI43" t="s">
        <v>4964</v>
      </c>
      <c r="AJ43" t="s">
        <v>4960</v>
      </c>
      <c r="AK43" t="s">
        <v>4964</v>
      </c>
      <c r="AL43" t="s">
        <v>4792</v>
      </c>
    </row>
    <row r="44" customHeight="1" spans="1:38">
      <c r="A44" t="s">
        <v>22</v>
      </c>
      <c r="B44" t="s">
        <v>49</v>
      </c>
      <c r="C44" t="s">
        <v>51</v>
      </c>
      <c r="D44" t="s">
        <v>22</v>
      </c>
      <c r="E44" t="s">
        <v>1154</v>
      </c>
      <c r="F44" t="s">
        <v>1046</v>
      </c>
      <c r="G44" t="s">
        <v>1047</v>
      </c>
      <c r="H44" t="s">
        <v>1047</v>
      </c>
      <c r="I44" t="s">
        <v>1048</v>
      </c>
      <c r="J44" t="s">
        <v>1049</v>
      </c>
      <c r="K44" t="s">
        <v>1050</v>
      </c>
      <c r="L44" t="s">
        <v>1146</v>
      </c>
      <c r="M44" t="s">
        <v>1155</v>
      </c>
      <c r="N44" t="s">
        <v>107</v>
      </c>
      <c r="O44" t="s">
        <v>1047</v>
      </c>
      <c r="P44" t="s">
        <v>4782</v>
      </c>
      <c r="Q44" t="s">
        <v>1048</v>
      </c>
      <c r="R44" t="s">
        <v>1049</v>
      </c>
      <c r="S44" t="s">
        <v>1050</v>
      </c>
      <c r="T44" t="s">
        <v>4796</v>
      </c>
      <c r="U44" t="s">
        <v>4805</v>
      </c>
      <c r="V44" t="s">
        <v>4806</v>
      </c>
      <c r="W44" t="s">
        <v>4786</v>
      </c>
      <c r="X44" t="s">
        <v>4828</v>
      </c>
      <c r="Y44" t="s">
        <v>4800</v>
      </c>
      <c r="Z44" t="s">
        <v>4965</v>
      </c>
      <c r="AA44" t="s">
        <v>4966</v>
      </c>
      <c r="AB44" t="s">
        <v>4869</v>
      </c>
      <c r="AC44" t="s">
        <v>66</v>
      </c>
      <c r="AD44" t="s">
        <v>66</v>
      </c>
      <c r="AE44" t="s">
        <v>66</v>
      </c>
      <c r="AF44" t="s">
        <v>4967</v>
      </c>
      <c r="AG44" t="s">
        <v>4968</v>
      </c>
      <c r="AH44" t="s">
        <v>4967</v>
      </c>
      <c r="AI44" t="s">
        <v>4968</v>
      </c>
      <c r="AJ44" t="s">
        <v>4967</v>
      </c>
      <c r="AK44" t="s">
        <v>4968</v>
      </c>
      <c r="AL44" t="s">
        <v>4792</v>
      </c>
    </row>
    <row r="45" customHeight="1" spans="1:38">
      <c r="A45" t="s">
        <v>22</v>
      </c>
      <c r="B45" t="s">
        <v>49</v>
      </c>
      <c r="C45" t="s">
        <v>51</v>
      </c>
      <c r="D45" t="s">
        <v>22</v>
      </c>
      <c r="E45" t="s">
        <v>1154</v>
      </c>
      <c r="F45" t="s">
        <v>1046</v>
      </c>
      <c r="G45" t="s">
        <v>1047</v>
      </c>
      <c r="H45" t="s">
        <v>1047</v>
      </c>
      <c r="I45" t="s">
        <v>1048</v>
      </c>
      <c r="J45" t="s">
        <v>1049</v>
      </c>
      <c r="K45" t="s">
        <v>1050</v>
      </c>
      <c r="L45" t="s">
        <v>1146</v>
      </c>
      <c r="M45" t="s">
        <v>1155</v>
      </c>
      <c r="N45" t="s">
        <v>107</v>
      </c>
      <c r="O45" t="s">
        <v>1047</v>
      </c>
      <c r="P45" t="s">
        <v>4782</v>
      </c>
      <c r="Q45" t="s">
        <v>1048</v>
      </c>
      <c r="R45" t="s">
        <v>1049</v>
      </c>
      <c r="S45" t="s">
        <v>1050</v>
      </c>
      <c r="T45" t="s">
        <v>4796</v>
      </c>
      <c r="U45" t="s">
        <v>4797</v>
      </c>
      <c r="V45" t="s">
        <v>4841</v>
      </c>
      <c r="W45" t="s">
        <v>4786</v>
      </c>
      <c r="X45" t="s">
        <v>4807</v>
      </c>
      <c r="Y45" t="s">
        <v>4800</v>
      </c>
      <c r="Z45" t="s">
        <v>4969</v>
      </c>
      <c r="AA45" t="s">
        <v>4970</v>
      </c>
      <c r="AB45" t="s">
        <v>4841</v>
      </c>
      <c r="AC45" t="s">
        <v>66</v>
      </c>
      <c r="AD45" t="s">
        <v>66</v>
      </c>
      <c r="AE45" t="s">
        <v>66</v>
      </c>
      <c r="AF45" t="s">
        <v>4971</v>
      </c>
      <c r="AG45" t="s">
        <v>4972</v>
      </c>
      <c r="AH45" t="s">
        <v>4971</v>
      </c>
      <c r="AI45" t="s">
        <v>4972</v>
      </c>
      <c r="AJ45" t="s">
        <v>4971</v>
      </c>
      <c r="AK45" t="s">
        <v>4972</v>
      </c>
      <c r="AL45" t="s">
        <v>4792</v>
      </c>
    </row>
    <row r="46" customHeight="1" spans="1:38">
      <c r="A46" t="s">
        <v>22</v>
      </c>
      <c r="B46" t="s">
        <v>49</v>
      </c>
      <c r="C46" t="s">
        <v>51</v>
      </c>
      <c r="D46" t="s">
        <v>22</v>
      </c>
      <c r="E46" t="s">
        <v>4973</v>
      </c>
      <c r="F46" t="s">
        <v>1046</v>
      </c>
      <c r="G46" t="s">
        <v>1047</v>
      </c>
      <c r="H46" t="s">
        <v>1047</v>
      </c>
      <c r="I46" t="s">
        <v>1048</v>
      </c>
      <c r="J46" t="s">
        <v>1049</v>
      </c>
      <c r="K46" t="s">
        <v>1050</v>
      </c>
      <c r="L46" t="s">
        <v>4974</v>
      </c>
      <c r="M46" t="s">
        <v>4975</v>
      </c>
      <c r="N46" t="s">
        <v>107</v>
      </c>
      <c r="O46" t="s">
        <v>1047</v>
      </c>
      <c r="P46" t="s">
        <v>4782</v>
      </c>
      <c r="Q46" t="s">
        <v>1048</v>
      </c>
      <c r="R46" t="s">
        <v>1049</v>
      </c>
      <c r="S46" t="s">
        <v>1050</v>
      </c>
      <c r="T46" t="s">
        <v>4796</v>
      </c>
      <c r="U46" t="s">
        <v>4797</v>
      </c>
      <c r="V46" t="s">
        <v>4976</v>
      </c>
      <c r="W46" t="s">
        <v>4786</v>
      </c>
      <c r="X46" t="s">
        <v>4807</v>
      </c>
      <c r="Y46" t="s">
        <v>4800</v>
      </c>
      <c r="Z46" t="s">
        <v>4977</v>
      </c>
      <c r="AA46" t="s">
        <v>4978</v>
      </c>
      <c r="AB46" t="s">
        <v>4976</v>
      </c>
      <c r="AC46" t="s">
        <v>66</v>
      </c>
      <c r="AD46" t="s">
        <v>66</v>
      </c>
      <c r="AE46" t="s">
        <v>66</v>
      </c>
      <c r="AF46" t="s">
        <v>4979</v>
      </c>
      <c r="AG46" t="s">
        <v>4980</v>
      </c>
      <c r="AH46" t="s">
        <v>4979</v>
      </c>
      <c r="AI46" t="s">
        <v>4980</v>
      </c>
      <c r="AJ46" t="s">
        <v>4979</v>
      </c>
      <c r="AK46" t="s">
        <v>4980</v>
      </c>
      <c r="AL46" t="s">
        <v>4792</v>
      </c>
    </row>
    <row r="47" customHeight="1" spans="1:38">
      <c r="A47" t="s">
        <v>22</v>
      </c>
      <c r="B47" t="s">
        <v>49</v>
      </c>
      <c r="C47" t="s">
        <v>51</v>
      </c>
      <c r="D47" t="s">
        <v>22</v>
      </c>
      <c r="E47" t="s">
        <v>4973</v>
      </c>
      <c r="F47" t="s">
        <v>1046</v>
      </c>
      <c r="G47" t="s">
        <v>1047</v>
      </c>
      <c r="H47" t="s">
        <v>1047</v>
      </c>
      <c r="I47" t="s">
        <v>1048</v>
      </c>
      <c r="J47" t="s">
        <v>1049</v>
      </c>
      <c r="K47" t="s">
        <v>1050</v>
      </c>
      <c r="L47" t="s">
        <v>4974</v>
      </c>
      <c r="M47" t="s">
        <v>4975</v>
      </c>
      <c r="N47" t="s">
        <v>107</v>
      </c>
      <c r="O47" t="s">
        <v>1047</v>
      </c>
      <c r="P47" t="s">
        <v>4782</v>
      </c>
      <c r="Q47" t="s">
        <v>1048</v>
      </c>
      <c r="R47" t="s">
        <v>1049</v>
      </c>
      <c r="S47" t="s">
        <v>1050</v>
      </c>
      <c r="T47" t="s">
        <v>4796</v>
      </c>
      <c r="U47" t="s">
        <v>4805</v>
      </c>
      <c r="V47" t="s">
        <v>4806</v>
      </c>
      <c r="W47" t="s">
        <v>4786</v>
      </c>
      <c r="X47" t="s">
        <v>4828</v>
      </c>
      <c r="Y47" t="s">
        <v>4800</v>
      </c>
      <c r="Z47" t="s">
        <v>4981</v>
      </c>
      <c r="AA47" t="s">
        <v>4982</v>
      </c>
      <c r="AB47" t="s">
        <v>4983</v>
      </c>
      <c r="AC47" t="s">
        <v>66</v>
      </c>
      <c r="AD47" t="s">
        <v>66</v>
      </c>
      <c r="AE47" t="s">
        <v>66</v>
      </c>
      <c r="AF47" t="s">
        <v>4979</v>
      </c>
      <c r="AG47" t="s">
        <v>4984</v>
      </c>
      <c r="AH47" t="s">
        <v>4979</v>
      </c>
      <c r="AI47" t="s">
        <v>4984</v>
      </c>
      <c r="AJ47" t="s">
        <v>4979</v>
      </c>
      <c r="AK47" t="s">
        <v>4984</v>
      </c>
      <c r="AL47" t="s">
        <v>4792</v>
      </c>
    </row>
    <row r="48" customHeight="1" spans="1:38">
      <c r="A48" t="s">
        <v>22</v>
      </c>
      <c r="B48" t="s">
        <v>49</v>
      </c>
      <c r="C48" t="s">
        <v>51</v>
      </c>
      <c r="D48" t="s">
        <v>22</v>
      </c>
      <c r="E48" t="s">
        <v>4985</v>
      </c>
      <c r="F48" t="s">
        <v>1046</v>
      </c>
      <c r="G48" t="s">
        <v>1047</v>
      </c>
      <c r="H48" t="s">
        <v>1047</v>
      </c>
      <c r="I48" t="s">
        <v>1048</v>
      </c>
      <c r="J48" t="s">
        <v>1049</v>
      </c>
      <c r="K48" t="s">
        <v>1050</v>
      </c>
      <c r="L48" t="s">
        <v>4986</v>
      </c>
      <c r="M48" t="s">
        <v>4987</v>
      </c>
      <c r="N48" t="s">
        <v>107</v>
      </c>
      <c r="O48" t="s">
        <v>1047</v>
      </c>
      <c r="P48" t="s">
        <v>4782</v>
      </c>
      <c r="Q48" t="s">
        <v>1048</v>
      </c>
      <c r="R48" t="s">
        <v>1049</v>
      </c>
      <c r="S48" t="s">
        <v>1050</v>
      </c>
      <c r="T48" t="s">
        <v>4796</v>
      </c>
      <c r="U48" t="s">
        <v>4805</v>
      </c>
      <c r="V48" t="s">
        <v>4806</v>
      </c>
      <c r="W48" t="s">
        <v>4786</v>
      </c>
      <c r="X48" t="s">
        <v>4828</v>
      </c>
      <c r="Y48" t="s">
        <v>4800</v>
      </c>
      <c r="Z48" t="s">
        <v>4988</v>
      </c>
      <c r="AA48" t="s">
        <v>4982</v>
      </c>
      <c r="AB48" t="s">
        <v>4869</v>
      </c>
      <c r="AC48" t="s">
        <v>66</v>
      </c>
      <c r="AD48" t="s">
        <v>66</v>
      </c>
      <c r="AE48" t="s">
        <v>66</v>
      </c>
      <c r="AF48" t="s">
        <v>4989</v>
      </c>
      <c r="AG48" t="s">
        <v>4990</v>
      </c>
      <c r="AH48" t="s">
        <v>4991</v>
      </c>
      <c r="AI48" t="s">
        <v>4990</v>
      </c>
      <c r="AJ48" t="s">
        <v>4991</v>
      </c>
      <c r="AK48" t="s">
        <v>4990</v>
      </c>
      <c r="AL48" t="s">
        <v>4792</v>
      </c>
    </row>
    <row r="49" customHeight="1" spans="1:38">
      <c r="A49" t="s">
        <v>22</v>
      </c>
      <c r="B49" t="s">
        <v>49</v>
      </c>
      <c r="C49" t="s">
        <v>51</v>
      </c>
      <c r="D49" t="s">
        <v>22</v>
      </c>
      <c r="E49" t="s">
        <v>4985</v>
      </c>
      <c r="F49" t="s">
        <v>1046</v>
      </c>
      <c r="G49" t="s">
        <v>1047</v>
      </c>
      <c r="H49" t="s">
        <v>1047</v>
      </c>
      <c r="I49" t="s">
        <v>1048</v>
      </c>
      <c r="J49" t="s">
        <v>1049</v>
      </c>
      <c r="K49" t="s">
        <v>1050</v>
      </c>
      <c r="L49" t="s">
        <v>4986</v>
      </c>
      <c r="M49" t="s">
        <v>4987</v>
      </c>
      <c r="N49" t="s">
        <v>107</v>
      </c>
      <c r="O49" t="s">
        <v>1047</v>
      </c>
      <c r="P49" t="s">
        <v>4782</v>
      </c>
      <c r="Q49" t="s">
        <v>1048</v>
      </c>
      <c r="R49" t="s">
        <v>1049</v>
      </c>
      <c r="S49" t="s">
        <v>1050</v>
      </c>
      <c r="T49" t="s">
        <v>4796</v>
      </c>
      <c r="U49" t="s">
        <v>4797</v>
      </c>
      <c r="V49" t="s">
        <v>4841</v>
      </c>
      <c r="W49" t="s">
        <v>4786</v>
      </c>
      <c r="X49" t="s">
        <v>4807</v>
      </c>
      <c r="Y49" t="s">
        <v>4800</v>
      </c>
      <c r="Z49" t="s">
        <v>4992</v>
      </c>
      <c r="AA49" t="s">
        <v>4843</v>
      </c>
      <c r="AB49" t="s">
        <v>4841</v>
      </c>
      <c r="AC49" t="s">
        <v>66</v>
      </c>
      <c r="AD49" t="s">
        <v>66</v>
      </c>
      <c r="AE49" t="s">
        <v>66</v>
      </c>
      <c r="AF49" t="s">
        <v>4989</v>
      </c>
      <c r="AG49" t="s">
        <v>4993</v>
      </c>
      <c r="AH49" t="s">
        <v>4991</v>
      </c>
      <c r="AI49" t="s">
        <v>4993</v>
      </c>
      <c r="AJ49" t="s">
        <v>4991</v>
      </c>
      <c r="AK49" t="s">
        <v>4993</v>
      </c>
      <c r="AL49" t="s">
        <v>4792</v>
      </c>
    </row>
    <row r="50" customHeight="1" spans="1:38">
      <c r="A50" t="s">
        <v>22</v>
      </c>
      <c r="B50" t="s">
        <v>49</v>
      </c>
      <c r="C50" t="s">
        <v>51</v>
      </c>
      <c r="D50" t="s">
        <v>22</v>
      </c>
      <c r="E50" t="s">
        <v>4994</v>
      </c>
      <c r="F50" t="s">
        <v>1046</v>
      </c>
      <c r="G50" t="s">
        <v>1047</v>
      </c>
      <c r="H50" t="s">
        <v>1047</v>
      </c>
      <c r="I50" t="s">
        <v>1048</v>
      </c>
      <c r="J50" t="s">
        <v>1049</v>
      </c>
      <c r="K50" t="s">
        <v>1050</v>
      </c>
      <c r="L50" t="s">
        <v>4995</v>
      </c>
      <c r="M50" t="s">
        <v>4996</v>
      </c>
      <c r="N50" t="s">
        <v>107</v>
      </c>
      <c r="O50" t="s">
        <v>1047</v>
      </c>
      <c r="P50" t="s">
        <v>4782</v>
      </c>
      <c r="Q50" t="s">
        <v>1048</v>
      </c>
      <c r="R50" t="s">
        <v>1049</v>
      </c>
      <c r="S50" t="s">
        <v>1050</v>
      </c>
      <c r="T50" t="s">
        <v>4796</v>
      </c>
      <c r="U50" t="s">
        <v>4805</v>
      </c>
      <c r="V50" t="s">
        <v>4806</v>
      </c>
      <c r="W50" t="s">
        <v>4786</v>
      </c>
      <c r="X50" t="s">
        <v>4828</v>
      </c>
      <c r="Y50" t="s">
        <v>4800</v>
      </c>
      <c r="Z50" t="s">
        <v>4997</v>
      </c>
      <c r="AA50" t="s">
        <v>4935</v>
      </c>
      <c r="AB50" t="s">
        <v>4959</v>
      </c>
      <c r="AC50" t="s">
        <v>66</v>
      </c>
      <c r="AD50" t="s">
        <v>66</v>
      </c>
      <c r="AE50" t="s">
        <v>66</v>
      </c>
      <c r="AF50" t="s">
        <v>4998</v>
      </c>
      <c r="AG50" t="s">
        <v>4999</v>
      </c>
      <c r="AH50" t="s">
        <v>4998</v>
      </c>
      <c r="AI50" t="s">
        <v>4999</v>
      </c>
      <c r="AJ50" t="s">
        <v>4998</v>
      </c>
      <c r="AK50" t="s">
        <v>4999</v>
      </c>
      <c r="AL50" t="s">
        <v>4792</v>
      </c>
    </row>
    <row r="51" customHeight="1" spans="1:38">
      <c r="A51" t="s">
        <v>22</v>
      </c>
      <c r="B51" t="s">
        <v>49</v>
      </c>
      <c r="C51" t="s">
        <v>51</v>
      </c>
      <c r="D51" t="s">
        <v>22</v>
      </c>
      <c r="E51" t="s">
        <v>4994</v>
      </c>
      <c r="F51" t="s">
        <v>1046</v>
      </c>
      <c r="G51" t="s">
        <v>1047</v>
      </c>
      <c r="H51" t="s">
        <v>1047</v>
      </c>
      <c r="I51" t="s">
        <v>1048</v>
      </c>
      <c r="J51" t="s">
        <v>1049</v>
      </c>
      <c r="K51" t="s">
        <v>1050</v>
      </c>
      <c r="L51" t="s">
        <v>4995</v>
      </c>
      <c r="M51" t="s">
        <v>4996</v>
      </c>
      <c r="N51" t="s">
        <v>107</v>
      </c>
      <c r="O51" t="s">
        <v>1047</v>
      </c>
      <c r="P51" t="s">
        <v>4782</v>
      </c>
      <c r="Q51" t="s">
        <v>1048</v>
      </c>
      <c r="R51" t="s">
        <v>1049</v>
      </c>
      <c r="S51" t="s">
        <v>1050</v>
      </c>
      <c r="T51" t="s">
        <v>4796</v>
      </c>
      <c r="U51" t="s">
        <v>4797</v>
      </c>
      <c r="V51" t="s">
        <v>4798</v>
      </c>
      <c r="W51" t="s">
        <v>4786</v>
      </c>
      <c r="X51" t="s">
        <v>4807</v>
      </c>
      <c r="Y51" t="s">
        <v>4800</v>
      </c>
      <c r="Z51" t="s">
        <v>5000</v>
      </c>
      <c r="AA51" t="s">
        <v>5001</v>
      </c>
      <c r="AB51" t="s">
        <v>4798</v>
      </c>
      <c r="AC51" t="s">
        <v>66</v>
      </c>
      <c r="AD51" t="s">
        <v>66</v>
      </c>
      <c r="AE51" t="s">
        <v>66</v>
      </c>
      <c r="AF51" t="s">
        <v>4998</v>
      </c>
      <c r="AG51" t="s">
        <v>4999</v>
      </c>
      <c r="AH51" t="s">
        <v>4998</v>
      </c>
      <c r="AI51" t="s">
        <v>4999</v>
      </c>
      <c r="AJ51" t="s">
        <v>4998</v>
      </c>
      <c r="AK51" t="s">
        <v>4999</v>
      </c>
      <c r="AL51" t="s">
        <v>4792</v>
      </c>
    </row>
    <row r="52" customHeight="1" spans="1:38">
      <c r="A52" t="s">
        <v>22</v>
      </c>
      <c r="B52" t="s">
        <v>49</v>
      </c>
      <c r="C52" t="s">
        <v>51</v>
      </c>
      <c r="D52" t="s">
        <v>22</v>
      </c>
      <c r="E52" t="s">
        <v>1166</v>
      </c>
      <c r="F52" t="s">
        <v>1046</v>
      </c>
      <c r="G52" t="s">
        <v>1047</v>
      </c>
      <c r="H52" t="s">
        <v>1047</v>
      </c>
      <c r="I52" t="s">
        <v>1048</v>
      </c>
      <c r="J52" t="s">
        <v>1049</v>
      </c>
      <c r="K52" t="s">
        <v>1050</v>
      </c>
      <c r="L52" t="s">
        <v>1058</v>
      </c>
      <c r="M52" t="s">
        <v>148</v>
      </c>
      <c r="N52" t="s">
        <v>107</v>
      </c>
      <c r="O52" t="s">
        <v>1047</v>
      </c>
      <c r="P52" t="s">
        <v>4782</v>
      </c>
      <c r="Q52" t="s">
        <v>1048</v>
      </c>
      <c r="R52" t="s">
        <v>1049</v>
      </c>
      <c r="S52" t="s">
        <v>1050</v>
      </c>
      <c r="T52" t="s">
        <v>4796</v>
      </c>
      <c r="U52" t="s">
        <v>4805</v>
      </c>
      <c r="V52" t="s">
        <v>4806</v>
      </c>
      <c r="W52" t="s">
        <v>4786</v>
      </c>
      <c r="X52" t="s">
        <v>4807</v>
      </c>
      <c r="Y52" t="s">
        <v>4800</v>
      </c>
      <c r="Z52" t="s">
        <v>4836</v>
      </c>
      <c r="AA52" t="s">
        <v>4837</v>
      </c>
      <c r="AB52" t="s">
        <v>4838</v>
      </c>
      <c r="AC52" t="s">
        <v>66</v>
      </c>
      <c r="AD52" t="s">
        <v>66</v>
      </c>
      <c r="AE52" t="s">
        <v>66</v>
      </c>
      <c r="AF52" t="s">
        <v>5002</v>
      </c>
      <c r="AG52" t="s">
        <v>5003</v>
      </c>
      <c r="AH52" t="s">
        <v>5002</v>
      </c>
      <c r="AI52" t="s">
        <v>5003</v>
      </c>
      <c r="AJ52" t="s">
        <v>5002</v>
      </c>
      <c r="AK52" t="s">
        <v>5003</v>
      </c>
      <c r="AL52" t="s">
        <v>4792</v>
      </c>
    </row>
    <row r="53" customHeight="1" spans="1:38">
      <c r="A53" t="s">
        <v>22</v>
      </c>
      <c r="B53" t="s">
        <v>49</v>
      </c>
      <c r="C53" t="s">
        <v>51</v>
      </c>
      <c r="D53" t="s">
        <v>22</v>
      </c>
      <c r="E53" t="s">
        <v>1166</v>
      </c>
      <c r="F53" t="s">
        <v>1046</v>
      </c>
      <c r="G53" t="s">
        <v>1047</v>
      </c>
      <c r="H53" t="s">
        <v>1047</v>
      </c>
      <c r="I53" t="s">
        <v>1048</v>
      </c>
      <c r="J53" t="s">
        <v>1049</v>
      </c>
      <c r="K53" t="s">
        <v>1050</v>
      </c>
      <c r="L53" t="s">
        <v>1058</v>
      </c>
      <c r="M53" t="s">
        <v>148</v>
      </c>
      <c r="N53" t="s">
        <v>107</v>
      </c>
      <c r="O53" t="s">
        <v>1047</v>
      </c>
      <c r="P53" t="s">
        <v>4782</v>
      </c>
      <c r="Q53" t="s">
        <v>1048</v>
      </c>
      <c r="R53" t="s">
        <v>1049</v>
      </c>
      <c r="S53" t="s">
        <v>1050</v>
      </c>
      <c r="T53" t="s">
        <v>4796</v>
      </c>
      <c r="U53" t="s">
        <v>4797</v>
      </c>
      <c r="V53" t="s">
        <v>4798</v>
      </c>
      <c r="W53" t="s">
        <v>4786</v>
      </c>
      <c r="X53" t="s">
        <v>4807</v>
      </c>
      <c r="Y53" t="s">
        <v>4800</v>
      </c>
      <c r="Z53" t="s">
        <v>4847</v>
      </c>
      <c r="AA53" t="s">
        <v>4848</v>
      </c>
      <c r="AB53" t="s">
        <v>4798</v>
      </c>
      <c r="AC53" t="s">
        <v>66</v>
      </c>
      <c r="AD53" t="s">
        <v>66</v>
      </c>
      <c r="AE53" t="s">
        <v>66</v>
      </c>
      <c r="AF53" t="s">
        <v>5002</v>
      </c>
      <c r="AG53" t="s">
        <v>5004</v>
      </c>
      <c r="AH53" t="s">
        <v>5002</v>
      </c>
      <c r="AI53" t="s">
        <v>5004</v>
      </c>
      <c r="AJ53" t="s">
        <v>5002</v>
      </c>
      <c r="AK53" t="s">
        <v>5004</v>
      </c>
      <c r="AL53" t="s">
        <v>4792</v>
      </c>
    </row>
    <row r="54" customHeight="1" spans="1:38">
      <c r="A54" t="s">
        <v>22</v>
      </c>
      <c r="B54" t="s">
        <v>49</v>
      </c>
      <c r="C54" t="s">
        <v>51</v>
      </c>
      <c r="D54" t="s">
        <v>22</v>
      </c>
      <c r="E54" t="s">
        <v>5005</v>
      </c>
      <c r="F54" t="s">
        <v>1046</v>
      </c>
      <c r="G54" t="s">
        <v>1047</v>
      </c>
      <c r="H54" t="s">
        <v>1047</v>
      </c>
      <c r="I54" t="s">
        <v>1048</v>
      </c>
      <c r="J54" t="s">
        <v>1049</v>
      </c>
      <c r="K54" t="s">
        <v>1050</v>
      </c>
      <c r="L54" t="s">
        <v>1058</v>
      </c>
      <c r="M54" t="s">
        <v>5006</v>
      </c>
      <c r="N54" t="s">
        <v>107</v>
      </c>
      <c r="O54" t="s">
        <v>1047</v>
      </c>
      <c r="P54" t="s">
        <v>4782</v>
      </c>
      <c r="Q54" t="s">
        <v>1048</v>
      </c>
      <c r="R54" t="s">
        <v>1049</v>
      </c>
      <c r="S54" t="s">
        <v>1050</v>
      </c>
      <c r="T54" t="s">
        <v>4796</v>
      </c>
      <c r="U54" t="s">
        <v>4797</v>
      </c>
      <c r="V54" t="s">
        <v>4798</v>
      </c>
      <c r="W54" t="s">
        <v>4786</v>
      </c>
      <c r="X54" t="s">
        <v>4807</v>
      </c>
      <c r="Y54" t="s">
        <v>4800</v>
      </c>
      <c r="Z54" t="s">
        <v>5007</v>
      </c>
      <c r="AA54" t="s">
        <v>4889</v>
      </c>
      <c r="AB54" t="s">
        <v>4798</v>
      </c>
      <c r="AC54" t="s">
        <v>66</v>
      </c>
      <c r="AD54" t="s">
        <v>66</v>
      </c>
      <c r="AE54" t="s">
        <v>66</v>
      </c>
      <c r="AF54" t="s">
        <v>5008</v>
      </c>
      <c r="AG54" t="s">
        <v>5009</v>
      </c>
      <c r="AH54" t="s">
        <v>5008</v>
      </c>
      <c r="AI54" t="s">
        <v>5009</v>
      </c>
      <c r="AJ54" t="s">
        <v>5008</v>
      </c>
      <c r="AK54" t="s">
        <v>5009</v>
      </c>
      <c r="AL54" t="s">
        <v>4792</v>
      </c>
    </row>
    <row r="55" customHeight="1" spans="1:38">
      <c r="A55" t="s">
        <v>22</v>
      </c>
      <c r="B55" t="s">
        <v>49</v>
      </c>
      <c r="C55" t="s">
        <v>51</v>
      </c>
      <c r="D55" t="s">
        <v>22</v>
      </c>
      <c r="E55" t="s">
        <v>5005</v>
      </c>
      <c r="F55" t="s">
        <v>1046</v>
      </c>
      <c r="G55" t="s">
        <v>1047</v>
      </c>
      <c r="H55" t="s">
        <v>1047</v>
      </c>
      <c r="I55" t="s">
        <v>1048</v>
      </c>
      <c r="J55" t="s">
        <v>1049</v>
      </c>
      <c r="K55" t="s">
        <v>1050</v>
      </c>
      <c r="L55" t="s">
        <v>1058</v>
      </c>
      <c r="M55" t="s">
        <v>5006</v>
      </c>
      <c r="N55" t="s">
        <v>107</v>
      </c>
      <c r="O55" t="s">
        <v>1047</v>
      </c>
      <c r="P55" t="s">
        <v>4782</v>
      </c>
      <c r="Q55" t="s">
        <v>1048</v>
      </c>
      <c r="R55" t="s">
        <v>1049</v>
      </c>
      <c r="S55" t="s">
        <v>1050</v>
      </c>
      <c r="T55" t="s">
        <v>4796</v>
      </c>
      <c r="U55" t="s">
        <v>4805</v>
      </c>
      <c r="V55" t="s">
        <v>4806</v>
      </c>
      <c r="W55" t="s">
        <v>4786</v>
      </c>
      <c r="X55" t="s">
        <v>4807</v>
      </c>
      <c r="Y55" t="s">
        <v>4800</v>
      </c>
      <c r="Z55" t="s">
        <v>5010</v>
      </c>
      <c r="AA55" t="s">
        <v>5011</v>
      </c>
      <c r="AB55" t="s">
        <v>4959</v>
      </c>
      <c r="AC55" t="s">
        <v>66</v>
      </c>
      <c r="AD55" t="s">
        <v>66</v>
      </c>
      <c r="AE55" t="s">
        <v>66</v>
      </c>
      <c r="AF55" t="s">
        <v>5012</v>
      </c>
      <c r="AG55" t="s">
        <v>5013</v>
      </c>
      <c r="AH55" t="s">
        <v>5012</v>
      </c>
      <c r="AI55" t="s">
        <v>5013</v>
      </c>
      <c r="AJ55" t="s">
        <v>5012</v>
      </c>
      <c r="AK55" t="s">
        <v>5013</v>
      </c>
      <c r="AL55" t="s">
        <v>4792</v>
      </c>
    </row>
    <row r="56" customHeight="1" spans="1:38">
      <c r="A56" t="s">
        <v>22</v>
      </c>
      <c r="B56" t="s">
        <v>49</v>
      </c>
      <c r="C56" t="s">
        <v>51</v>
      </c>
      <c r="D56" t="s">
        <v>22</v>
      </c>
      <c r="E56" t="s">
        <v>5014</v>
      </c>
      <c r="F56" t="s">
        <v>1046</v>
      </c>
      <c r="G56" t="s">
        <v>1047</v>
      </c>
      <c r="H56" t="s">
        <v>1047</v>
      </c>
      <c r="I56" t="s">
        <v>1048</v>
      </c>
      <c r="J56" t="s">
        <v>1049</v>
      </c>
      <c r="K56" t="s">
        <v>1050</v>
      </c>
      <c r="L56" t="s">
        <v>1058</v>
      </c>
      <c r="M56" t="s">
        <v>1105</v>
      </c>
      <c r="N56" t="s">
        <v>107</v>
      </c>
      <c r="O56" t="s">
        <v>1047</v>
      </c>
      <c r="P56" t="s">
        <v>4782</v>
      </c>
      <c r="Q56" t="s">
        <v>1048</v>
      </c>
      <c r="R56" t="s">
        <v>1049</v>
      </c>
      <c r="S56" t="s">
        <v>1050</v>
      </c>
      <c r="T56" t="s">
        <v>4796</v>
      </c>
      <c r="U56" t="s">
        <v>4797</v>
      </c>
      <c r="V56" t="s">
        <v>4798</v>
      </c>
      <c r="W56" t="s">
        <v>4786</v>
      </c>
      <c r="X56" t="s">
        <v>4807</v>
      </c>
      <c r="Y56" t="s">
        <v>4800</v>
      </c>
      <c r="Z56" t="s">
        <v>4847</v>
      </c>
      <c r="AA56" t="s">
        <v>4848</v>
      </c>
      <c r="AB56" t="s">
        <v>4798</v>
      </c>
      <c r="AC56" t="s">
        <v>66</v>
      </c>
      <c r="AD56" t="s">
        <v>66</v>
      </c>
      <c r="AE56" t="s">
        <v>66</v>
      </c>
      <c r="AF56" t="s">
        <v>5015</v>
      </c>
      <c r="AG56" t="s">
        <v>5016</v>
      </c>
      <c r="AH56" t="s">
        <v>5015</v>
      </c>
      <c r="AI56" t="s">
        <v>5016</v>
      </c>
      <c r="AJ56" t="s">
        <v>5015</v>
      </c>
      <c r="AK56" t="s">
        <v>5016</v>
      </c>
      <c r="AL56" t="s">
        <v>4792</v>
      </c>
    </row>
    <row r="57" customHeight="1" spans="1:38">
      <c r="A57" t="s">
        <v>22</v>
      </c>
      <c r="B57" t="s">
        <v>49</v>
      </c>
      <c r="C57" t="s">
        <v>51</v>
      </c>
      <c r="D57" t="s">
        <v>22</v>
      </c>
      <c r="E57" t="s">
        <v>5014</v>
      </c>
      <c r="F57" t="s">
        <v>1046</v>
      </c>
      <c r="G57" t="s">
        <v>1047</v>
      </c>
      <c r="H57" t="s">
        <v>1047</v>
      </c>
      <c r="I57" t="s">
        <v>1048</v>
      </c>
      <c r="J57" t="s">
        <v>1049</v>
      </c>
      <c r="K57" t="s">
        <v>1050</v>
      </c>
      <c r="L57" t="s">
        <v>1058</v>
      </c>
      <c r="M57" t="s">
        <v>1105</v>
      </c>
      <c r="N57" t="s">
        <v>107</v>
      </c>
      <c r="O57" t="s">
        <v>1047</v>
      </c>
      <c r="P57" t="s">
        <v>4782</v>
      </c>
      <c r="Q57" t="s">
        <v>1048</v>
      </c>
      <c r="R57" t="s">
        <v>1049</v>
      </c>
      <c r="S57" t="s">
        <v>1050</v>
      </c>
      <c r="T57" t="s">
        <v>4796</v>
      </c>
      <c r="U57" t="s">
        <v>4805</v>
      </c>
      <c r="V57" t="s">
        <v>4806</v>
      </c>
      <c r="W57" t="s">
        <v>4786</v>
      </c>
      <c r="X57" t="s">
        <v>4807</v>
      </c>
      <c r="Y57" t="s">
        <v>4800</v>
      </c>
      <c r="Z57" t="s">
        <v>5017</v>
      </c>
      <c r="AA57" t="s">
        <v>5018</v>
      </c>
      <c r="AB57" t="s">
        <v>5019</v>
      </c>
      <c r="AC57" t="s">
        <v>66</v>
      </c>
      <c r="AD57" t="s">
        <v>66</v>
      </c>
      <c r="AE57" t="s">
        <v>66</v>
      </c>
      <c r="AF57" t="s">
        <v>5015</v>
      </c>
      <c r="AG57" t="s">
        <v>5020</v>
      </c>
      <c r="AH57" t="s">
        <v>5015</v>
      </c>
      <c r="AI57" t="s">
        <v>5020</v>
      </c>
      <c r="AJ57" t="s">
        <v>5015</v>
      </c>
      <c r="AK57" t="s">
        <v>5020</v>
      </c>
      <c r="AL57" t="s">
        <v>4792</v>
      </c>
    </row>
    <row r="58" customHeight="1" spans="1:38">
      <c r="A58" t="s">
        <v>22</v>
      </c>
      <c r="B58" t="s">
        <v>49</v>
      </c>
      <c r="C58" t="s">
        <v>51</v>
      </c>
      <c r="D58" t="s">
        <v>22</v>
      </c>
      <c r="E58" t="s">
        <v>5021</v>
      </c>
      <c r="F58" t="s">
        <v>1046</v>
      </c>
      <c r="G58" t="s">
        <v>1047</v>
      </c>
      <c r="H58" t="s">
        <v>1047</v>
      </c>
      <c r="I58" t="s">
        <v>1048</v>
      </c>
      <c r="J58" t="s">
        <v>1049</v>
      </c>
      <c r="K58" t="s">
        <v>1050</v>
      </c>
      <c r="L58" t="s">
        <v>1058</v>
      </c>
      <c r="M58" t="s">
        <v>1129</v>
      </c>
      <c r="N58" t="s">
        <v>107</v>
      </c>
      <c r="O58" t="s">
        <v>1047</v>
      </c>
      <c r="P58" t="s">
        <v>4782</v>
      </c>
      <c r="Q58" t="s">
        <v>1048</v>
      </c>
      <c r="R58" t="s">
        <v>1049</v>
      </c>
      <c r="S58" t="s">
        <v>1050</v>
      </c>
      <c r="T58" t="s">
        <v>4796</v>
      </c>
      <c r="U58" t="s">
        <v>4805</v>
      </c>
      <c r="V58" t="s">
        <v>4806</v>
      </c>
      <c r="W58" t="s">
        <v>4786</v>
      </c>
      <c r="X58" t="s">
        <v>4807</v>
      </c>
      <c r="Y58" t="s">
        <v>4800</v>
      </c>
      <c r="Z58" t="s">
        <v>4836</v>
      </c>
      <c r="AA58" t="s">
        <v>4837</v>
      </c>
      <c r="AB58" t="s">
        <v>4838</v>
      </c>
      <c r="AC58" t="s">
        <v>66</v>
      </c>
      <c r="AD58" t="s">
        <v>66</v>
      </c>
      <c r="AE58" t="s">
        <v>66</v>
      </c>
      <c r="AF58" t="s">
        <v>5022</v>
      </c>
      <c r="AG58" t="s">
        <v>5023</v>
      </c>
      <c r="AH58" t="s">
        <v>5022</v>
      </c>
      <c r="AI58" t="s">
        <v>5023</v>
      </c>
      <c r="AJ58" t="s">
        <v>5022</v>
      </c>
      <c r="AK58" t="s">
        <v>5023</v>
      </c>
      <c r="AL58" t="s">
        <v>4792</v>
      </c>
    </row>
    <row r="59" customHeight="1" spans="1:38">
      <c r="A59" t="s">
        <v>22</v>
      </c>
      <c r="B59" t="s">
        <v>49</v>
      </c>
      <c r="C59" t="s">
        <v>51</v>
      </c>
      <c r="D59" t="s">
        <v>22</v>
      </c>
      <c r="E59" t="s">
        <v>5021</v>
      </c>
      <c r="F59" t="s">
        <v>1046</v>
      </c>
      <c r="G59" t="s">
        <v>1047</v>
      </c>
      <c r="H59" t="s">
        <v>1047</v>
      </c>
      <c r="I59" t="s">
        <v>1048</v>
      </c>
      <c r="J59" t="s">
        <v>1049</v>
      </c>
      <c r="K59" t="s">
        <v>1050</v>
      </c>
      <c r="L59" t="s">
        <v>1058</v>
      </c>
      <c r="M59" t="s">
        <v>1129</v>
      </c>
      <c r="N59" t="s">
        <v>107</v>
      </c>
      <c r="O59" t="s">
        <v>1047</v>
      </c>
      <c r="P59" t="s">
        <v>4782</v>
      </c>
      <c r="Q59" t="s">
        <v>1048</v>
      </c>
      <c r="R59" t="s">
        <v>1049</v>
      </c>
      <c r="S59" t="s">
        <v>1050</v>
      </c>
      <c r="T59" t="s">
        <v>4796</v>
      </c>
      <c r="U59" t="s">
        <v>4797</v>
      </c>
      <c r="V59" t="s">
        <v>4798</v>
      </c>
      <c r="W59" t="s">
        <v>4786</v>
      </c>
      <c r="X59" t="s">
        <v>4807</v>
      </c>
      <c r="Y59" t="s">
        <v>4800</v>
      </c>
      <c r="Z59" t="s">
        <v>4847</v>
      </c>
      <c r="AA59" t="s">
        <v>4848</v>
      </c>
      <c r="AB59" t="s">
        <v>4798</v>
      </c>
      <c r="AC59" t="s">
        <v>66</v>
      </c>
      <c r="AD59" t="s">
        <v>66</v>
      </c>
      <c r="AE59" t="s">
        <v>66</v>
      </c>
      <c r="AF59" t="s">
        <v>5022</v>
      </c>
      <c r="AG59" t="s">
        <v>5024</v>
      </c>
      <c r="AH59" t="s">
        <v>5022</v>
      </c>
      <c r="AI59" t="s">
        <v>5024</v>
      </c>
      <c r="AJ59" t="s">
        <v>5022</v>
      </c>
      <c r="AK59" t="s">
        <v>5024</v>
      </c>
      <c r="AL59" t="s">
        <v>4792</v>
      </c>
    </row>
    <row r="60" customHeight="1" spans="1:38">
      <c r="A60" t="s">
        <v>22</v>
      </c>
      <c r="B60" t="s">
        <v>49</v>
      </c>
      <c r="C60" t="s">
        <v>51</v>
      </c>
      <c r="D60" t="s">
        <v>22</v>
      </c>
      <c r="E60" t="s">
        <v>5025</v>
      </c>
      <c r="F60" t="s">
        <v>1046</v>
      </c>
      <c r="G60" t="s">
        <v>1047</v>
      </c>
      <c r="H60" t="s">
        <v>1047</v>
      </c>
      <c r="I60" t="s">
        <v>1048</v>
      </c>
      <c r="J60" t="s">
        <v>1049</v>
      </c>
      <c r="K60" t="s">
        <v>1050</v>
      </c>
      <c r="L60" t="s">
        <v>1058</v>
      </c>
      <c r="M60" t="s">
        <v>1161</v>
      </c>
      <c r="N60" t="s">
        <v>107</v>
      </c>
      <c r="O60" t="s">
        <v>1047</v>
      </c>
      <c r="P60" t="s">
        <v>4782</v>
      </c>
      <c r="Q60" t="s">
        <v>1048</v>
      </c>
      <c r="R60" t="s">
        <v>1049</v>
      </c>
      <c r="S60" t="s">
        <v>1050</v>
      </c>
      <c r="T60" t="s">
        <v>4796</v>
      </c>
      <c r="U60" t="s">
        <v>4797</v>
      </c>
      <c r="V60" t="s">
        <v>4798</v>
      </c>
      <c r="W60" t="s">
        <v>4786</v>
      </c>
      <c r="X60" t="s">
        <v>4807</v>
      </c>
      <c r="Y60" t="s">
        <v>4800</v>
      </c>
      <c r="Z60" t="s">
        <v>4847</v>
      </c>
      <c r="AA60" t="s">
        <v>4848</v>
      </c>
      <c r="AB60" t="s">
        <v>4798</v>
      </c>
      <c r="AC60" t="s">
        <v>66</v>
      </c>
      <c r="AD60" t="s">
        <v>66</v>
      </c>
      <c r="AE60" t="s">
        <v>66</v>
      </c>
      <c r="AF60" t="s">
        <v>5026</v>
      </c>
      <c r="AG60" t="s">
        <v>5027</v>
      </c>
      <c r="AH60" t="s">
        <v>5026</v>
      </c>
      <c r="AI60" t="s">
        <v>5027</v>
      </c>
      <c r="AJ60" t="s">
        <v>5026</v>
      </c>
      <c r="AK60" t="s">
        <v>5027</v>
      </c>
      <c r="AL60" t="s">
        <v>4792</v>
      </c>
    </row>
    <row r="61" customHeight="1" spans="1:38">
      <c r="A61" t="s">
        <v>22</v>
      </c>
      <c r="B61" t="s">
        <v>49</v>
      </c>
      <c r="C61" t="s">
        <v>51</v>
      </c>
      <c r="D61" t="s">
        <v>22</v>
      </c>
      <c r="E61" t="s">
        <v>5028</v>
      </c>
      <c r="F61" t="s">
        <v>1046</v>
      </c>
      <c r="G61" t="s">
        <v>1047</v>
      </c>
      <c r="H61" t="s">
        <v>1047</v>
      </c>
      <c r="I61" t="s">
        <v>1048</v>
      </c>
      <c r="J61" t="s">
        <v>1049</v>
      </c>
      <c r="K61" t="s">
        <v>1050</v>
      </c>
      <c r="L61" t="s">
        <v>1058</v>
      </c>
      <c r="M61" t="s">
        <v>1167</v>
      </c>
      <c r="N61" t="s">
        <v>107</v>
      </c>
      <c r="O61" t="s">
        <v>1047</v>
      </c>
      <c r="P61" t="s">
        <v>4782</v>
      </c>
      <c r="Q61" t="s">
        <v>1048</v>
      </c>
      <c r="R61" t="s">
        <v>1049</v>
      </c>
      <c r="S61" t="s">
        <v>1050</v>
      </c>
      <c r="T61" t="s">
        <v>4796</v>
      </c>
      <c r="U61" t="s">
        <v>4805</v>
      </c>
      <c r="V61" t="s">
        <v>4806</v>
      </c>
      <c r="W61" t="s">
        <v>4786</v>
      </c>
      <c r="X61" t="s">
        <v>4807</v>
      </c>
      <c r="Y61" t="s">
        <v>4800</v>
      </c>
      <c r="Z61" t="s">
        <v>4836</v>
      </c>
      <c r="AA61" t="s">
        <v>4837</v>
      </c>
      <c r="AB61" t="s">
        <v>4838</v>
      </c>
      <c r="AC61" t="s">
        <v>66</v>
      </c>
      <c r="AD61" t="s">
        <v>66</v>
      </c>
      <c r="AE61" t="s">
        <v>66</v>
      </c>
      <c r="AF61" t="s">
        <v>4839</v>
      </c>
      <c r="AG61" t="s">
        <v>5029</v>
      </c>
      <c r="AH61" t="s">
        <v>4839</v>
      </c>
      <c r="AI61" t="s">
        <v>5029</v>
      </c>
      <c r="AJ61" t="s">
        <v>4839</v>
      </c>
      <c r="AK61" t="s">
        <v>5029</v>
      </c>
      <c r="AL61" t="s">
        <v>4792</v>
      </c>
    </row>
    <row r="62" customHeight="1" spans="1:38">
      <c r="A62" t="s">
        <v>22</v>
      </c>
      <c r="B62" t="s">
        <v>49</v>
      </c>
      <c r="C62" t="s">
        <v>51</v>
      </c>
      <c r="D62" t="s">
        <v>22</v>
      </c>
      <c r="E62" t="s">
        <v>5028</v>
      </c>
      <c r="F62" t="s">
        <v>1046</v>
      </c>
      <c r="G62" t="s">
        <v>1047</v>
      </c>
      <c r="H62" t="s">
        <v>1047</v>
      </c>
      <c r="I62" t="s">
        <v>1048</v>
      </c>
      <c r="J62" t="s">
        <v>1049</v>
      </c>
      <c r="K62" t="s">
        <v>1050</v>
      </c>
      <c r="L62" t="s">
        <v>1058</v>
      </c>
      <c r="M62" t="s">
        <v>1167</v>
      </c>
      <c r="N62" t="s">
        <v>107</v>
      </c>
      <c r="O62" t="s">
        <v>1047</v>
      </c>
      <c r="P62" t="s">
        <v>4782</v>
      </c>
      <c r="Q62" t="s">
        <v>1048</v>
      </c>
      <c r="R62" t="s">
        <v>1049</v>
      </c>
      <c r="S62" t="s">
        <v>1050</v>
      </c>
      <c r="T62" t="s">
        <v>4796</v>
      </c>
      <c r="U62" t="s">
        <v>4797</v>
      </c>
      <c r="V62" t="s">
        <v>4798</v>
      </c>
      <c r="W62" t="s">
        <v>4786</v>
      </c>
      <c r="X62" t="s">
        <v>4807</v>
      </c>
      <c r="Y62" t="s">
        <v>4800</v>
      </c>
      <c r="Z62" t="s">
        <v>5030</v>
      </c>
      <c r="AA62" t="s">
        <v>4889</v>
      </c>
      <c r="AB62" t="s">
        <v>4798</v>
      </c>
      <c r="AC62" t="s">
        <v>66</v>
      </c>
      <c r="AD62" t="s">
        <v>66</v>
      </c>
      <c r="AE62" t="s">
        <v>66</v>
      </c>
      <c r="AF62" t="s">
        <v>4839</v>
      </c>
      <c r="AG62" t="s">
        <v>5031</v>
      </c>
      <c r="AH62" t="s">
        <v>4839</v>
      </c>
      <c r="AI62" t="s">
        <v>5031</v>
      </c>
      <c r="AJ62" t="s">
        <v>4839</v>
      </c>
      <c r="AK62" t="s">
        <v>5031</v>
      </c>
      <c r="AL62" t="s">
        <v>4792</v>
      </c>
    </row>
    <row r="63" customHeight="1" spans="1:38">
      <c r="A63" t="s">
        <v>22</v>
      </c>
      <c r="B63" t="s">
        <v>49</v>
      </c>
      <c r="C63" t="s">
        <v>51</v>
      </c>
      <c r="D63" t="s">
        <v>22</v>
      </c>
      <c r="E63" t="s">
        <v>5032</v>
      </c>
      <c r="F63" t="s">
        <v>1046</v>
      </c>
      <c r="G63" t="s">
        <v>1047</v>
      </c>
      <c r="H63" t="s">
        <v>1047</v>
      </c>
      <c r="I63" t="s">
        <v>1048</v>
      </c>
      <c r="J63" t="s">
        <v>1049</v>
      </c>
      <c r="K63" t="s">
        <v>1050</v>
      </c>
      <c r="L63" t="s">
        <v>1058</v>
      </c>
      <c r="M63" t="s">
        <v>1817</v>
      </c>
      <c r="N63" t="s">
        <v>107</v>
      </c>
      <c r="O63" t="s">
        <v>1047</v>
      </c>
      <c r="P63" t="s">
        <v>4782</v>
      </c>
      <c r="Q63" t="s">
        <v>1048</v>
      </c>
      <c r="R63" t="s">
        <v>1049</v>
      </c>
      <c r="S63" t="s">
        <v>1050</v>
      </c>
      <c r="T63" t="s">
        <v>4796</v>
      </c>
      <c r="U63" t="s">
        <v>4797</v>
      </c>
      <c r="V63" t="s">
        <v>4798</v>
      </c>
      <c r="W63" t="s">
        <v>4786</v>
      </c>
      <c r="X63" t="s">
        <v>4807</v>
      </c>
      <c r="Y63" t="s">
        <v>4800</v>
      </c>
      <c r="Z63" t="s">
        <v>4847</v>
      </c>
      <c r="AA63" t="s">
        <v>4848</v>
      </c>
      <c r="AB63" t="s">
        <v>4798</v>
      </c>
      <c r="AC63" t="s">
        <v>66</v>
      </c>
      <c r="AD63" t="s">
        <v>66</v>
      </c>
      <c r="AE63" t="s">
        <v>66</v>
      </c>
      <c r="AF63" t="s">
        <v>5033</v>
      </c>
      <c r="AG63" t="s">
        <v>5034</v>
      </c>
      <c r="AH63" t="s">
        <v>5033</v>
      </c>
      <c r="AI63" t="s">
        <v>5034</v>
      </c>
      <c r="AJ63" t="s">
        <v>5033</v>
      </c>
      <c r="AK63" t="s">
        <v>5034</v>
      </c>
      <c r="AL63" t="s">
        <v>4792</v>
      </c>
    </row>
    <row r="64" customHeight="1" spans="1:38">
      <c r="A64" t="s">
        <v>22</v>
      </c>
      <c r="B64" t="s">
        <v>49</v>
      </c>
      <c r="C64" t="s">
        <v>51</v>
      </c>
      <c r="D64" t="s">
        <v>22</v>
      </c>
      <c r="E64" t="s">
        <v>5032</v>
      </c>
      <c r="F64" t="s">
        <v>1046</v>
      </c>
      <c r="G64" t="s">
        <v>1047</v>
      </c>
      <c r="H64" t="s">
        <v>1047</v>
      </c>
      <c r="I64" t="s">
        <v>1048</v>
      </c>
      <c r="J64" t="s">
        <v>1049</v>
      </c>
      <c r="K64" t="s">
        <v>1050</v>
      </c>
      <c r="L64" t="s">
        <v>1058</v>
      </c>
      <c r="M64" t="s">
        <v>1817</v>
      </c>
      <c r="N64" t="s">
        <v>107</v>
      </c>
      <c r="O64" t="s">
        <v>1047</v>
      </c>
      <c r="P64" t="s">
        <v>4782</v>
      </c>
      <c r="Q64" t="s">
        <v>1048</v>
      </c>
      <c r="R64" t="s">
        <v>1049</v>
      </c>
      <c r="S64" t="s">
        <v>1050</v>
      </c>
      <c r="T64" t="s">
        <v>4796</v>
      </c>
      <c r="U64" t="s">
        <v>4805</v>
      </c>
      <c r="V64" t="s">
        <v>4806</v>
      </c>
      <c r="W64" t="s">
        <v>4786</v>
      </c>
      <c r="X64" t="s">
        <v>4807</v>
      </c>
      <c r="Y64" t="s">
        <v>4800</v>
      </c>
      <c r="Z64" t="s">
        <v>4836</v>
      </c>
      <c r="AA64" t="s">
        <v>4837</v>
      </c>
      <c r="AB64" t="s">
        <v>4838</v>
      </c>
      <c r="AC64" t="s">
        <v>66</v>
      </c>
      <c r="AD64" t="s">
        <v>66</v>
      </c>
      <c r="AE64" t="s">
        <v>66</v>
      </c>
      <c r="AF64" t="s">
        <v>5033</v>
      </c>
      <c r="AG64" t="s">
        <v>5035</v>
      </c>
      <c r="AH64" t="s">
        <v>5033</v>
      </c>
      <c r="AI64" t="s">
        <v>5035</v>
      </c>
      <c r="AJ64" t="s">
        <v>5033</v>
      </c>
      <c r="AK64" t="s">
        <v>5035</v>
      </c>
      <c r="AL64" t="s">
        <v>4792</v>
      </c>
    </row>
    <row r="65" customHeight="1" spans="1:38">
      <c r="A65" t="s">
        <v>22</v>
      </c>
      <c r="B65" t="s">
        <v>49</v>
      </c>
      <c r="C65" t="s">
        <v>51</v>
      </c>
      <c r="D65" t="s">
        <v>22</v>
      </c>
      <c r="E65" t="s">
        <v>1057</v>
      </c>
      <c r="F65" t="s">
        <v>1046</v>
      </c>
      <c r="G65" t="s">
        <v>1047</v>
      </c>
      <c r="H65" t="s">
        <v>1047</v>
      </c>
      <c r="I65" t="s">
        <v>1048</v>
      </c>
      <c r="J65" t="s">
        <v>1049</v>
      </c>
      <c r="K65" t="s">
        <v>1050</v>
      </c>
      <c r="L65" t="s">
        <v>1058</v>
      </c>
      <c r="M65" t="s">
        <v>1059</v>
      </c>
      <c r="N65" t="s">
        <v>107</v>
      </c>
      <c r="O65" t="s">
        <v>1047</v>
      </c>
      <c r="P65" t="s">
        <v>4782</v>
      </c>
      <c r="Q65" t="s">
        <v>1048</v>
      </c>
      <c r="R65" t="s">
        <v>1049</v>
      </c>
      <c r="S65" t="s">
        <v>1050</v>
      </c>
      <c r="T65" t="s">
        <v>4796</v>
      </c>
      <c r="U65" t="s">
        <v>4805</v>
      </c>
      <c r="V65" t="s">
        <v>4806</v>
      </c>
      <c r="W65" t="s">
        <v>4786</v>
      </c>
      <c r="X65" t="s">
        <v>4807</v>
      </c>
      <c r="Y65" t="s">
        <v>4800</v>
      </c>
      <c r="Z65" t="s">
        <v>4836</v>
      </c>
      <c r="AA65" t="s">
        <v>4837</v>
      </c>
      <c r="AB65" t="s">
        <v>4838</v>
      </c>
      <c r="AC65" t="s">
        <v>66</v>
      </c>
      <c r="AD65" t="s">
        <v>66</v>
      </c>
      <c r="AE65" t="s">
        <v>66</v>
      </c>
      <c r="AF65" t="s">
        <v>5036</v>
      </c>
      <c r="AG65" t="s">
        <v>5037</v>
      </c>
      <c r="AH65" t="s">
        <v>5036</v>
      </c>
      <c r="AI65" t="s">
        <v>5037</v>
      </c>
      <c r="AJ65" t="s">
        <v>5036</v>
      </c>
      <c r="AK65" t="s">
        <v>5037</v>
      </c>
      <c r="AL65" t="s">
        <v>4792</v>
      </c>
    </row>
    <row r="66" customHeight="1" spans="1:38">
      <c r="A66" t="s">
        <v>22</v>
      </c>
      <c r="B66" t="s">
        <v>49</v>
      </c>
      <c r="C66" t="s">
        <v>51</v>
      </c>
      <c r="D66" t="s">
        <v>22</v>
      </c>
      <c r="E66" t="s">
        <v>1057</v>
      </c>
      <c r="F66" t="s">
        <v>1046</v>
      </c>
      <c r="G66" t="s">
        <v>1047</v>
      </c>
      <c r="H66" t="s">
        <v>1047</v>
      </c>
      <c r="I66" t="s">
        <v>1048</v>
      </c>
      <c r="J66" t="s">
        <v>1049</v>
      </c>
      <c r="K66" t="s">
        <v>1050</v>
      </c>
      <c r="L66" t="s">
        <v>1058</v>
      </c>
      <c r="M66" t="s">
        <v>1059</v>
      </c>
      <c r="N66" t="s">
        <v>107</v>
      </c>
      <c r="O66" t="s">
        <v>1047</v>
      </c>
      <c r="P66" t="s">
        <v>4782</v>
      </c>
      <c r="Q66" t="s">
        <v>1048</v>
      </c>
      <c r="R66" t="s">
        <v>1049</v>
      </c>
      <c r="S66" t="s">
        <v>1050</v>
      </c>
      <c r="T66" t="s">
        <v>4796</v>
      </c>
      <c r="U66" t="s">
        <v>4797</v>
      </c>
      <c r="V66" t="s">
        <v>4798</v>
      </c>
      <c r="W66" t="s">
        <v>4786</v>
      </c>
      <c r="X66" t="s">
        <v>4807</v>
      </c>
      <c r="Y66" t="s">
        <v>4800</v>
      </c>
      <c r="Z66" t="s">
        <v>4847</v>
      </c>
      <c r="AA66" t="s">
        <v>4848</v>
      </c>
      <c r="AB66" t="s">
        <v>4798</v>
      </c>
      <c r="AC66" t="s">
        <v>66</v>
      </c>
      <c r="AD66" t="s">
        <v>66</v>
      </c>
      <c r="AE66" t="s">
        <v>66</v>
      </c>
      <c r="AF66" t="s">
        <v>5036</v>
      </c>
      <c r="AG66" t="s">
        <v>5038</v>
      </c>
      <c r="AH66" t="s">
        <v>5036</v>
      </c>
      <c r="AI66" t="s">
        <v>5038</v>
      </c>
      <c r="AJ66" t="s">
        <v>5036</v>
      </c>
      <c r="AK66" t="s">
        <v>5038</v>
      </c>
      <c r="AL66" t="s">
        <v>4792</v>
      </c>
    </row>
    <row r="67" customHeight="1" spans="1:38">
      <c r="A67" t="s">
        <v>22</v>
      </c>
      <c r="B67" t="s">
        <v>49</v>
      </c>
      <c r="C67" t="s">
        <v>51</v>
      </c>
      <c r="D67" t="s">
        <v>22</v>
      </c>
      <c r="E67" t="s">
        <v>1092</v>
      </c>
      <c r="F67" t="s">
        <v>1046</v>
      </c>
      <c r="G67" t="s">
        <v>1047</v>
      </c>
      <c r="H67" t="s">
        <v>1047</v>
      </c>
      <c r="I67" t="s">
        <v>1048</v>
      </c>
      <c r="J67" t="s">
        <v>1049</v>
      </c>
      <c r="K67" t="s">
        <v>1050</v>
      </c>
      <c r="L67" t="s">
        <v>1093</v>
      </c>
      <c r="M67" t="s">
        <v>1094</v>
      </c>
      <c r="N67" t="s">
        <v>107</v>
      </c>
      <c r="O67" t="s">
        <v>1047</v>
      </c>
      <c r="P67" t="s">
        <v>4782</v>
      </c>
      <c r="Q67" t="s">
        <v>1048</v>
      </c>
      <c r="R67" t="s">
        <v>1049</v>
      </c>
      <c r="S67" t="s">
        <v>1050</v>
      </c>
      <c r="T67" t="s">
        <v>4796</v>
      </c>
      <c r="U67" t="s">
        <v>4805</v>
      </c>
      <c r="V67" t="s">
        <v>4806</v>
      </c>
      <c r="W67" t="s">
        <v>4786</v>
      </c>
      <c r="X67" t="s">
        <v>4807</v>
      </c>
      <c r="Y67" t="s">
        <v>4800</v>
      </c>
      <c r="Z67" t="s">
        <v>4836</v>
      </c>
      <c r="AA67" t="s">
        <v>4837</v>
      </c>
      <c r="AB67" t="s">
        <v>4838</v>
      </c>
      <c r="AC67" t="s">
        <v>66</v>
      </c>
      <c r="AD67" t="s">
        <v>66</v>
      </c>
      <c r="AE67" t="s">
        <v>66</v>
      </c>
      <c r="AF67" t="s">
        <v>5039</v>
      </c>
      <c r="AG67" t="s">
        <v>5040</v>
      </c>
      <c r="AH67" t="s">
        <v>5039</v>
      </c>
      <c r="AI67" t="s">
        <v>5040</v>
      </c>
      <c r="AJ67" t="s">
        <v>5039</v>
      </c>
      <c r="AK67" t="s">
        <v>5040</v>
      </c>
      <c r="AL67" t="s">
        <v>4792</v>
      </c>
    </row>
    <row r="68" customHeight="1" spans="1:38">
      <c r="A68" t="s">
        <v>22</v>
      </c>
      <c r="B68" t="s">
        <v>49</v>
      </c>
      <c r="C68" t="s">
        <v>51</v>
      </c>
      <c r="D68" t="s">
        <v>22</v>
      </c>
      <c r="E68" t="s">
        <v>1092</v>
      </c>
      <c r="F68" t="s">
        <v>1046</v>
      </c>
      <c r="G68" t="s">
        <v>1047</v>
      </c>
      <c r="H68" t="s">
        <v>1047</v>
      </c>
      <c r="I68" t="s">
        <v>1048</v>
      </c>
      <c r="J68" t="s">
        <v>1049</v>
      </c>
      <c r="K68" t="s">
        <v>1050</v>
      </c>
      <c r="L68" t="s">
        <v>1093</v>
      </c>
      <c r="M68" t="s">
        <v>1094</v>
      </c>
      <c r="N68" t="s">
        <v>107</v>
      </c>
      <c r="O68" t="s">
        <v>1047</v>
      </c>
      <c r="P68" t="s">
        <v>4782</v>
      </c>
      <c r="Q68" t="s">
        <v>1048</v>
      </c>
      <c r="R68" t="s">
        <v>1049</v>
      </c>
      <c r="S68" t="s">
        <v>1050</v>
      </c>
      <c r="T68" t="s">
        <v>4796</v>
      </c>
      <c r="U68" t="s">
        <v>4797</v>
      </c>
      <c r="V68" t="s">
        <v>4841</v>
      </c>
      <c r="W68" t="s">
        <v>4786</v>
      </c>
      <c r="X68" t="s">
        <v>4807</v>
      </c>
      <c r="Y68" t="s">
        <v>4800</v>
      </c>
      <c r="Z68" t="s">
        <v>4558</v>
      </c>
      <c r="AA68" t="s">
        <v>5041</v>
      </c>
      <c r="AB68" t="s">
        <v>4841</v>
      </c>
      <c r="AC68" t="s">
        <v>66</v>
      </c>
      <c r="AD68" t="s">
        <v>66</v>
      </c>
      <c r="AE68" t="s">
        <v>66</v>
      </c>
      <c r="AF68" t="s">
        <v>5039</v>
      </c>
      <c r="AG68" t="s">
        <v>5042</v>
      </c>
      <c r="AH68" t="s">
        <v>5039</v>
      </c>
      <c r="AI68" t="s">
        <v>5042</v>
      </c>
      <c r="AJ68" t="s">
        <v>5039</v>
      </c>
      <c r="AK68" t="s">
        <v>5042</v>
      </c>
      <c r="AL68" t="s">
        <v>4792</v>
      </c>
    </row>
    <row r="69" customHeight="1" spans="1:38">
      <c r="A69" t="s">
        <v>22</v>
      </c>
      <c r="B69" t="s">
        <v>49</v>
      </c>
      <c r="C69" t="s">
        <v>51</v>
      </c>
      <c r="D69" t="s">
        <v>22</v>
      </c>
      <c r="E69" t="s">
        <v>5043</v>
      </c>
      <c r="F69" t="s">
        <v>1046</v>
      </c>
      <c r="G69" t="s">
        <v>1047</v>
      </c>
      <c r="H69" t="s">
        <v>1047</v>
      </c>
      <c r="I69" t="s">
        <v>1048</v>
      </c>
      <c r="J69" t="s">
        <v>1049</v>
      </c>
      <c r="K69" t="s">
        <v>1050</v>
      </c>
      <c r="L69" t="s">
        <v>5044</v>
      </c>
      <c r="M69" t="s">
        <v>5045</v>
      </c>
      <c r="N69" t="s">
        <v>107</v>
      </c>
      <c r="O69" t="s">
        <v>1047</v>
      </c>
      <c r="P69" t="s">
        <v>4782</v>
      </c>
      <c r="Q69" t="s">
        <v>1048</v>
      </c>
      <c r="R69" t="s">
        <v>1049</v>
      </c>
      <c r="S69" t="s">
        <v>1050</v>
      </c>
      <c r="T69" t="s">
        <v>4796</v>
      </c>
      <c r="U69" t="s">
        <v>4797</v>
      </c>
      <c r="V69" t="s">
        <v>4798</v>
      </c>
      <c r="W69" t="s">
        <v>4786</v>
      </c>
      <c r="X69" t="s">
        <v>4807</v>
      </c>
      <c r="Y69" t="s">
        <v>4800</v>
      </c>
      <c r="Z69" t="s">
        <v>5046</v>
      </c>
      <c r="AA69" t="s">
        <v>5047</v>
      </c>
      <c r="AB69" t="s">
        <v>4798</v>
      </c>
      <c r="AC69" t="s">
        <v>66</v>
      </c>
      <c r="AD69" t="s">
        <v>66</v>
      </c>
      <c r="AE69" t="s">
        <v>66</v>
      </c>
      <c r="AF69" t="s">
        <v>5015</v>
      </c>
      <c r="AG69" t="s">
        <v>5048</v>
      </c>
      <c r="AH69" t="s">
        <v>5015</v>
      </c>
      <c r="AI69" t="s">
        <v>5048</v>
      </c>
      <c r="AJ69" t="s">
        <v>5015</v>
      </c>
      <c r="AK69" t="s">
        <v>5048</v>
      </c>
      <c r="AL69" t="s">
        <v>4792</v>
      </c>
    </row>
    <row r="70" customHeight="1" spans="1:38">
      <c r="A70" t="s">
        <v>22</v>
      </c>
      <c r="B70" t="s">
        <v>49</v>
      </c>
      <c r="C70" t="s">
        <v>51</v>
      </c>
      <c r="D70" t="s">
        <v>22</v>
      </c>
      <c r="E70" t="s">
        <v>5043</v>
      </c>
      <c r="F70" t="s">
        <v>1046</v>
      </c>
      <c r="G70" t="s">
        <v>1047</v>
      </c>
      <c r="H70" t="s">
        <v>1047</v>
      </c>
      <c r="I70" t="s">
        <v>1048</v>
      </c>
      <c r="J70" t="s">
        <v>1049</v>
      </c>
      <c r="K70" t="s">
        <v>1050</v>
      </c>
      <c r="L70" t="s">
        <v>5044</v>
      </c>
      <c r="M70" t="s">
        <v>5045</v>
      </c>
      <c r="N70" t="s">
        <v>107</v>
      </c>
      <c r="O70" t="s">
        <v>1047</v>
      </c>
      <c r="P70" t="s">
        <v>4782</v>
      </c>
      <c r="Q70" t="s">
        <v>1048</v>
      </c>
      <c r="R70" t="s">
        <v>1049</v>
      </c>
      <c r="S70" t="s">
        <v>1050</v>
      </c>
      <c r="T70" t="s">
        <v>4796</v>
      </c>
      <c r="U70" t="s">
        <v>4805</v>
      </c>
      <c r="V70" t="s">
        <v>4806</v>
      </c>
      <c r="W70" t="s">
        <v>4786</v>
      </c>
      <c r="X70" t="s">
        <v>4828</v>
      </c>
      <c r="Y70" t="s">
        <v>4800</v>
      </c>
      <c r="Z70" t="s">
        <v>5049</v>
      </c>
      <c r="AA70" t="s">
        <v>5050</v>
      </c>
      <c r="AB70" t="s">
        <v>4959</v>
      </c>
      <c r="AC70" t="s">
        <v>66</v>
      </c>
      <c r="AD70" t="s">
        <v>66</v>
      </c>
      <c r="AE70" t="s">
        <v>66</v>
      </c>
      <c r="AF70" t="s">
        <v>5015</v>
      </c>
      <c r="AG70" t="s">
        <v>5051</v>
      </c>
      <c r="AH70" t="s">
        <v>5015</v>
      </c>
      <c r="AI70" t="s">
        <v>5051</v>
      </c>
      <c r="AJ70" t="s">
        <v>5015</v>
      </c>
      <c r="AK70" t="s">
        <v>5051</v>
      </c>
      <c r="AL70" t="s">
        <v>4792</v>
      </c>
    </row>
    <row r="71" customHeight="1" spans="1:38">
      <c r="A71" t="s">
        <v>22</v>
      </c>
      <c r="B71" t="s">
        <v>49</v>
      </c>
      <c r="C71" t="s">
        <v>51</v>
      </c>
      <c r="D71" t="s">
        <v>22</v>
      </c>
      <c r="E71" t="s">
        <v>5052</v>
      </c>
      <c r="F71" t="s">
        <v>1046</v>
      </c>
      <c r="G71" t="s">
        <v>1047</v>
      </c>
      <c r="H71" t="s">
        <v>1047</v>
      </c>
      <c r="I71" t="s">
        <v>1048</v>
      </c>
      <c r="J71" t="s">
        <v>1049</v>
      </c>
      <c r="K71" t="s">
        <v>1050</v>
      </c>
      <c r="L71" t="s">
        <v>5053</v>
      </c>
      <c r="M71" t="s">
        <v>3662</v>
      </c>
      <c r="N71" t="s">
        <v>107</v>
      </c>
      <c r="O71" t="s">
        <v>1047</v>
      </c>
      <c r="P71" t="s">
        <v>4782</v>
      </c>
      <c r="Q71" t="s">
        <v>1048</v>
      </c>
      <c r="R71" t="s">
        <v>1049</v>
      </c>
      <c r="S71" t="s">
        <v>1050</v>
      </c>
      <c r="T71" t="s">
        <v>4796</v>
      </c>
      <c r="U71" t="s">
        <v>4797</v>
      </c>
      <c r="V71" t="s">
        <v>5054</v>
      </c>
      <c r="W71" t="s">
        <v>4786</v>
      </c>
      <c r="X71" t="s">
        <v>4807</v>
      </c>
      <c r="Y71" t="s">
        <v>4800</v>
      </c>
      <c r="Z71" t="s">
        <v>5055</v>
      </c>
      <c r="AA71" t="s">
        <v>5056</v>
      </c>
      <c r="AB71" t="s">
        <v>5054</v>
      </c>
      <c r="AC71" t="s">
        <v>66</v>
      </c>
      <c r="AD71" t="s">
        <v>66</v>
      </c>
      <c r="AE71" t="s">
        <v>66</v>
      </c>
      <c r="AF71" t="s">
        <v>5057</v>
      </c>
      <c r="AG71" t="s">
        <v>5058</v>
      </c>
      <c r="AH71" t="s">
        <v>5057</v>
      </c>
      <c r="AI71" t="s">
        <v>5058</v>
      </c>
      <c r="AJ71" t="s">
        <v>5057</v>
      </c>
      <c r="AK71" t="s">
        <v>5058</v>
      </c>
      <c r="AL71" t="s">
        <v>4792</v>
      </c>
    </row>
    <row r="72" customHeight="1" spans="1:38">
      <c r="A72" t="s">
        <v>22</v>
      </c>
      <c r="B72" t="s">
        <v>49</v>
      </c>
      <c r="C72" t="s">
        <v>51</v>
      </c>
      <c r="D72" t="s">
        <v>22</v>
      </c>
      <c r="E72" t="s">
        <v>5052</v>
      </c>
      <c r="F72" t="s">
        <v>1046</v>
      </c>
      <c r="G72" t="s">
        <v>1047</v>
      </c>
      <c r="H72" t="s">
        <v>1047</v>
      </c>
      <c r="I72" t="s">
        <v>1048</v>
      </c>
      <c r="J72" t="s">
        <v>1049</v>
      </c>
      <c r="K72" t="s">
        <v>1050</v>
      </c>
      <c r="L72" t="s">
        <v>5053</v>
      </c>
      <c r="M72" t="s">
        <v>3662</v>
      </c>
      <c r="N72" t="s">
        <v>107</v>
      </c>
      <c r="O72" t="s">
        <v>1047</v>
      </c>
      <c r="P72" t="s">
        <v>4782</v>
      </c>
      <c r="Q72" t="s">
        <v>1048</v>
      </c>
      <c r="R72" t="s">
        <v>1049</v>
      </c>
      <c r="S72" t="s">
        <v>1050</v>
      </c>
      <c r="T72" t="s">
        <v>4796</v>
      </c>
      <c r="U72" t="s">
        <v>4805</v>
      </c>
      <c r="V72" t="s">
        <v>4806</v>
      </c>
      <c r="W72" t="s">
        <v>4786</v>
      </c>
      <c r="X72" t="s">
        <v>4828</v>
      </c>
      <c r="Y72" t="s">
        <v>4800</v>
      </c>
      <c r="Z72" t="s">
        <v>5059</v>
      </c>
      <c r="AA72" t="s">
        <v>4966</v>
      </c>
      <c r="AB72" t="s">
        <v>4983</v>
      </c>
      <c r="AC72" t="s">
        <v>66</v>
      </c>
      <c r="AD72" t="s">
        <v>66</v>
      </c>
      <c r="AE72" t="s">
        <v>66</v>
      </c>
      <c r="AF72" t="s">
        <v>5057</v>
      </c>
      <c r="AG72" t="s">
        <v>5060</v>
      </c>
      <c r="AH72" t="s">
        <v>5057</v>
      </c>
      <c r="AI72" t="s">
        <v>5060</v>
      </c>
      <c r="AJ72" t="s">
        <v>5057</v>
      </c>
      <c r="AK72" t="s">
        <v>5060</v>
      </c>
      <c r="AL72" t="s">
        <v>4792</v>
      </c>
    </row>
    <row r="73" customHeight="1" spans="1:38">
      <c r="A73" t="s">
        <v>22</v>
      </c>
      <c r="B73" t="s">
        <v>49</v>
      </c>
      <c r="C73" t="s">
        <v>51</v>
      </c>
      <c r="D73" t="s">
        <v>22</v>
      </c>
      <c r="E73" t="s">
        <v>1045</v>
      </c>
      <c r="F73" t="s">
        <v>1046</v>
      </c>
      <c r="G73" t="s">
        <v>1047</v>
      </c>
      <c r="H73" t="s">
        <v>1047</v>
      </c>
      <c r="I73" t="s">
        <v>1048</v>
      </c>
      <c r="J73" t="s">
        <v>1049</v>
      </c>
      <c r="K73" t="s">
        <v>1050</v>
      </c>
      <c r="L73" t="s">
        <v>1051</v>
      </c>
      <c r="M73" t="s">
        <v>1052</v>
      </c>
      <c r="N73" t="s">
        <v>107</v>
      </c>
      <c r="O73" t="s">
        <v>1047</v>
      </c>
      <c r="P73" t="s">
        <v>4782</v>
      </c>
      <c r="Q73" t="s">
        <v>1048</v>
      </c>
      <c r="R73" t="s">
        <v>1049</v>
      </c>
      <c r="S73" t="s">
        <v>1050</v>
      </c>
      <c r="T73" t="s">
        <v>4796</v>
      </c>
      <c r="U73" t="s">
        <v>4797</v>
      </c>
      <c r="V73" t="s">
        <v>4798</v>
      </c>
      <c r="W73" t="s">
        <v>4786</v>
      </c>
      <c r="X73" t="s">
        <v>4807</v>
      </c>
      <c r="Y73" t="s">
        <v>4800</v>
      </c>
      <c r="Z73" t="s">
        <v>5061</v>
      </c>
      <c r="AA73" t="s">
        <v>5062</v>
      </c>
      <c r="AB73" t="s">
        <v>4798</v>
      </c>
      <c r="AC73" t="s">
        <v>66</v>
      </c>
      <c r="AD73" t="s">
        <v>66</v>
      </c>
      <c r="AE73" t="s">
        <v>66</v>
      </c>
      <c r="AF73" t="s">
        <v>5063</v>
      </c>
      <c r="AG73" t="s">
        <v>5064</v>
      </c>
      <c r="AH73" t="s">
        <v>5063</v>
      </c>
      <c r="AI73" t="s">
        <v>5064</v>
      </c>
      <c r="AJ73" t="s">
        <v>5063</v>
      </c>
      <c r="AK73" t="s">
        <v>5064</v>
      </c>
      <c r="AL73" t="s">
        <v>4792</v>
      </c>
    </row>
    <row r="74" customHeight="1" spans="1:38">
      <c r="A74" t="s">
        <v>22</v>
      </c>
      <c r="B74" t="s">
        <v>49</v>
      </c>
      <c r="C74" t="s">
        <v>51</v>
      </c>
      <c r="D74" t="s">
        <v>22</v>
      </c>
      <c r="E74" t="s">
        <v>1045</v>
      </c>
      <c r="F74" t="s">
        <v>1046</v>
      </c>
      <c r="G74" t="s">
        <v>1047</v>
      </c>
      <c r="H74" t="s">
        <v>1047</v>
      </c>
      <c r="I74" t="s">
        <v>1048</v>
      </c>
      <c r="J74" t="s">
        <v>1049</v>
      </c>
      <c r="K74" t="s">
        <v>1050</v>
      </c>
      <c r="L74" t="s">
        <v>1051</v>
      </c>
      <c r="M74" t="s">
        <v>1052</v>
      </c>
      <c r="N74" t="s">
        <v>107</v>
      </c>
      <c r="O74" t="s">
        <v>1047</v>
      </c>
      <c r="P74" t="s">
        <v>4782</v>
      </c>
      <c r="Q74" t="s">
        <v>1048</v>
      </c>
      <c r="R74" t="s">
        <v>1049</v>
      </c>
      <c r="S74" t="s">
        <v>1050</v>
      </c>
      <c r="T74" t="s">
        <v>4796</v>
      </c>
      <c r="U74" t="s">
        <v>4805</v>
      </c>
      <c r="V74" t="s">
        <v>4806</v>
      </c>
      <c r="W74" t="s">
        <v>4786</v>
      </c>
      <c r="X74" t="s">
        <v>4828</v>
      </c>
      <c r="Y74" t="s">
        <v>4800</v>
      </c>
      <c r="Z74" t="s">
        <v>5065</v>
      </c>
      <c r="AA74" t="s">
        <v>5066</v>
      </c>
      <c r="AB74" t="s">
        <v>4959</v>
      </c>
      <c r="AC74" t="s">
        <v>66</v>
      </c>
      <c r="AD74" t="s">
        <v>66</v>
      </c>
      <c r="AE74" t="s">
        <v>66</v>
      </c>
      <c r="AF74" t="s">
        <v>5063</v>
      </c>
      <c r="AG74" t="s">
        <v>5067</v>
      </c>
      <c r="AH74" t="s">
        <v>5063</v>
      </c>
      <c r="AI74" t="s">
        <v>5067</v>
      </c>
      <c r="AJ74" t="s">
        <v>5063</v>
      </c>
      <c r="AK74" t="s">
        <v>5067</v>
      </c>
      <c r="AL74" t="s">
        <v>4792</v>
      </c>
    </row>
    <row r="75" customHeight="1" spans="1:38">
      <c r="A75" t="s">
        <v>22</v>
      </c>
      <c r="B75" t="s">
        <v>49</v>
      </c>
      <c r="C75" t="s">
        <v>51</v>
      </c>
      <c r="D75" t="s">
        <v>22</v>
      </c>
      <c r="E75" t="s">
        <v>5068</v>
      </c>
      <c r="F75" t="s">
        <v>1070</v>
      </c>
      <c r="G75" t="s">
        <v>1047</v>
      </c>
      <c r="H75" t="s">
        <v>1047</v>
      </c>
      <c r="I75" t="s">
        <v>1048</v>
      </c>
      <c r="J75" t="s">
        <v>1049</v>
      </c>
      <c r="K75" t="s">
        <v>1050</v>
      </c>
      <c r="L75" t="s">
        <v>1051</v>
      </c>
      <c r="M75" t="s">
        <v>1175</v>
      </c>
      <c r="N75" t="s">
        <v>107</v>
      </c>
      <c r="O75" t="s">
        <v>1047</v>
      </c>
      <c r="P75" t="s">
        <v>4782</v>
      </c>
      <c r="Q75" t="s">
        <v>1048</v>
      </c>
      <c r="R75" t="s">
        <v>1049</v>
      </c>
      <c r="S75" t="s">
        <v>1050</v>
      </c>
      <c r="T75" t="s">
        <v>4796</v>
      </c>
      <c r="U75" t="s">
        <v>4797</v>
      </c>
      <c r="V75" t="s">
        <v>4798</v>
      </c>
      <c r="W75" t="s">
        <v>4786</v>
      </c>
      <c r="X75" t="s">
        <v>4807</v>
      </c>
      <c r="Y75" t="s">
        <v>4800</v>
      </c>
      <c r="Z75" t="s">
        <v>4847</v>
      </c>
      <c r="AA75" t="s">
        <v>4848</v>
      </c>
      <c r="AB75" t="s">
        <v>4798</v>
      </c>
      <c r="AC75" t="s">
        <v>66</v>
      </c>
      <c r="AD75" t="s">
        <v>19</v>
      </c>
      <c r="AE75" t="s">
        <v>19</v>
      </c>
      <c r="AF75" t="s">
        <v>4857</v>
      </c>
      <c r="AG75" t="s">
        <v>5069</v>
      </c>
      <c r="AH75" t="s">
        <v>22</v>
      </c>
      <c r="AI75" t="s">
        <v>22</v>
      </c>
      <c r="AJ75" t="s">
        <v>22</v>
      </c>
      <c r="AK75" t="s">
        <v>22</v>
      </c>
      <c r="AL75" t="s">
        <v>4792</v>
      </c>
    </row>
    <row r="76" customHeight="1" spans="1:38">
      <c r="A76" t="s">
        <v>22</v>
      </c>
      <c r="B76" t="s">
        <v>49</v>
      </c>
      <c r="C76" t="s">
        <v>51</v>
      </c>
      <c r="D76" t="s">
        <v>22</v>
      </c>
      <c r="E76" t="s">
        <v>5068</v>
      </c>
      <c r="F76" t="s">
        <v>1070</v>
      </c>
      <c r="G76" t="s">
        <v>1047</v>
      </c>
      <c r="H76" t="s">
        <v>1047</v>
      </c>
      <c r="I76" t="s">
        <v>1048</v>
      </c>
      <c r="J76" t="s">
        <v>1049</v>
      </c>
      <c r="K76" t="s">
        <v>1050</v>
      </c>
      <c r="L76" t="s">
        <v>1051</v>
      </c>
      <c r="M76" t="s">
        <v>1175</v>
      </c>
      <c r="N76" t="s">
        <v>107</v>
      </c>
      <c r="O76" t="s">
        <v>1047</v>
      </c>
      <c r="P76" t="s">
        <v>4782</v>
      </c>
      <c r="Q76" t="s">
        <v>1048</v>
      </c>
      <c r="R76" t="s">
        <v>1049</v>
      </c>
      <c r="S76" t="s">
        <v>1050</v>
      </c>
      <c r="T76" t="s">
        <v>4796</v>
      </c>
      <c r="U76" t="s">
        <v>4805</v>
      </c>
      <c r="V76" t="s">
        <v>4806</v>
      </c>
      <c r="W76" t="s">
        <v>4786</v>
      </c>
      <c r="X76" t="s">
        <v>4807</v>
      </c>
      <c r="Y76" t="s">
        <v>4800</v>
      </c>
      <c r="Z76" t="s">
        <v>4836</v>
      </c>
      <c r="AA76" t="s">
        <v>4837</v>
      </c>
      <c r="AB76" t="s">
        <v>4838</v>
      </c>
      <c r="AC76" t="s">
        <v>66</v>
      </c>
      <c r="AD76" t="s">
        <v>19</v>
      </c>
      <c r="AE76" t="s">
        <v>19</v>
      </c>
      <c r="AF76" t="s">
        <v>4857</v>
      </c>
      <c r="AG76" t="s">
        <v>5070</v>
      </c>
      <c r="AH76" t="s">
        <v>22</v>
      </c>
      <c r="AI76" t="s">
        <v>22</v>
      </c>
      <c r="AJ76" t="s">
        <v>22</v>
      </c>
      <c r="AK76" t="s">
        <v>22</v>
      </c>
      <c r="AL76" t="s">
        <v>4792</v>
      </c>
    </row>
    <row r="77" customHeight="1" spans="1:38">
      <c r="A77" t="s">
        <v>22</v>
      </c>
      <c r="B77" t="s">
        <v>49</v>
      </c>
      <c r="C77" t="s">
        <v>51</v>
      </c>
      <c r="D77" t="s">
        <v>22</v>
      </c>
      <c r="E77" t="s">
        <v>5071</v>
      </c>
      <c r="F77" t="s">
        <v>1046</v>
      </c>
      <c r="G77" t="s">
        <v>1047</v>
      </c>
      <c r="H77" t="s">
        <v>1047</v>
      </c>
      <c r="I77" t="s">
        <v>1048</v>
      </c>
      <c r="J77" t="s">
        <v>1049</v>
      </c>
      <c r="K77" t="s">
        <v>1050</v>
      </c>
      <c r="L77" t="s">
        <v>5072</v>
      </c>
      <c r="M77" t="s">
        <v>148</v>
      </c>
      <c r="N77" t="s">
        <v>107</v>
      </c>
      <c r="O77" t="s">
        <v>1047</v>
      </c>
      <c r="P77" t="s">
        <v>4782</v>
      </c>
      <c r="Q77" t="s">
        <v>1048</v>
      </c>
      <c r="R77" t="s">
        <v>1049</v>
      </c>
      <c r="S77" t="s">
        <v>1050</v>
      </c>
      <c r="T77" t="s">
        <v>4796</v>
      </c>
      <c r="U77" t="s">
        <v>4797</v>
      </c>
      <c r="V77" t="s">
        <v>4798</v>
      </c>
      <c r="W77" t="s">
        <v>4786</v>
      </c>
      <c r="X77" t="s">
        <v>4807</v>
      </c>
      <c r="Y77" t="s">
        <v>4800</v>
      </c>
      <c r="Z77" t="s">
        <v>5073</v>
      </c>
      <c r="AA77" t="s">
        <v>4864</v>
      </c>
      <c r="AB77" t="s">
        <v>4798</v>
      </c>
      <c r="AC77" t="s">
        <v>66</v>
      </c>
      <c r="AD77" t="s">
        <v>66</v>
      </c>
      <c r="AE77" t="s">
        <v>66</v>
      </c>
      <c r="AF77" t="s">
        <v>5074</v>
      </c>
      <c r="AG77" t="s">
        <v>5075</v>
      </c>
      <c r="AH77" t="s">
        <v>5074</v>
      </c>
      <c r="AI77" t="s">
        <v>5075</v>
      </c>
      <c r="AJ77" t="s">
        <v>5074</v>
      </c>
      <c r="AK77" t="s">
        <v>5075</v>
      </c>
      <c r="AL77" t="s">
        <v>4792</v>
      </c>
    </row>
    <row r="78" customHeight="1" spans="1:38">
      <c r="A78" t="s">
        <v>22</v>
      </c>
      <c r="B78" t="s">
        <v>49</v>
      </c>
      <c r="C78" t="s">
        <v>51</v>
      </c>
      <c r="D78" t="s">
        <v>22</v>
      </c>
      <c r="E78" t="s">
        <v>5076</v>
      </c>
      <c r="F78" t="s">
        <v>1070</v>
      </c>
      <c r="G78" t="s">
        <v>1047</v>
      </c>
      <c r="H78" t="s">
        <v>1047</v>
      </c>
      <c r="I78" t="s">
        <v>1048</v>
      </c>
      <c r="J78" t="s">
        <v>1049</v>
      </c>
      <c r="K78" t="s">
        <v>1050</v>
      </c>
      <c r="L78" t="s">
        <v>5072</v>
      </c>
      <c r="M78" t="s">
        <v>1117</v>
      </c>
      <c r="N78" t="s">
        <v>107</v>
      </c>
      <c r="O78" t="s">
        <v>1047</v>
      </c>
      <c r="P78" t="s">
        <v>4782</v>
      </c>
      <c r="Q78" t="s">
        <v>1048</v>
      </c>
      <c r="R78" t="s">
        <v>1049</v>
      </c>
      <c r="S78" t="s">
        <v>1050</v>
      </c>
      <c r="T78" t="s">
        <v>4796</v>
      </c>
      <c r="U78" t="s">
        <v>4797</v>
      </c>
      <c r="V78" t="s">
        <v>4798</v>
      </c>
      <c r="W78" t="s">
        <v>4786</v>
      </c>
      <c r="X78" t="s">
        <v>4807</v>
      </c>
      <c r="Y78" t="s">
        <v>4800</v>
      </c>
      <c r="Z78" t="s">
        <v>5077</v>
      </c>
      <c r="AA78" t="s">
        <v>4864</v>
      </c>
      <c r="AB78" t="s">
        <v>4798</v>
      </c>
      <c r="AC78" t="s">
        <v>66</v>
      </c>
      <c r="AD78" t="s">
        <v>19</v>
      </c>
      <c r="AE78" t="s">
        <v>19</v>
      </c>
      <c r="AF78" t="s">
        <v>5078</v>
      </c>
      <c r="AG78" t="s">
        <v>5079</v>
      </c>
      <c r="AH78" t="s">
        <v>22</v>
      </c>
      <c r="AI78" t="s">
        <v>22</v>
      </c>
      <c r="AJ78" t="s">
        <v>22</v>
      </c>
      <c r="AK78" t="s">
        <v>22</v>
      </c>
      <c r="AL78" t="s">
        <v>5080</v>
      </c>
    </row>
    <row r="79" customHeight="1" spans="1:38">
      <c r="A79" t="s">
        <v>22</v>
      </c>
      <c r="B79" t="s">
        <v>49</v>
      </c>
      <c r="C79" t="s">
        <v>51</v>
      </c>
      <c r="D79" t="s">
        <v>22</v>
      </c>
      <c r="E79" t="s">
        <v>5076</v>
      </c>
      <c r="F79" t="s">
        <v>1070</v>
      </c>
      <c r="G79" t="s">
        <v>1047</v>
      </c>
      <c r="H79" t="s">
        <v>1047</v>
      </c>
      <c r="I79" t="s">
        <v>1048</v>
      </c>
      <c r="J79" t="s">
        <v>1049</v>
      </c>
      <c r="K79" t="s">
        <v>1050</v>
      </c>
      <c r="L79" t="s">
        <v>5072</v>
      </c>
      <c r="M79" t="s">
        <v>1117</v>
      </c>
      <c r="N79" t="s">
        <v>107</v>
      </c>
      <c r="O79" t="s">
        <v>1047</v>
      </c>
      <c r="P79" t="s">
        <v>4782</v>
      </c>
      <c r="Q79" t="s">
        <v>1048</v>
      </c>
      <c r="R79" t="s">
        <v>1049</v>
      </c>
      <c r="S79" t="s">
        <v>1050</v>
      </c>
      <c r="T79" t="s">
        <v>4796</v>
      </c>
      <c r="U79" t="s">
        <v>4805</v>
      </c>
      <c r="V79" t="s">
        <v>4806</v>
      </c>
      <c r="W79" t="s">
        <v>4786</v>
      </c>
      <c r="X79" t="s">
        <v>4820</v>
      </c>
      <c r="Y79" t="s">
        <v>4800</v>
      </c>
      <c r="Z79" t="s">
        <v>3944</v>
      </c>
      <c r="AA79" t="s">
        <v>5081</v>
      </c>
      <c r="AB79" t="s">
        <v>5082</v>
      </c>
      <c r="AC79" t="s">
        <v>66</v>
      </c>
      <c r="AD79" t="s">
        <v>19</v>
      </c>
      <c r="AE79" t="s">
        <v>19</v>
      </c>
      <c r="AF79" t="s">
        <v>5078</v>
      </c>
      <c r="AG79" t="s">
        <v>5083</v>
      </c>
      <c r="AH79" t="s">
        <v>22</v>
      </c>
      <c r="AI79" t="s">
        <v>22</v>
      </c>
      <c r="AJ79" t="s">
        <v>22</v>
      </c>
      <c r="AK79" t="s">
        <v>22</v>
      </c>
      <c r="AL79" t="s">
        <v>5084</v>
      </c>
    </row>
    <row r="80" customHeight="1" spans="1:38">
      <c r="A80" t="s">
        <v>22</v>
      </c>
      <c r="B80" t="s">
        <v>49</v>
      </c>
      <c r="C80" t="s">
        <v>51</v>
      </c>
      <c r="D80" t="s">
        <v>22</v>
      </c>
      <c r="E80" t="s">
        <v>5085</v>
      </c>
      <c r="F80" t="s">
        <v>1046</v>
      </c>
      <c r="G80" t="s">
        <v>1047</v>
      </c>
      <c r="H80" t="s">
        <v>1047</v>
      </c>
      <c r="I80" t="s">
        <v>1048</v>
      </c>
      <c r="J80" t="s">
        <v>1049</v>
      </c>
      <c r="K80" t="s">
        <v>1050</v>
      </c>
      <c r="L80" t="s">
        <v>5072</v>
      </c>
      <c r="M80" t="s">
        <v>1860</v>
      </c>
      <c r="N80" t="s">
        <v>107</v>
      </c>
      <c r="O80" t="s">
        <v>1047</v>
      </c>
      <c r="P80" t="s">
        <v>4782</v>
      </c>
      <c r="Q80" t="s">
        <v>1048</v>
      </c>
      <c r="R80" t="s">
        <v>1049</v>
      </c>
      <c r="S80" t="s">
        <v>1050</v>
      </c>
      <c r="T80" t="s">
        <v>4796</v>
      </c>
      <c r="U80" t="s">
        <v>4805</v>
      </c>
      <c r="V80" t="s">
        <v>4806</v>
      </c>
      <c r="W80" t="s">
        <v>4786</v>
      </c>
      <c r="X80" t="s">
        <v>4807</v>
      </c>
      <c r="Y80" t="s">
        <v>4800</v>
      </c>
      <c r="Z80" t="s">
        <v>4836</v>
      </c>
      <c r="AA80" t="s">
        <v>4837</v>
      </c>
      <c r="AB80" t="s">
        <v>4838</v>
      </c>
      <c r="AC80" t="s">
        <v>66</v>
      </c>
      <c r="AD80" t="s">
        <v>66</v>
      </c>
      <c r="AE80" t="s">
        <v>66</v>
      </c>
      <c r="AF80" t="s">
        <v>5086</v>
      </c>
      <c r="AG80" t="s">
        <v>5087</v>
      </c>
      <c r="AH80" t="s">
        <v>5086</v>
      </c>
      <c r="AI80" t="s">
        <v>5087</v>
      </c>
      <c r="AJ80" t="s">
        <v>5086</v>
      </c>
      <c r="AK80" t="s">
        <v>5087</v>
      </c>
      <c r="AL80" t="s">
        <v>5080</v>
      </c>
    </row>
    <row r="81" customHeight="1" spans="1:38">
      <c r="A81" t="s">
        <v>22</v>
      </c>
      <c r="B81" t="s">
        <v>49</v>
      </c>
      <c r="C81" t="s">
        <v>51</v>
      </c>
      <c r="D81" t="s">
        <v>22</v>
      </c>
      <c r="E81" t="s">
        <v>5085</v>
      </c>
      <c r="F81" t="s">
        <v>1046</v>
      </c>
      <c r="G81" t="s">
        <v>1047</v>
      </c>
      <c r="H81" t="s">
        <v>1047</v>
      </c>
      <c r="I81" t="s">
        <v>1048</v>
      </c>
      <c r="J81" t="s">
        <v>1049</v>
      </c>
      <c r="K81" t="s">
        <v>1050</v>
      </c>
      <c r="L81" t="s">
        <v>5072</v>
      </c>
      <c r="M81" t="s">
        <v>1860</v>
      </c>
      <c r="N81" t="s">
        <v>107</v>
      </c>
      <c r="O81" t="s">
        <v>1047</v>
      </c>
      <c r="P81" t="s">
        <v>4782</v>
      </c>
      <c r="Q81" t="s">
        <v>1048</v>
      </c>
      <c r="R81" t="s">
        <v>1049</v>
      </c>
      <c r="S81" t="s">
        <v>1050</v>
      </c>
      <c r="T81" t="s">
        <v>4796</v>
      </c>
      <c r="U81" t="s">
        <v>4797</v>
      </c>
      <c r="V81" t="s">
        <v>4798</v>
      </c>
      <c r="W81" t="s">
        <v>4786</v>
      </c>
      <c r="X81" t="s">
        <v>4807</v>
      </c>
      <c r="Y81" t="s">
        <v>4800</v>
      </c>
      <c r="Z81" t="s">
        <v>4847</v>
      </c>
      <c r="AA81" t="s">
        <v>4848</v>
      </c>
      <c r="AB81" t="s">
        <v>4798</v>
      </c>
      <c r="AC81" t="s">
        <v>66</v>
      </c>
      <c r="AD81" t="s">
        <v>66</v>
      </c>
      <c r="AE81" t="s">
        <v>66</v>
      </c>
      <c r="AF81" t="s">
        <v>5086</v>
      </c>
      <c r="AG81" t="s">
        <v>5088</v>
      </c>
      <c r="AH81" t="s">
        <v>5086</v>
      </c>
      <c r="AI81" t="s">
        <v>5088</v>
      </c>
      <c r="AJ81" t="s">
        <v>5086</v>
      </c>
      <c r="AK81" t="s">
        <v>5088</v>
      </c>
      <c r="AL81" t="s">
        <v>5080</v>
      </c>
    </row>
    <row r="82" customHeight="1" spans="1:38">
      <c r="A82" t="s">
        <v>22</v>
      </c>
      <c r="B82" t="s">
        <v>49</v>
      </c>
      <c r="C82" t="s">
        <v>51</v>
      </c>
      <c r="D82" t="s">
        <v>22</v>
      </c>
      <c r="E82" t="s">
        <v>5089</v>
      </c>
      <c r="F82" t="s">
        <v>1046</v>
      </c>
      <c r="G82" t="s">
        <v>1047</v>
      </c>
      <c r="H82" t="s">
        <v>1047</v>
      </c>
      <c r="I82" t="s">
        <v>1048</v>
      </c>
      <c r="J82" t="s">
        <v>1049</v>
      </c>
      <c r="K82" t="s">
        <v>1050</v>
      </c>
      <c r="L82" t="s">
        <v>5090</v>
      </c>
      <c r="M82" t="s">
        <v>149</v>
      </c>
      <c r="N82" t="s">
        <v>107</v>
      </c>
      <c r="O82" t="s">
        <v>1047</v>
      </c>
      <c r="P82" t="s">
        <v>4782</v>
      </c>
      <c r="Q82" t="s">
        <v>1048</v>
      </c>
      <c r="R82" t="s">
        <v>1049</v>
      </c>
      <c r="S82" t="s">
        <v>1050</v>
      </c>
      <c r="T82" t="s">
        <v>4796</v>
      </c>
      <c r="U82" t="s">
        <v>4797</v>
      </c>
      <c r="V82" t="s">
        <v>4841</v>
      </c>
      <c r="W82" t="s">
        <v>4786</v>
      </c>
      <c r="X82" t="s">
        <v>4807</v>
      </c>
      <c r="Y82" t="s">
        <v>4800</v>
      </c>
      <c r="Z82" t="s">
        <v>5091</v>
      </c>
      <c r="AA82" t="s">
        <v>4856</v>
      </c>
      <c r="AB82" t="s">
        <v>4841</v>
      </c>
      <c r="AC82" t="s">
        <v>66</v>
      </c>
      <c r="AD82" t="s">
        <v>66</v>
      </c>
      <c r="AE82" t="s">
        <v>66</v>
      </c>
      <c r="AF82" t="s">
        <v>5092</v>
      </c>
      <c r="AG82" t="s">
        <v>5093</v>
      </c>
      <c r="AH82" t="s">
        <v>5092</v>
      </c>
      <c r="AI82" t="s">
        <v>5093</v>
      </c>
      <c r="AJ82" t="s">
        <v>5092</v>
      </c>
      <c r="AK82" t="s">
        <v>5093</v>
      </c>
      <c r="AL82" t="s">
        <v>4792</v>
      </c>
    </row>
    <row r="83" customHeight="1" spans="1:38">
      <c r="A83" t="s">
        <v>22</v>
      </c>
      <c r="B83" t="s">
        <v>49</v>
      </c>
      <c r="C83" t="s">
        <v>51</v>
      </c>
      <c r="D83" t="s">
        <v>22</v>
      </c>
      <c r="E83" t="s">
        <v>5094</v>
      </c>
      <c r="F83" t="s">
        <v>1046</v>
      </c>
      <c r="G83" t="s">
        <v>1047</v>
      </c>
      <c r="H83" t="s">
        <v>1047</v>
      </c>
      <c r="I83" t="s">
        <v>1048</v>
      </c>
      <c r="J83" t="s">
        <v>1049</v>
      </c>
      <c r="K83" t="s">
        <v>1050</v>
      </c>
      <c r="L83" t="s">
        <v>5090</v>
      </c>
      <c r="M83" t="s">
        <v>5095</v>
      </c>
      <c r="N83" t="s">
        <v>107</v>
      </c>
      <c r="O83" t="s">
        <v>1047</v>
      </c>
      <c r="P83" t="s">
        <v>4782</v>
      </c>
      <c r="Q83" t="s">
        <v>1048</v>
      </c>
      <c r="R83" t="s">
        <v>1049</v>
      </c>
      <c r="S83" t="s">
        <v>1050</v>
      </c>
      <c r="T83" t="s">
        <v>4796</v>
      </c>
      <c r="U83" t="s">
        <v>4797</v>
      </c>
      <c r="V83" t="s">
        <v>4841</v>
      </c>
      <c r="W83" t="s">
        <v>4786</v>
      </c>
      <c r="X83" t="s">
        <v>4807</v>
      </c>
      <c r="Y83" t="s">
        <v>4800</v>
      </c>
      <c r="Z83" t="s">
        <v>5096</v>
      </c>
      <c r="AA83" t="s">
        <v>4843</v>
      </c>
      <c r="AB83" t="s">
        <v>4841</v>
      </c>
      <c r="AC83" t="s">
        <v>66</v>
      </c>
      <c r="AD83" t="s">
        <v>66</v>
      </c>
      <c r="AE83" t="s">
        <v>66</v>
      </c>
      <c r="AF83" t="s">
        <v>5097</v>
      </c>
      <c r="AG83" t="s">
        <v>5098</v>
      </c>
      <c r="AH83" t="s">
        <v>5097</v>
      </c>
      <c r="AI83" t="s">
        <v>5098</v>
      </c>
      <c r="AJ83" t="s">
        <v>5097</v>
      </c>
      <c r="AK83" t="s">
        <v>5098</v>
      </c>
      <c r="AL83" t="s">
        <v>4792</v>
      </c>
    </row>
    <row r="84" customHeight="1" spans="1:38">
      <c r="A84" t="s">
        <v>22</v>
      </c>
      <c r="B84" t="s">
        <v>49</v>
      </c>
      <c r="C84" t="s">
        <v>51</v>
      </c>
      <c r="D84" t="s">
        <v>22</v>
      </c>
      <c r="E84" t="s">
        <v>5094</v>
      </c>
      <c r="F84" t="s">
        <v>1046</v>
      </c>
      <c r="G84" t="s">
        <v>1047</v>
      </c>
      <c r="H84" t="s">
        <v>1047</v>
      </c>
      <c r="I84" t="s">
        <v>1048</v>
      </c>
      <c r="J84" t="s">
        <v>1049</v>
      </c>
      <c r="K84" t="s">
        <v>1050</v>
      </c>
      <c r="L84" t="s">
        <v>5090</v>
      </c>
      <c r="M84" t="s">
        <v>5095</v>
      </c>
      <c r="N84" t="s">
        <v>107</v>
      </c>
      <c r="O84" t="s">
        <v>1047</v>
      </c>
      <c r="P84" t="s">
        <v>4782</v>
      </c>
      <c r="Q84" t="s">
        <v>1048</v>
      </c>
      <c r="R84" t="s">
        <v>1049</v>
      </c>
      <c r="S84" t="s">
        <v>1050</v>
      </c>
      <c r="T84" t="s">
        <v>4796</v>
      </c>
      <c r="U84" t="s">
        <v>4805</v>
      </c>
      <c r="V84" t="s">
        <v>4806</v>
      </c>
      <c r="W84" t="s">
        <v>4786</v>
      </c>
      <c r="X84" t="s">
        <v>4807</v>
      </c>
      <c r="Y84" t="s">
        <v>4800</v>
      </c>
      <c r="Z84" t="s">
        <v>4836</v>
      </c>
      <c r="AA84" t="s">
        <v>4837</v>
      </c>
      <c r="AB84" t="s">
        <v>4838</v>
      </c>
      <c r="AC84" t="s">
        <v>66</v>
      </c>
      <c r="AD84" t="s">
        <v>66</v>
      </c>
      <c r="AE84" t="s">
        <v>66</v>
      </c>
      <c r="AF84" t="s">
        <v>5097</v>
      </c>
      <c r="AG84" t="s">
        <v>5099</v>
      </c>
      <c r="AH84" t="s">
        <v>5097</v>
      </c>
      <c r="AI84" t="s">
        <v>5099</v>
      </c>
      <c r="AJ84" t="s">
        <v>5097</v>
      </c>
      <c r="AK84" t="s">
        <v>5099</v>
      </c>
      <c r="AL84" t="s">
        <v>4792</v>
      </c>
    </row>
    <row r="85" customHeight="1" spans="1:38">
      <c r="A85" t="s">
        <v>22</v>
      </c>
      <c r="B85" t="s">
        <v>49</v>
      </c>
      <c r="C85" t="s">
        <v>51</v>
      </c>
      <c r="D85" t="s">
        <v>22</v>
      </c>
      <c r="E85" t="s">
        <v>5100</v>
      </c>
      <c r="F85" t="s">
        <v>1046</v>
      </c>
      <c r="G85" t="s">
        <v>1047</v>
      </c>
      <c r="H85" t="s">
        <v>1047</v>
      </c>
      <c r="I85" t="s">
        <v>1048</v>
      </c>
      <c r="J85" t="s">
        <v>1049</v>
      </c>
      <c r="K85" t="s">
        <v>1050</v>
      </c>
      <c r="L85" t="s">
        <v>5101</v>
      </c>
      <c r="M85" t="s">
        <v>3671</v>
      </c>
      <c r="N85" t="s">
        <v>107</v>
      </c>
      <c r="O85" t="s">
        <v>1047</v>
      </c>
      <c r="P85" t="s">
        <v>4782</v>
      </c>
      <c r="Q85" t="s">
        <v>1048</v>
      </c>
      <c r="R85" t="s">
        <v>1049</v>
      </c>
      <c r="S85" t="s">
        <v>1050</v>
      </c>
      <c r="T85" t="s">
        <v>4796</v>
      </c>
      <c r="U85" t="s">
        <v>4805</v>
      </c>
      <c r="V85" t="s">
        <v>4806</v>
      </c>
      <c r="W85" t="s">
        <v>4786</v>
      </c>
      <c r="X85" t="s">
        <v>4807</v>
      </c>
      <c r="Y85" t="s">
        <v>4800</v>
      </c>
      <c r="Z85" t="s">
        <v>4836</v>
      </c>
      <c r="AA85" t="s">
        <v>4837</v>
      </c>
      <c r="AB85" t="s">
        <v>4838</v>
      </c>
      <c r="AC85" t="s">
        <v>66</v>
      </c>
      <c r="AD85" t="s">
        <v>66</v>
      </c>
      <c r="AE85" t="s">
        <v>66</v>
      </c>
      <c r="AF85" t="s">
        <v>5102</v>
      </c>
      <c r="AG85" t="s">
        <v>5103</v>
      </c>
      <c r="AH85" t="s">
        <v>5102</v>
      </c>
      <c r="AI85" t="s">
        <v>5103</v>
      </c>
      <c r="AJ85" t="s">
        <v>5102</v>
      </c>
      <c r="AK85" t="s">
        <v>5103</v>
      </c>
      <c r="AL85" t="s">
        <v>4792</v>
      </c>
    </row>
    <row r="86" customHeight="1" spans="1:38">
      <c r="A86" t="s">
        <v>22</v>
      </c>
      <c r="B86" t="s">
        <v>49</v>
      </c>
      <c r="C86" t="s">
        <v>51</v>
      </c>
      <c r="D86" t="s">
        <v>22</v>
      </c>
      <c r="E86" t="s">
        <v>5100</v>
      </c>
      <c r="F86" t="s">
        <v>1046</v>
      </c>
      <c r="G86" t="s">
        <v>1047</v>
      </c>
      <c r="H86" t="s">
        <v>1047</v>
      </c>
      <c r="I86" t="s">
        <v>1048</v>
      </c>
      <c r="J86" t="s">
        <v>1049</v>
      </c>
      <c r="K86" t="s">
        <v>1050</v>
      </c>
      <c r="L86" t="s">
        <v>5101</v>
      </c>
      <c r="M86" t="s">
        <v>3671</v>
      </c>
      <c r="N86" t="s">
        <v>107</v>
      </c>
      <c r="O86" t="s">
        <v>1047</v>
      </c>
      <c r="P86" t="s">
        <v>4782</v>
      </c>
      <c r="Q86" t="s">
        <v>1048</v>
      </c>
      <c r="R86" t="s">
        <v>1049</v>
      </c>
      <c r="S86" t="s">
        <v>1050</v>
      </c>
      <c r="T86" t="s">
        <v>4796</v>
      </c>
      <c r="U86" t="s">
        <v>4797</v>
      </c>
      <c r="V86" t="s">
        <v>4798</v>
      </c>
      <c r="W86" t="s">
        <v>4786</v>
      </c>
      <c r="X86" t="s">
        <v>4807</v>
      </c>
      <c r="Y86" t="s">
        <v>4800</v>
      </c>
      <c r="Z86" t="s">
        <v>4847</v>
      </c>
      <c r="AA86" t="s">
        <v>4848</v>
      </c>
      <c r="AB86" t="s">
        <v>4798</v>
      </c>
      <c r="AC86" t="s">
        <v>66</v>
      </c>
      <c r="AD86" t="s">
        <v>66</v>
      </c>
      <c r="AE86" t="s">
        <v>66</v>
      </c>
      <c r="AF86" t="s">
        <v>5102</v>
      </c>
      <c r="AG86" t="s">
        <v>5104</v>
      </c>
      <c r="AH86" t="s">
        <v>5102</v>
      </c>
      <c r="AI86" t="s">
        <v>5104</v>
      </c>
      <c r="AJ86" t="s">
        <v>5102</v>
      </c>
      <c r="AK86" t="s">
        <v>5104</v>
      </c>
      <c r="AL86" t="s">
        <v>4792</v>
      </c>
    </row>
    <row r="87" customHeight="1" spans="1:38">
      <c r="A87" t="s">
        <v>22</v>
      </c>
      <c r="B87" t="s">
        <v>49</v>
      </c>
      <c r="C87" t="s">
        <v>51</v>
      </c>
      <c r="D87" t="s">
        <v>22</v>
      </c>
      <c r="E87" t="s">
        <v>5105</v>
      </c>
      <c r="F87" t="s">
        <v>1046</v>
      </c>
      <c r="G87" t="s">
        <v>1047</v>
      </c>
      <c r="H87" t="s">
        <v>1047</v>
      </c>
      <c r="I87" t="s">
        <v>1048</v>
      </c>
      <c r="J87" t="s">
        <v>1049</v>
      </c>
      <c r="K87" t="s">
        <v>1050</v>
      </c>
      <c r="L87" t="s">
        <v>5101</v>
      </c>
      <c r="M87" t="s">
        <v>5106</v>
      </c>
      <c r="N87" t="s">
        <v>107</v>
      </c>
      <c r="O87" t="s">
        <v>1047</v>
      </c>
      <c r="P87" t="s">
        <v>4782</v>
      </c>
      <c r="Q87" t="s">
        <v>1048</v>
      </c>
      <c r="R87" t="s">
        <v>1049</v>
      </c>
      <c r="S87" t="s">
        <v>1050</v>
      </c>
      <c r="T87" t="s">
        <v>4796</v>
      </c>
      <c r="U87" t="s">
        <v>4805</v>
      </c>
      <c r="V87" t="s">
        <v>4806</v>
      </c>
      <c r="W87" t="s">
        <v>4786</v>
      </c>
      <c r="X87" t="s">
        <v>4828</v>
      </c>
      <c r="Y87" t="s">
        <v>4800</v>
      </c>
      <c r="Z87" t="s">
        <v>5107</v>
      </c>
      <c r="AA87" t="s">
        <v>5108</v>
      </c>
      <c r="AB87" t="s">
        <v>4831</v>
      </c>
      <c r="AC87" t="s">
        <v>66</v>
      </c>
      <c r="AD87" t="s">
        <v>66</v>
      </c>
      <c r="AE87" t="s">
        <v>66</v>
      </c>
      <c r="AF87" t="s">
        <v>5109</v>
      </c>
      <c r="AG87" t="s">
        <v>5110</v>
      </c>
      <c r="AH87" t="s">
        <v>5109</v>
      </c>
      <c r="AI87" t="s">
        <v>5110</v>
      </c>
      <c r="AJ87" t="s">
        <v>5109</v>
      </c>
      <c r="AK87" t="s">
        <v>5110</v>
      </c>
      <c r="AL87" t="s">
        <v>4792</v>
      </c>
    </row>
    <row r="88" customHeight="1" spans="1:38">
      <c r="A88" t="s">
        <v>22</v>
      </c>
      <c r="B88" t="s">
        <v>49</v>
      </c>
      <c r="C88" t="s">
        <v>51</v>
      </c>
      <c r="D88" t="s">
        <v>22</v>
      </c>
      <c r="E88" t="s">
        <v>5105</v>
      </c>
      <c r="F88" t="s">
        <v>1046</v>
      </c>
      <c r="G88" t="s">
        <v>1047</v>
      </c>
      <c r="H88" t="s">
        <v>1047</v>
      </c>
      <c r="I88" t="s">
        <v>1048</v>
      </c>
      <c r="J88" t="s">
        <v>1049</v>
      </c>
      <c r="K88" t="s">
        <v>1050</v>
      </c>
      <c r="L88" t="s">
        <v>5101</v>
      </c>
      <c r="M88" t="s">
        <v>5106</v>
      </c>
      <c r="N88" t="s">
        <v>107</v>
      </c>
      <c r="O88" t="s">
        <v>1047</v>
      </c>
      <c r="P88" t="s">
        <v>4782</v>
      </c>
      <c r="Q88" t="s">
        <v>1048</v>
      </c>
      <c r="R88" t="s">
        <v>1049</v>
      </c>
      <c r="S88" t="s">
        <v>1050</v>
      </c>
      <c r="T88" t="s">
        <v>4796</v>
      </c>
      <c r="U88" t="s">
        <v>4797</v>
      </c>
      <c r="V88" t="s">
        <v>4814</v>
      </c>
      <c r="W88" t="s">
        <v>4786</v>
      </c>
      <c r="X88" t="s">
        <v>4807</v>
      </c>
      <c r="Y88" t="s">
        <v>4800</v>
      </c>
      <c r="Z88" t="s">
        <v>5111</v>
      </c>
      <c r="AA88" t="s">
        <v>4970</v>
      </c>
      <c r="AB88" t="s">
        <v>4814</v>
      </c>
      <c r="AC88" t="s">
        <v>66</v>
      </c>
      <c r="AD88" t="s">
        <v>66</v>
      </c>
      <c r="AE88" t="s">
        <v>66</v>
      </c>
      <c r="AF88" t="s">
        <v>5109</v>
      </c>
      <c r="AG88" t="s">
        <v>5112</v>
      </c>
      <c r="AH88" t="s">
        <v>5109</v>
      </c>
      <c r="AI88" t="s">
        <v>5112</v>
      </c>
      <c r="AJ88" t="s">
        <v>5109</v>
      </c>
      <c r="AK88" t="s">
        <v>5112</v>
      </c>
      <c r="AL88" t="s">
        <v>4792</v>
      </c>
    </row>
    <row r="89" customHeight="1" spans="1:38">
      <c r="A89" t="s">
        <v>22</v>
      </c>
      <c r="B89" t="s">
        <v>49</v>
      </c>
      <c r="C89" t="s">
        <v>51</v>
      </c>
      <c r="D89" t="s">
        <v>22</v>
      </c>
      <c r="E89" t="s">
        <v>5113</v>
      </c>
      <c r="F89" t="s">
        <v>1046</v>
      </c>
      <c r="G89" t="s">
        <v>1047</v>
      </c>
      <c r="H89" t="s">
        <v>1047</v>
      </c>
      <c r="I89" t="s">
        <v>1048</v>
      </c>
      <c r="J89" t="s">
        <v>1049</v>
      </c>
      <c r="K89" t="s">
        <v>1050</v>
      </c>
      <c r="L89" t="s">
        <v>5114</v>
      </c>
      <c r="M89" t="s">
        <v>5115</v>
      </c>
      <c r="N89" t="s">
        <v>107</v>
      </c>
      <c r="O89" t="s">
        <v>1047</v>
      </c>
      <c r="P89" t="s">
        <v>4782</v>
      </c>
      <c r="Q89" t="s">
        <v>1048</v>
      </c>
      <c r="R89" t="s">
        <v>1049</v>
      </c>
      <c r="S89" t="s">
        <v>1050</v>
      </c>
      <c r="T89" t="s">
        <v>4796</v>
      </c>
      <c r="U89" t="s">
        <v>4805</v>
      </c>
      <c r="V89" t="s">
        <v>4806</v>
      </c>
      <c r="W89" t="s">
        <v>4786</v>
      </c>
      <c r="X89" t="s">
        <v>4828</v>
      </c>
      <c r="Y89" t="s">
        <v>4800</v>
      </c>
      <c r="Z89" t="s">
        <v>5116</v>
      </c>
      <c r="AA89" t="s">
        <v>5117</v>
      </c>
      <c r="AB89" t="s">
        <v>4869</v>
      </c>
      <c r="AC89" t="s">
        <v>66</v>
      </c>
      <c r="AD89" t="s">
        <v>66</v>
      </c>
      <c r="AE89" t="s">
        <v>66</v>
      </c>
      <c r="AF89" t="s">
        <v>5118</v>
      </c>
      <c r="AG89" t="s">
        <v>5119</v>
      </c>
      <c r="AH89" t="s">
        <v>5118</v>
      </c>
      <c r="AI89" t="s">
        <v>5119</v>
      </c>
      <c r="AJ89" t="s">
        <v>5118</v>
      </c>
      <c r="AK89" t="s">
        <v>5119</v>
      </c>
      <c r="AL89" t="s">
        <v>4792</v>
      </c>
    </row>
    <row r="90" customHeight="1" spans="1:38">
      <c r="A90" t="s">
        <v>22</v>
      </c>
      <c r="B90" t="s">
        <v>49</v>
      </c>
      <c r="C90" t="s">
        <v>51</v>
      </c>
      <c r="D90" t="s">
        <v>22</v>
      </c>
      <c r="E90" t="s">
        <v>5113</v>
      </c>
      <c r="F90" t="s">
        <v>1046</v>
      </c>
      <c r="G90" t="s">
        <v>1047</v>
      </c>
      <c r="H90" t="s">
        <v>1047</v>
      </c>
      <c r="I90" t="s">
        <v>1048</v>
      </c>
      <c r="J90" t="s">
        <v>1049</v>
      </c>
      <c r="K90" t="s">
        <v>1050</v>
      </c>
      <c r="L90" t="s">
        <v>5114</v>
      </c>
      <c r="M90" t="s">
        <v>5115</v>
      </c>
      <c r="N90" t="s">
        <v>107</v>
      </c>
      <c r="O90" t="s">
        <v>1047</v>
      </c>
      <c r="P90" t="s">
        <v>4782</v>
      </c>
      <c r="Q90" t="s">
        <v>1048</v>
      </c>
      <c r="R90" t="s">
        <v>1049</v>
      </c>
      <c r="S90" t="s">
        <v>1050</v>
      </c>
      <c r="T90" t="s">
        <v>4796</v>
      </c>
      <c r="U90" t="s">
        <v>4797</v>
      </c>
      <c r="V90" t="s">
        <v>4841</v>
      </c>
      <c r="W90" t="s">
        <v>4786</v>
      </c>
      <c r="X90" t="s">
        <v>4807</v>
      </c>
      <c r="Y90" t="s">
        <v>4800</v>
      </c>
      <c r="Z90" t="s">
        <v>5120</v>
      </c>
      <c r="AA90" t="s">
        <v>5121</v>
      </c>
      <c r="AB90" t="s">
        <v>5122</v>
      </c>
      <c r="AC90" t="s">
        <v>66</v>
      </c>
      <c r="AD90" t="s">
        <v>66</v>
      </c>
      <c r="AE90" t="s">
        <v>66</v>
      </c>
      <c r="AF90" t="s">
        <v>5118</v>
      </c>
      <c r="AG90" t="s">
        <v>5123</v>
      </c>
      <c r="AH90" t="s">
        <v>5118</v>
      </c>
      <c r="AI90" t="s">
        <v>5123</v>
      </c>
      <c r="AJ90" t="s">
        <v>5118</v>
      </c>
      <c r="AK90" t="s">
        <v>5123</v>
      </c>
      <c r="AL90" t="s">
        <v>4792</v>
      </c>
    </row>
    <row r="91" customHeight="1" spans="1:38">
      <c r="A91" t="s">
        <v>22</v>
      </c>
      <c r="B91" t="s">
        <v>49</v>
      </c>
      <c r="C91" t="s">
        <v>51</v>
      </c>
      <c r="D91" t="s">
        <v>22</v>
      </c>
      <c r="E91" t="s">
        <v>5124</v>
      </c>
      <c r="F91" t="s">
        <v>1046</v>
      </c>
      <c r="G91" t="s">
        <v>1047</v>
      </c>
      <c r="H91" t="s">
        <v>1047</v>
      </c>
      <c r="I91" t="s">
        <v>1048</v>
      </c>
      <c r="J91" t="s">
        <v>1049</v>
      </c>
      <c r="K91" t="s">
        <v>1050</v>
      </c>
      <c r="L91" t="s">
        <v>5114</v>
      </c>
      <c r="M91" t="s">
        <v>3674</v>
      </c>
      <c r="N91" t="s">
        <v>107</v>
      </c>
      <c r="O91" t="s">
        <v>1047</v>
      </c>
      <c r="P91" t="s">
        <v>4782</v>
      </c>
      <c r="Q91" t="s">
        <v>1048</v>
      </c>
      <c r="R91" t="s">
        <v>1049</v>
      </c>
      <c r="S91" t="s">
        <v>1050</v>
      </c>
      <c r="T91" t="s">
        <v>4796</v>
      </c>
      <c r="U91" t="s">
        <v>4797</v>
      </c>
      <c r="V91" t="s">
        <v>4841</v>
      </c>
      <c r="W91" t="s">
        <v>4786</v>
      </c>
      <c r="X91" t="s">
        <v>4807</v>
      </c>
      <c r="Y91" t="s">
        <v>4800</v>
      </c>
      <c r="Z91" t="s">
        <v>5125</v>
      </c>
      <c r="AA91" t="s">
        <v>5126</v>
      </c>
      <c r="AB91" t="s">
        <v>4841</v>
      </c>
      <c r="AC91" t="s">
        <v>66</v>
      </c>
      <c r="AD91" t="s">
        <v>66</v>
      </c>
      <c r="AE91" t="s">
        <v>66</v>
      </c>
      <c r="AF91" t="s">
        <v>5127</v>
      </c>
      <c r="AG91" t="s">
        <v>5128</v>
      </c>
      <c r="AH91" t="s">
        <v>5127</v>
      </c>
      <c r="AI91" t="s">
        <v>5128</v>
      </c>
      <c r="AJ91" t="s">
        <v>5127</v>
      </c>
      <c r="AK91" t="s">
        <v>5128</v>
      </c>
      <c r="AL91" t="s">
        <v>4792</v>
      </c>
    </row>
    <row r="92" customHeight="1" spans="1:38">
      <c r="A92" t="s">
        <v>22</v>
      </c>
      <c r="B92" t="s">
        <v>49</v>
      </c>
      <c r="C92" t="s">
        <v>51</v>
      </c>
      <c r="D92" t="s">
        <v>22</v>
      </c>
      <c r="E92" t="s">
        <v>5124</v>
      </c>
      <c r="F92" t="s">
        <v>1046</v>
      </c>
      <c r="G92" t="s">
        <v>1047</v>
      </c>
      <c r="H92" t="s">
        <v>1047</v>
      </c>
      <c r="I92" t="s">
        <v>1048</v>
      </c>
      <c r="J92" t="s">
        <v>1049</v>
      </c>
      <c r="K92" t="s">
        <v>1050</v>
      </c>
      <c r="L92" t="s">
        <v>5114</v>
      </c>
      <c r="M92" t="s">
        <v>3674</v>
      </c>
      <c r="N92" t="s">
        <v>107</v>
      </c>
      <c r="O92" t="s">
        <v>1047</v>
      </c>
      <c r="P92" t="s">
        <v>4782</v>
      </c>
      <c r="Q92" t="s">
        <v>1048</v>
      </c>
      <c r="R92" t="s">
        <v>1049</v>
      </c>
      <c r="S92" t="s">
        <v>1050</v>
      </c>
      <c r="T92" t="s">
        <v>4796</v>
      </c>
      <c r="U92" t="s">
        <v>4805</v>
      </c>
      <c r="V92" t="s">
        <v>4806</v>
      </c>
      <c r="W92" t="s">
        <v>4786</v>
      </c>
      <c r="X92" t="s">
        <v>4828</v>
      </c>
      <c r="Y92" t="s">
        <v>4800</v>
      </c>
      <c r="Z92" t="s">
        <v>5129</v>
      </c>
      <c r="AA92" t="s">
        <v>4966</v>
      </c>
      <c r="AB92" t="s">
        <v>4869</v>
      </c>
      <c r="AC92" t="s">
        <v>66</v>
      </c>
      <c r="AD92" t="s">
        <v>66</v>
      </c>
      <c r="AE92" t="s">
        <v>66</v>
      </c>
      <c r="AF92" t="s">
        <v>5127</v>
      </c>
      <c r="AG92" t="s">
        <v>5130</v>
      </c>
      <c r="AH92" t="s">
        <v>5127</v>
      </c>
      <c r="AI92" t="s">
        <v>5130</v>
      </c>
      <c r="AJ92" t="s">
        <v>5127</v>
      </c>
      <c r="AK92" t="s">
        <v>5130</v>
      </c>
      <c r="AL92" t="s">
        <v>4792</v>
      </c>
    </row>
    <row r="93" customHeight="1" spans="1:38">
      <c r="A93" t="s">
        <v>22</v>
      </c>
      <c r="B93" t="s">
        <v>49</v>
      </c>
      <c r="C93" t="s">
        <v>51</v>
      </c>
      <c r="D93" t="s">
        <v>22</v>
      </c>
      <c r="E93" t="s">
        <v>5131</v>
      </c>
      <c r="F93" t="s">
        <v>1070</v>
      </c>
      <c r="G93" t="s">
        <v>1047</v>
      </c>
      <c r="H93" t="s">
        <v>1047</v>
      </c>
      <c r="I93" t="s">
        <v>1048</v>
      </c>
      <c r="J93" t="s">
        <v>1049</v>
      </c>
      <c r="K93" t="s">
        <v>1050</v>
      </c>
      <c r="L93" t="s">
        <v>5132</v>
      </c>
      <c r="M93" t="s">
        <v>5133</v>
      </c>
      <c r="N93" t="s">
        <v>107</v>
      </c>
      <c r="O93" t="s">
        <v>1047</v>
      </c>
      <c r="P93" t="s">
        <v>4782</v>
      </c>
      <c r="Q93" t="s">
        <v>1048</v>
      </c>
      <c r="R93" t="s">
        <v>1049</v>
      </c>
      <c r="S93" t="s">
        <v>1050</v>
      </c>
      <c r="T93" t="s">
        <v>4796</v>
      </c>
      <c r="U93" t="s">
        <v>4805</v>
      </c>
      <c r="V93" t="s">
        <v>4806</v>
      </c>
      <c r="W93" t="s">
        <v>4786</v>
      </c>
      <c r="X93" t="s">
        <v>4828</v>
      </c>
      <c r="Y93" t="s">
        <v>4800</v>
      </c>
      <c r="Z93" t="s">
        <v>5134</v>
      </c>
      <c r="AA93" t="s">
        <v>5135</v>
      </c>
      <c r="AB93" t="s">
        <v>4959</v>
      </c>
      <c r="AC93" t="s">
        <v>66</v>
      </c>
      <c r="AD93" t="s">
        <v>19</v>
      </c>
      <c r="AE93" t="s">
        <v>19</v>
      </c>
      <c r="AF93" t="s">
        <v>5136</v>
      </c>
      <c r="AG93" t="s">
        <v>5137</v>
      </c>
      <c r="AH93" t="s">
        <v>22</v>
      </c>
      <c r="AI93" t="s">
        <v>22</v>
      </c>
      <c r="AJ93" t="s">
        <v>22</v>
      </c>
      <c r="AK93" t="s">
        <v>22</v>
      </c>
      <c r="AL93" t="s">
        <v>4792</v>
      </c>
    </row>
    <row r="94" customHeight="1" spans="1:38">
      <c r="A94" t="s">
        <v>22</v>
      </c>
      <c r="B94" t="s">
        <v>49</v>
      </c>
      <c r="C94" t="s">
        <v>51</v>
      </c>
      <c r="D94" t="s">
        <v>22</v>
      </c>
      <c r="E94" t="s">
        <v>5131</v>
      </c>
      <c r="F94" t="s">
        <v>1070</v>
      </c>
      <c r="G94" t="s">
        <v>1047</v>
      </c>
      <c r="H94" t="s">
        <v>1047</v>
      </c>
      <c r="I94" t="s">
        <v>1048</v>
      </c>
      <c r="J94" t="s">
        <v>1049</v>
      </c>
      <c r="K94" t="s">
        <v>1050</v>
      </c>
      <c r="L94" t="s">
        <v>5132</v>
      </c>
      <c r="M94" t="s">
        <v>5133</v>
      </c>
      <c r="N94" t="s">
        <v>107</v>
      </c>
      <c r="O94" t="s">
        <v>1047</v>
      </c>
      <c r="P94" t="s">
        <v>4782</v>
      </c>
      <c r="Q94" t="s">
        <v>1048</v>
      </c>
      <c r="R94" t="s">
        <v>1049</v>
      </c>
      <c r="S94" t="s">
        <v>1050</v>
      </c>
      <c r="T94" t="s">
        <v>4796</v>
      </c>
      <c r="U94" t="s">
        <v>4797</v>
      </c>
      <c r="V94" t="s">
        <v>4798</v>
      </c>
      <c r="W94" t="s">
        <v>4786</v>
      </c>
      <c r="X94" t="s">
        <v>4807</v>
      </c>
      <c r="Y94" t="s">
        <v>4800</v>
      </c>
      <c r="Z94" t="s">
        <v>5138</v>
      </c>
      <c r="AA94" t="s">
        <v>5001</v>
      </c>
      <c r="AB94" t="s">
        <v>4798</v>
      </c>
      <c r="AC94" t="s">
        <v>66</v>
      </c>
      <c r="AD94" t="s">
        <v>19</v>
      </c>
      <c r="AE94" t="s">
        <v>19</v>
      </c>
      <c r="AF94" t="s">
        <v>5136</v>
      </c>
      <c r="AG94" t="s">
        <v>5137</v>
      </c>
      <c r="AH94" t="s">
        <v>22</v>
      </c>
      <c r="AI94" t="s">
        <v>22</v>
      </c>
      <c r="AJ94" t="s">
        <v>22</v>
      </c>
      <c r="AK94" t="s">
        <v>22</v>
      </c>
      <c r="AL94" t="s">
        <v>4792</v>
      </c>
    </row>
    <row r="95" customHeight="1" spans="1:38">
      <c r="A95" t="s">
        <v>22</v>
      </c>
      <c r="B95" t="s">
        <v>49</v>
      </c>
      <c r="C95" t="s">
        <v>51</v>
      </c>
      <c r="D95" t="s">
        <v>22</v>
      </c>
      <c r="E95" t="s">
        <v>5139</v>
      </c>
      <c r="F95" t="s">
        <v>1070</v>
      </c>
      <c r="G95" t="s">
        <v>1047</v>
      </c>
      <c r="H95" t="s">
        <v>1047</v>
      </c>
      <c r="I95" t="s">
        <v>1048</v>
      </c>
      <c r="J95" t="s">
        <v>1049</v>
      </c>
      <c r="K95" t="s">
        <v>1050</v>
      </c>
      <c r="L95" t="s">
        <v>5140</v>
      </c>
      <c r="M95" t="s">
        <v>5141</v>
      </c>
      <c r="N95" t="s">
        <v>107</v>
      </c>
      <c r="O95" t="s">
        <v>1047</v>
      </c>
      <c r="P95" t="s">
        <v>4782</v>
      </c>
      <c r="Q95" t="s">
        <v>1048</v>
      </c>
      <c r="R95" t="s">
        <v>1049</v>
      </c>
      <c r="S95" t="s">
        <v>1050</v>
      </c>
      <c r="T95" t="s">
        <v>4796</v>
      </c>
      <c r="U95" t="s">
        <v>4797</v>
      </c>
      <c r="V95" t="s">
        <v>4841</v>
      </c>
      <c r="W95" t="s">
        <v>4786</v>
      </c>
      <c r="X95" t="s">
        <v>4807</v>
      </c>
      <c r="Y95" t="s">
        <v>4800</v>
      </c>
      <c r="Z95" t="s">
        <v>5142</v>
      </c>
      <c r="AA95" t="s">
        <v>4864</v>
      </c>
      <c r="AB95" t="s">
        <v>4841</v>
      </c>
      <c r="AC95" t="s">
        <v>66</v>
      </c>
      <c r="AD95" t="s">
        <v>19</v>
      </c>
      <c r="AE95" t="s">
        <v>19</v>
      </c>
      <c r="AF95" t="s">
        <v>5143</v>
      </c>
      <c r="AG95" t="s">
        <v>5144</v>
      </c>
      <c r="AH95" t="s">
        <v>22</v>
      </c>
      <c r="AI95" t="s">
        <v>22</v>
      </c>
      <c r="AJ95" t="s">
        <v>22</v>
      </c>
      <c r="AK95" t="s">
        <v>22</v>
      </c>
      <c r="AL95" t="s">
        <v>4792</v>
      </c>
    </row>
    <row r="96" customHeight="1" spans="1:38">
      <c r="A96" t="s">
        <v>22</v>
      </c>
      <c r="B96" t="s">
        <v>49</v>
      </c>
      <c r="C96" t="s">
        <v>51</v>
      </c>
      <c r="D96" t="s">
        <v>22</v>
      </c>
      <c r="E96" t="s">
        <v>5139</v>
      </c>
      <c r="F96" t="s">
        <v>1070</v>
      </c>
      <c r="G96" t="s">
        <v>1047</v>
      </c>
      <c r="H96" t="s">
        <v>1047</v>
      </c>
      <c r="I96" t="s">
        <v>1048</v>
      </c>
      <c r="J96" t="s">
        <v>1049</v>
      </c>
      <c r="K96" t="s">
        <v>1050</v>
      </c>
      <c r="L96" t="s">
        <v>5140</v>
      </c>
      <c r="M96" t="s">
        <v>5141</v>
      </c>
      <c r="N96" t="s">
        <v>107</v>
      </c>
      <c r="O96" t="s">
        <v>1047</v>
      </c>
      <c r="P96" t="s">
        <v>4782</v>
      </c>
      <c r="Q96" t="s">
        <v>1048</v>
      </c>
      <c r="R96" t="s">
        <v>1049</v>
      </c>
      <c r="S96" t="s">
        <v>1050</v>
      </c>
      <c r="T96" t="s">
        <v>4796</v>
      </c>
      <c r="U96" t="s">
        <v>4805</v>
      </c>
      <c r="V96" t="s">
        <v>4806</v>
      </c>
      <c r="W96" t="s">
        <v>4786</v>
      </c>
      <c r="X96" t="s">
        <v>4828</v>
      </c>
      <c r="Y96" t="s">
        <v>4800</v>
      </c>
      <c r="Z96" t="s">
        <v>5145</v>
      </c>
      <c r="AA96" t="s">
        <v>5146</v>
      </c>
      <c r="AB96" t="s">
        <v>5147</v>
      </c>
      <c r="AC96" t="s">
        <v>66</v>
      </c>
      <c r="AD96" t="s">
        <v>19</v>
      </c>
      <c r="AE96" t="s">
        <v>19</v>
      </c>
      <c r="AF96" t="s">
        <v>5143</v>
      </c>
      <c r="AG96" t="s">
        <v>5148</v>
      </c>
      <c r="AH96" t="s">
        <v>22</v>
      </c>
      <c r="AI96" t="s">
        <v>22</v>
      </c>
      <c r="AJ96" t="s">
        <v>22</v>
      </c>
      <c r="AK96" t="s">
        <v>22</v>
      </c>
      <c r="AL96" t="s">
        <v>4792</v>
      </c>
    </row>
    <row r="97" customHeight="1" spans="1:38">
      <c r="A97" t="s">
        <v>22</v>
      </c>
      <c r="B97" t="s">
        <v>49</v>
      </c>
      <c r="C97" t="s">
        <v>51</v>
      </c>
      <c r="D97" t="s">
        <v>22</v>
      </c>
      <c r="E97" t="s">
        <v>5149</v>
      </c>
      <c r="F97" t="s">
        <v>1070</v>
      </c>
      <c r="G97" t="s">
        <v>1047</v>
      </c>
      <c r="H97" t="s">
        <v>1047</v>
      </c>
      <c r="I97" t="s">
        <v>1048</v>
      </c>
      <c r="J97" t="s">
        <v>1049</v>
      </c>
      <c r="K97" t="s">
        <v>1050</v>
      </c>
      <c r="L97" t="s">
        <v>5150</v>
      </c>
      <c r="M97" t="s">
        <v>110</v>
      </c>
      <c r="N97" t="s">
        <v>107</v>
      </c>
      <c r="O97" t="s">
        <v>1047</v>
      </c>
      <c r="P97" t="s">
        <v>4782</v>
      </c>
      <c r="Q97" t="s">
        <v>1048</v>
      </c>
      <c r="R97" t="s">
        <v>1049</v>
      </c>
      <c r="S97" t="s">
        <v>1050</v>
      </c>
      <c r="T97" t="s">
        <v>4796</v>
      </c>
      <c r="U97" t="s">
        <v>4805</v>
      </c>
      <c r="V97" t="s">
        <v>4806</v>
      </c>
      <c r="W97" t="s">
        <v>4786</v>
      </c>
      <c r="X97" t="s">
        <v>4807</v>
      </c>
      <c r="Y97" t="s">
        <v>4800</v>
      </c>
      <c r="Z97" t="s">
        <v>4836</v>
      </c>
      <c r="AA97" t="s">
        <v>4837</v>
      </c>
      <c r="AB97" t="s">
        <v>4838</v>
      </c>
      <c r="AC97" t="s">
        <v>66</v>
      </c>
      <c r="AD97" t="s">
        <v>19</v>
      </c>
      <c r="AE97" t="s">
        <v>19</v>
      </c>
      <c r="AF97" t="s">
        <v>5033</v>
      </c>
      <c r="AG97" t="s">
        <v>5151</v>
      </c>
      <c r="AH97" t="s">
        <v>22</v>
      </c>
      <c r="AI97" t="s">
        <v>22</v>
      </c>
      <c r="AJ97" t="s">
        <v>22</v>
      </c>
      <c r="AK97" t="s">
        <v>22</v>
      </c>
      <c r="AL97" t="s">
        <v>4792</v>
      </c>
    </row>
    <row r="98" customHeight="1" spans="1:38">
      <c r="A98" t="s">
        <v>22</v>
      </c>
      <c r="B98" t="s">
        <v>49</v>
      </c>
      <c r="C98" t="s">
        <v>51</v>
      </c>
      <c r="D98" t="s">
        <v>22</v>
      </c>
      <c r="E98" t="s">
        <v>5149</v>
      </c>
      <c r="F98" t="s">
        <v>1070</v>
      </c>
      <c r="G98" t="s">
        <v>1047</v>
      </c>
      <c r="H98" t="s">
        <v>1047</v>
      </c>
      <c r="I98" t="s">
        <v>1048</v>
      </c>
      <c r="J98" t="s">
        <v>1049</v>
      </c>
      <c r="K98" t="s">
        <v>1050</v>
      </c>
      <c r="L98" t="s">
        <v>5150</v>
      </c>
      <c r="M98" t="s">
        <v>110</v>
      </c>
      <c r="N98" t="s">
        <v>107</v>
      </c>
      <c r="O98" t="s">
        <v>1047</v>
      </c>
      <c r="P98" t="s">
        <v>4782</v>
      </c>
      <c r="Q98" t="s">
        <v>1048</v>
      </c>
      <c r="R98" t="s">
        <v>1049</v>
      </c>
      <c r="S98" t="s">
        <v>1050</v>
      </c>
      <c r="T98" t="s">
        <v>4796</v>
      </c>
      <c r="U98" t="s">
        <v>4797</v>
      </c>
      <c r="V98" t="s">
        <v>4798</v>
      </c>
      <c r="W98" t="s">
        <v>4786</v>
      </c>
      <c r="X98" t="s">
        <v>4807</v>
      </c>
      <c r="Y98" t="s">
        <v>4800</v>
      </c>
      <c r="Z98" t="s">
        <v>5152</v>
      </c>
      <c r="AA98" t="s">
        <v>5153</v>
      </c>
      <c r="AB98" t="s">
        <v>4798</v>
      </c>
      <c r="AC98" t="s">
        <v>66</v>
      </c>
      <c r="AD98" t="s">
        <v>19</v>
      </c>
      <c r="AE98" t="s">
        <v>19</v>
      </c>
      <c r="AF98" t="s">
        <v>5033</v>
      </c>
      <c r="AG98" t="s">
        <v>5151</v>
      </c>
      <c r="AH98" t="s">
        <v>22</v>
      </c>
      <c r="AI98" t="s">
        <v>22</v>
      </c>
      <c r="AJ98" t="s">
        <v>22</v>
      </c>
      <c r="AK98" t="s">
        <v>22</v>
      </c>
      <c r="AL98" t="s">
        <v>4792</v>
      </c>
    </row>
    <row r="99" customHeight="1" spans="1:38">
      <c r="A99" t="s">
        <v>22</v>
      </c>
      <c r="B99" t="s">
        <v>49</v>
      </c>
      <c r="C99" t="s">
        <v>51</v>
      </c>
      <c r="D99" t="s">
        <v>22</v>
      </c>
      <c r="E99" t="s">
        <v>5154</v>
      </c>
      <c r="F99" t="s">
        <v>1046</v>
      </c>
      <c r="G99" t="s">
        <v>1047</v>
      </c>
      <c r="H99" t="s">
        <v>1047</v>
      </c>
      <c r="I99" t="s">
        <v>1048</v>
      </c>
      <c r="J99" t="s">
        <v>1049</v>
      </c>
      <c r="K99" t="s">
        <v>1050</v>
      </c>
      <c r="L99" t="s">
        <v>5155</v>
      </c>
      <c r="M99" t="s">
        <v>5156</v>
      </c>
      <c r="N99" t="s">
        <v>107</v>
      </c>
      <c r="O99" t="s">
        <v>1047</v>
      </c>
      <c r="P99" t="s">
        <v>4782</v>
      </c>
      <c r="Q99" t="s">
        <v>1048</v>
      </c>
      <c r="R99" t="s">
        <v>1049</v>
      </c>
      <c r="S99" t="s">
        <v>1050</v>
      </c>
      <c r="T99" t="s">
        <v>4796</v>
      </c>
      <c r="U99" t="s">
        <v>4805</v>
      </c>
      <c r="V99" t="s">
        <v>4806</v>
      </c>
      <c r="W99" t="s">
        <v>4786</v>
      </c>
      <c r="X99" t="s">
        <v>4807</v>
      </c>
      <c r="Y99" t="s">
        <v>4800</v>
      </c>
      <c r="Z99" t="s">
        <v>4836</v>
      </c>
      <c r="AA99" t="s">
        <v>4837</v>
      </c>
      <c r="AB99" t="s">
        <v>4838</v>
      </c>
      <c r="AC99" t="s">
        <v>66</v>
      </c>
      <c r="AD99" t="s">
        <v>66</v>
      </c>
      <c r="AE99" t="s">
        <v>66</v>
      </c>
      <c r="AF99" t="s">
        <v>4839</v>
      </c>
      <c r="AG99" t="s">
        <v>5157</v>
      </c>
      <c r="AH99" t="s">
        <v>4839</v>
      </c>
      <c r="AI99" t="s">
        <v>5157</v>
      </c>
      <c r="AJ99" t="s">
        <v>4839</v>
      </c>
      <c r="AK99" t="s">
        <v>5157</v>
      </c>
      <c r="AL99" t="s">
        <v>4792</v>
      </c>
    </row>
    <row r="100" customHeight="1" spans="1:38">
      <c r="A100" t="s">
        <v>22</v>
      </c>
      <c r="B100" t="s">
        <v>49</v>
      </c>
      <c r="C100" t="s">
        <v>51</v>
      </c>
      <c r="D100" t="s">
        <v>22</v>
      </c>
      <c r="E100" t="s">
        <v>5154</v>
      </c>
      <c r="F100" t="s">
        <v>1046</v>
      </c>
      <c r="G100" t="s">
        <v>1047</v>
      </c>
      <c r="H100" t="s">
        <v>1047</v>
      </c>
      <c r="I100" t="s">
        <v>1048</v>
      </c>
      <c r="J100" t="s">
        <v>1049</v>
      </c>
      <c r="K100" t="s">
        <v>1050</v>
      </c>
      <c r="L100" t="s">
        <v>5155</v>
      </c>
      <c r="M100" t="s">
        <v>5156</v>
      </c>
      <c r="N100" t="s">
        <v>107</v>
      </c>
      <c r="O100" t="s">
        <v>1047</v>
      </c>
      <c r="P100" t="s">
        <v>4782</v>
      </c>
      <c r="Q100" t="s">
        <v>1048</v>
      </c>
      <c r="R100" t="s">
        <v>1049</v>
      </c>
      <c r="S100" t="s">
        <v>1050</v>
      </c>
      <c r="T100" t="s">
        <v>4796</v>
      </c>
      <c r="U100" t="s">
        <v>4797</v>
      </c>
      <c r="V100" t="s">
        <v>4841</v>
      </c>
      <c r="W100" t="s">
        <v>4786</v>
      </c>
      <c r="X100" t="s">
        <v>4807</v>
      </c>
      <c r="Y100" t="s">
        <v>4800</v>
      </c>
      <c r="Z100" t="s">
        <v>5158</v>
      </c>
      <c r="AA100" t="s">
        <v>5159</v>
      </c>
      <c r="AB100" t="s">
        <v>4841</v>
      </c>
      <c r="AC100" t="s">
        <v>66</v>
      </c>
      <c r="AD100" t="s">
        <v>66</v>
      </c>
      <c r="AE100" t="s">
        <v>66</v>
      </c>
      <c r="AF100" t="s">
        <v>4839</v>
      </c>
      <c r="AG100" t="s">
        <v>5157</v>
      </c>
      <c r="AH100" t="s">
        <v>4839</v>
      </c>
      <c r="AI100" t="s">
        <v>5157</v>
      </c>
      <c r="AJ100" t="s">
        <v>4839</v>
      </c>
      <c r="AK100" t="s">
        <v>5157</v>
      </c>
      <c r="AL100" t="s">
        <v>4792</v>
      </c>
    </row>
    <row r="101" customHeight="1" spans="1:38">
      <c r="A101" t="s">
        <v>22</v>
      </c>
      <c r="B101" t="s">
        <v>49</v>
      </c>
      <c r="C101" t="s">
        <v>51</v>
      </c>
      <c r="D101" t="s">
        <v>22</v>
      </c>
      <c r="E101" t="s">
        <v>1074</v>
      </c>
      <c r="F101" t="s">
        <v>1070</v>
      </c>
      <c r="G101" t="s">
        <v>1047</v>
      </c>
      <c r="H101" t="s">
        <v>1047</v>
      </c>
      <c r="I101" t="s">
        <v>1048</v>
      </c>
      <c r="J101" t="s">
        <v>1049</v>
      </c>
      <c r="K101" t="s">
        <v>1050</v>
      </c>
      <c r="L101" t="s">
        <v>1075</v>
      </c>
      <c r="M101" t="s">
        <v>1076</v>
      </c>
      <c r="N101" t="s">
        <v>107</v>
      </c>
      <c r="O101" t="s">
        <v>1047</v>
      </c>
      <c r="P101" t="s">
        <v>4782</v>
      </c>
      <c r="Q101" t="s">
        <v>1048</v>
      </c>
      <c r="R101" t="s">
        <v>1049</v>
      </c>
      <c r="S101" t="s">
        <v>1050</v>
      </c>
      <c r="T101" t="s">
        <v>4796</v>
      </c>
      <c r="U101" t="s">
        <v>4797</v>
      </c>
      <c r="V101" t="s">
        <v>5054</v>
      </c>
      <c r="W101" t="s">
        <v>4786</v>
      </c>
      <c r="X101" t="s">
        <v>4807</v>
      </c>
      <c r="Y101" t="s">
        <v>4800</v>
      </c>
      <c r="Z101" t="s">
        <v>5160</v>
      </c>
      <c r="AA101" t="s">
        <v>5161</v>
      </c>
      <c r="AB101" t="s">
        <v>5054</v>
      </c>
      <c r="AC101" t="s">
        <v>66</v>
      </c>
      <c r="AD101" t="s">
        <v>19</v>
      </c>
      <c r="AE101" t="s">
        <v>19</v>
      </c>
      <c r="AF101" t="s">
        <v>4839</v>
      </c>
      <c r="AG101" t="s">
        <v>5162</v>
      </c>
      <c r="AH101" t="s">
        <v>22</v>
      </c>
      <c r="AI101" t="s">
        <v>22</v>
      </c>
      <c r="AJ101" t="s">
        <v>22</v>
      </c>
      <c r="AK101" t="s">
        <v>22</v>
      </c>
      <c r="AL101" t="s">
        <v>4792</v>
      </c>
    </row>
    <row r="102" customHeight="1" spans="1:38">
      <c r="A102" t="s">
        <v>22</v>
      </c>
      <c r="B102" t="s">
        <v>49</v>
      </c>
      <c r="C102" t="s">
        <v>51</v>
      </c>
      <c r="D102" t="s">
        <v>22</v>
      </c>
      <c r="E102" t="s">
        <v>1074</v>
      </c>
      <c r="F102" t="s">
        <v>1070</v>
      </c>
      <c r="G102" t="s">
        <v>1047</v>
      </c>
      <c r="H102" t="s">
        <v>1047</v>
      </c>
      <c r="I102" t="s">
        <v>1048</v>
      </c>
      <c r="J102" t="s">
        <v>1049</v>
      </c>
      <c r="K102" t="s">
        <v>1050</v>
      </c>
      <c r="L102" t="s">
        <v>1075</v>
      </c>
      <c r="M102" t="s">
        <v>1076</v>
      </c>
      <c r="N102" t="s">
        <v>107</v>
      </c>
      <c r="O102" t="s">
        <v>1047</v>
      </c>
      <c r="P102" t="s">
        <v>4782</v>
      </c>
      <c r="Q102" t="s">
        <v>1048</v>
      </c>
      <c r="R102" t="s">
        <v>1049</v>
      </c>
      <c r="S102" t="s">
        <v>1050</v>
      </c>
      <c r="T102" t="s">
        <v>4796</v>
      </c>
      <c r="U102" t="s">
        <v>4805</v>
      </c>
      <c r="V102" t="s">
        <v>4806</v>
      </c>
      <c r="W102" t="s">
        <v>4786</v>
      </c>
      <c r="X102" t="s">
        <v>4828</v>
      </c>
      <c r="Y102" t="s">
        <v>4800</v>
      </c>
      <c r="Z102" t="s">
        <v>5163</v>
      </c>
      <c r="AA102" t="s">
        <v>5164</v>
      </c>
      <c r="AB102" t="s">
        <v>4983</v>
      </c>
      <c r="AC102" t="s">
        <v>66</v>
      </c>
      <c r="AD102" t="s">
        <v>19</v>
      </c>
      <c r="AE102" t="s">
        <v>19</v>
      </c>
      <c r="AF102" t="s">
        <v>4839</v>
      </c>
      <c r="AG102" t="s">
        <v>5165</v>
      </c>
      <c r="AH102" t="s">
        <v>22</v>
      </c>
      <c r="AI102" t="s">
        <v>22</v>
      </c>
      <c r="AJ102" t="s">
        <v>22</v>
      </c>
      <c r="AK102" t="s">
        <v>22</v>
      </c>
      <c r="AL102" t="s">
        <v>4792</v>
      </c>
    </row>
    <row r="103" customHeight="1" spans="1:38">
      <c r="A103" t="s">
        <v>22</v>
      </c>
      <c r="B103" t="s">
        <v>49</v>
      </c>
      <c r="C103" t="s">
        <v>51</v>
      </c>
      <c r="D103" t="s">
        <v>22</v>
      </c>
      <c r="E103" t="s">
        <v>1127</v>
      </c>
      <c r="F103" t="s">
        <v>1046</v>
      </c>
      <c r="G103" t="s">
        <v>1047</v>
      </c>
      <c r="H103" t="s">
        <v>1047</v>
      </c>
      <c r="I103" t="s">
        <v>1048</v>
      </c>
      <c r="J103" t="s">
        <v>1049</v>
      </c>
      <c r="K103" t="s">
        <v>1050</v>
      </c>
      <c r="L103" t="s">
        <v>1075</v>
      </c>
      <c r="M103" t="s">
        <v>1128</v>
      </c>
      <c r="N103" t="s">
        <v>107</v>
      </c>
      <c r="O103" t="s">
        <v>1047</v>
      </c>
      <c r="P103" t="s">
        <v>4782</v>
      </c>
      <c r="Q103" t="s">
        <v>1048</v>
      </c>
      <c r="R103" t="s">
        <v>1049</v>
      </c>
      <c r="S103" t="s">
        <v>1050</v>
      </c>
      <c r="T103" t="s">
        <v>4796</v>
      </c>
      <c r="U103" t="s">
        <v>4797</v>
      </c>
      <c r="V103" t="s">
        <v>5054</v>
      </c>
      <c r="W103" t="s">
        <v>4786</v>
      </c>
      <c r="X103" t="s">
        <v>4807</v>
      </c>
      <c r="Y103" t="s">
        <v>4800</v>
      </c>
      <c r="Z103" t="s">
        <v>5166</v>
      </c>
      <c r="AA103" t="s">
        <v>5167</v>
      </c>
      <c r="AB103" t="s">
        <v>5054</v>
      </c>
      <c r="AC103" t="s">
        <v>66</v>
      </c>
      <c r="AD103" t="s">
        <v>66</v>
      </c>
      <c r="AE103" t="s">
        <v>66</v>
      </c>
      <c r="AF103" t="s">
        <v>5168</v>
      </c>
      <c r="AG103" t="s">
        <v>5169</v>
      </c>
      <c r="AH103" t="s">
        <v>5168</v>
      </c>
      <c r="AI103" t="s">
        <v>5169</v>
      </c>
      <c r="AJ103" t="s">
        <v>5168</v>
      </c>
      <c r="AK103" t="s">
        <v>5169</v>
      </c>
      <c r="AL103" t="s">
        <v>4792</v>
      </c>
    </row>
    <row r="104" customHeight="1" spans="1:38">
      <c r="A104" t="s">
        <v>22</v>
      </c>
      <c r="B104" t="s">
        <v>49</v>
      </c>
      <c r="C104" t="s">
        <v>51</v>
      </c>
      <c r="D104" t="s">
        <v>22</v>
      </c>
      <c r="E104" t="s">
        <v>1127</v>
      </c>
      <c r="F104" t="s">
        <v>1046</v>
      </c>
      <c r="G104" t="s">
        <v>1047</v>
      </c>
      <c r="H104" t="s">
        <v>1047</v>
      </c>
      <c r="I104" t="s">
        <v>1048</v>
      </c>
      <c r="J104" t="s">
        <v>1049</v>
      </c>
      <c r="K104" t="s">
        <v>1050</v>
      </c>
      <c r="L104" t="s">
        <v>1075</v>
      </c>
      <c r="M104" t="s">
        <v>1128</v>
      </c>
      <c r="N104" t="s">
        <v>107</v>
      </c>
      <c r="O104" t="s">
        <v>1047</v>
      </c>
      <c r="P104" t="s">
        <v>4782</v>
      </c>
      <c r="Q104" t="s">
        <v>1048</v>
      </c>
      <c r="R104" t="s">
        <v>1049</v>
      </c>
      <c r="S104" t="s">
        <v>1050</v>
      </c>
      <c r="T104" t="s">
        <v>4796</v>
      </c>
      <c r="U104" t="s">
        <v>4805</v>
      </c>
      <c r="V104" t="s">
        <v>4806</v>
      </c>
      <c r="W104" t="s">
        <v>4786</v>
      </c>
      <c r="X104" t="s">
        <v>4828</v>
      </c>
      <c r="Y104" t="s">
        <v>4800</v>
      </c>
      <c r="Z104" t="s">
        <v>5170</v>
      </c>
      <c r="AA104" t="s">
        <v>4982</v>
      </c>
      <c r="AB104" t="s">
        <v>4983</v>
      </c>
      <c r="AC104" t="s">
        <v>66</v>
      </c>
      <c r="AD104" t="s">
        <v>66</v>
      </c>
      <c r="AE104" t="s">
        <v>66</v>
      </c>
      <c r="AF104" t="s">
        <v>5168</v>
      </c>
      <c r="AG104" t="s">
        <v>5171</v>
      </c>
      <c r="AH104" t="s">
        <v>5168</v>
      </c>
      <c r="AI104" t="s">
        <v>5171</v>
      </c>
      <c r="AJ104" t="s">
        <v>5168</v>
      </c>
      <c r="AK104" t="s">
        <v>5171</v>
      </c>
      <c r="AL104" t="s">
        <v>4792</v>
      </c>
    </row>
    <row r="105" customHeight="1" spans="1:38">
      <c r="A105" t="s">
        <v>22</v>
      </c>
      <c r="B105" t="s">
        <v>49</v>
      </c>
      <c r="C105" t="s">
        <v>51</v>
      </c>
      <c r="D105" t="s">
        <v>22</v>
      </c>
      <c r="E105" t="s">
        <v>1114</v>
      </c>
      <c r="F105" t="s">
        <v>1046</v>
      </c>
      <c r="G105" t="s">
        <v>1047</v>
      </c>
      <c r="H105" t="s">
        <v>1047</v>
      </c>
      <c r="I105" t="s">
        <v>1048</v>
      </c>
      <c r="J105" t="s">
        <v>1049</v>
      </c>
      <c r="K105" t="s">
        <v>1050</v>
      </c>
      <c r="L105" t="s">
        <v>1115</v>
      </c>
      <c r="M105" t="s">
        <v>1116</v>
      </c>
      <c r="N105" t="s">
        <v>107</v>
      </c>
      <c r="O105" t="s">
        <v>1047</v>
      </c>
      <c r="P105" t="s">
        <v>4782</v>
      </c>
      <c r="Q105" t="s">
        <v>1048</v>
      </c>
      <c r="R105" t="s">
        <v>1049</v>
      </c>
      <c r="S105" t="s">
        <v>1050</v>
      </c>
      <c r="T105" t="s">
        <v>4796</v>
      </c>
      <c r="U105" t="s">
        <v>4797</v>
      </c>
      <c r="V105" t="s">
        <v>5172</v>
      </c>
      <c r="W105" t="s">
        <v>4786</v>
      </c>
      <c r="X105" t="s">
        <v>4807</v>
      </c>
      <c r="Y105" t="s">
        <v>4800</v>
      </c>
      <c r="Z105" t="s">
        <v>5173</v>
      </c>
      <c r="AA105" t="s">
        <v>5174</v>
      </c>
      <c r="AB105" t="s">
        <v>5172</v>
      </c>
      <c r="AC105" t="s">
        <v>66</v>
      </c>
      <c r="AD105" t="s">
        <v>66</v>
      </c>
      <c r="AE105" t="s">
        <v>66</v>
      </c>
      <c r="AF105" t="s">
        <v>3635</v>
      </c>
      <c r="AG105" t="s">
        <v>5175</v>
      </c>
      <c r="AH105" t="s">
        <v>3635</v>
      </c>
      <c r="AI105" t="s">
        <v>5175</v>
      </c>
      <c r="AJ105" t="s">
        <v>3635</v>
      </c>
      <c r="AK105" t="s">
        <v>5175</v>
      </c>
      <c r="AL105" t="s">
        <v>4792</v>
      </c>
    </row>
    <row r="106" customHeight="1" spans="1:38">
      <c r="A106" t="s">
        <v>22</v>
      </c>
      <c r="B106" t="s">
        <v>49</v>
      </c>
      <c r="C106" t="s">
        <v>51</v>
      </c>
      <c r="D106" t="s">
        <v>22</v>
      </c>
      <c r="E106" t="s">
        <v>1114</v>
      </c>
      <c r="F106" t="s">
        <v>1046</v>
      </c>
      <c r="G106" t="s">
        <v>1047</v>
      </c>
      <c r="H106" t="s">
        <v>1047</v>
      </c>
      <c r="I106" t="s">
        <v>1048</v>
      </c>
      <c r="J106" t="s">
        <v>1049</v>
      </c>
      <c r="K106" t="s">
        <v>1050</v>
      </c>
      <c r="L106" t="s">
        <v>1115</v>
      </c>
      <c r="M106" t="s">
        <v>1116</v>
      </c>
      <c r="N106" t="s">
        <v>107</v>
      </c>
      <c r="O106" t="s">
        <v>1047</v>
      </c>
      <c r="P106" t="s">
        <v>4782</v>
      </c>
      <c r="Q106" t="s">
        <v>1048</v>
      </c>
      <c r="R106" t="s">
        <v>1049</v>
      </c>
      <c r="S106" t="s">
        <v>1050</v>
      </c>
      <c r="T106" t="s">
        <v>4796</v>
      </c>
      <c r="U106" t="s">
        <v>4805</v>
      </c>
      <c r="V106" t="s">
        <v>4806</v>
      </c>
      <c r="W106" t="s">
        <v>4786</v>
      </c>
      <c r="X106" t="s">
        <v>4828</v>
      </c>
      <c r="Y106" t="s">
        <v>4800</v>
      </c>
      <c r="Z106" t="s">
        <v>5176</v>
      </c>
      <c r="AA106" t="s">
        <v>5177</v>
      </c>
      <c r="AB106" t="s">
        <v>4831</v>
      </c>
      <c r="AC106" t="s">
        <v>66</v>
      </c>
      <c r="AD106" t="s">
        <v>66</v>
      </c>
      <c r="AE106" t="s">
        <v>66</v>
      </c>
      <c r="AF106" t="s">
        <v>3635</v>
      </c>
      <c r="AG106" t="s">
        <v>5178</v>
      </c>
      <c r="AH106" t="s">
        <v>3635</v>
      </c>
      <c r="AI106" t="s">
        <v>5178</v>
      </c>
      <c r="AJ106" t="s">
        <v>3635</v>
      </c>
      <c r="AK106" t="s">
        <v>5178</v>
      </c>
      <c r="AL106" t="s">
        <v>4792</v>
      </c>
    </row>
    <row r="107" customHeight="1" spans="1:38">
      <c r="A107" t="s">
        <v>22</v>
      </c>
      <c r="B107" t="s">
        <v>49</v>
      </c>
      <c r="C107" t="s">
        <v>51</v>
      </c>
      <c r="D107" t="s">
        <v>22</v>
      </c>
      <c r="E107" t="s">
        <v>5179</v>
      </c>
      <c r="F107" t="s">
        <v>1046</v>
      </c>
      <c r="G107" t="s">
        <v>1047</v>
      </c>
      <c r="H107" t="s">
        <v>1047</v>
      </c>
      <c r="I107" t="s">
        <v>1048</v>
      </c>
      <c r="J107" t="s">
        <v>1049</v>
      </c>
      <c r="K107" t="s">
        <v>1050</v>
      </c>
      <c r="L107" t="s">
        <v>5180</v>
      </c>
      <c r="M107" t="s">
        <v>1143</v>
      </c>
      <c r="N107" t="s">
        <v>107</v>
      </c>
      <c r="O107" t="s">
        <v>1047</v>
      </c>
      <c r="P107" t="s">
        <v>4782</v>
      </c>
      <c r="Q107" t="s">
        <v>1048</v>
      </c>
      <c r="R107" t="s">
        <v>1049</v>
      </c>
      <c r="S107" t="s">
        <v>1050</v>
      </c>
      <c r="T107" t="s">
        <v>4796</v>
      </c>
      <c r="U107" t="s">
        <v>4797</v>
      </c>
      <c r="V107" t="s">
        <v>4798</v>
      </c>
      <c r="W107" t="s">
        <v>4786</v>
      </c>
      <c r="X107" t="s">
        <v>4807</v>
      </c>
      <c r="Y107" t="s">
        <v>4800</v>
      </c>
      <c r="Z107" t="s">
        <v>5181</v>
      </c>
      <c r="AA107" t="s">
        <v>5182</v>
      </c>
      <c r="AB107" t="s">
        <v>4798</v>
      </c>
      <c r="AC107" t="s">
        <v>66</v>
      </c>
      <c r="AD107" t="s">
        <v>66</v>
      </c>
      <c r="AE107" t="s">
        <v>66</v>
      </c>
      <c r="AF107" t="s">
        <v>4839</v>
      </c>
      <c r="AG107" t="s">
        <v>5183</v>
      </c>
      <c r="AH107" t="s">
        <v>4839</v>
      </c>
      <c r="AI107" t="s">
        <v>5183</v>
      </c>
      <c r="AJ107" t="s">
        <v>4839</v>
      </c>
      <c r="AK107" t="s">
        <v>5183</v>
      </c>
      <c r="AL107" t="s">
        <v>4792</v>
      </c>
    </row>
    <row r="108" customHeight="1" spans="1:38">
      <c r="A108" t="s">
        <v>22</v>
      </c>
      <c r="B108" t="s">
        <v>49</v>
      </c>
      <c r="C108" t="s">
        <v>51</v>
      </c>
      <c r="D108" t="s">
        <v>22</v>
      </c>
      <c r="E108" t="s">
        <v>5179</v>
      </c>
      <c r="F108" t="s">
        <v>1046</v>
      </c>
      <c r="G108" t="s">
        <v>1047</v>
      </c>
      <c r="H108" t="s">
        <v>1047</v>
      </c>
      <c r="I108" t="s">
        <v>1048</v>
      </c>
      <c r="J108" t="s">
        <v>1049</v>
      </c>
      <c r="K108" t="s">
        <v>1050</v>
      </c>
      <c r="L108" t="s">
        <v>5180</v>
      </c>
      <c r="M108" t="s">
        <v>1143</v>
      </c>
      <c r="N108" t="s">
        <v>107</v>
      </c>
      <c r="O108" t="s">
        <v>1047</v>
      </c>
      <c r="P108" t="s">
        <v>4782</v>
      </c>
      <c r="Q108" t="s">
        <v>1048</v>
      </c>
      <c r="R108" t="s">
        <v>1049</v>
      </c>
      <c r="S108" t="s">
        <v>1050</v>
      </c>
      <c r="T108" t="s">
        <v>4796</v>
      </c>
      <c r="U108" t="s">
        <v>4805</v>
      </c>
      <c r="V108" t="s">
        <v>4806</v>
      </c>
      <c r="W108" t="s">
        <v>4786</v>
      </c>
      <c r="X108" t="s">
        <v>4807</v>
      </c>
      <c r="Y108" t="s">
        <v>4800</v>
      </c>
      <c r="Z108" t="s">
        <v>4836</v>
      </c>
      <c r="AA108" t="s">
        <v>4837</v>
      </c>
      <c r="AB108" t="s">
        <v>4838</v>
      </c>
      <c r="AC108" t="s">
        <v>66</v>
      </c>
      <c r="AD108" t="s">
        <v>66</v>
      </c>
      <c r="AE108" t="s">
        <v>66</v>
      </c>
      <c r="AF108" t="s">
        <v>4839</v>
      </c>
      <c r="AG108" t="s">
        <v>5184</v>
      </c>
      <c r="AH108" t="s">
        <v>4839</v>
      </c>
      <c r="AI108" t="s">
        <v>5184</v>
      </c>
      <c r="AJ108" t="s">
        <v>4839</v>
      </c>
      <c r="AK108" t="s">
        <v>5184</v>
      </c>
      <c r="AL108" t="s">
        <v>4792</v>
      </c>
    </row>
    <row r="109" customHeight="1" spans="1:38">
      <c r="A109" t="s">
        <v>22</v>
      </c>
      <c r="B109" t="s">
        <v>49</v>
      </c>
      <c r="C109" t="s">
        <v>51</v>
      </c>
      <c r="D109" t="s">
        <v>22</v>
      </c>
      <c r="E109" t="s">
        <v>5185</v>
      </c>
      <c r="F109" t="s">
        <v>1070</v>
      </c>
      <c r="G109" t="s">
        <v>1047</v>
      </c>
      <c r="H109" t="s">
        <v>1047</v>
      </c>
      <c r="I109" t="s">
        <v>1048</v>
      </c>
      <c r="J109" t="s">
        <v>1049</v>
      </c>
      <c r="K109" t="s">
        <v>1050</v>
      </c>
      <c r="L109" t="s">
        <v>5186</v>
      </c>
      <c r="M109" t="s">
        <v>5187</v>
      </c>
      <c r="N109" t="s">
        <v>107</v>
      </c>
      <c r="O109" t="s">
        <v>1047</v>
      </c>
      <c r="P109" t="s">
        <v>4782</v>
      </c>
      <c r="Q109" t="s">
        <v>1048</v>
      </c>
      <c r="R109" t="s">
        <v>1049</v>
      </c>
      <c r="S109" t="s">
        <v>1050</v>
      </c>
      <c r="T109" t="s">
        <v>4796</v>
      </c>
      <c r="U109" t="s">
        <v>4797</v>
      </c>
      <c r="V109" t="s">
        <v>5172</v>
      </c>
      <c r="W109" t="s">
        <v>4786</v>
      </c>
      <c r="X109" t="s">
        <v>4807</v>
      </c>
      <c r="Y109" t="s">
        <v>4800</v>
      </c>
      <c r="Z109" t="s">
        <v>5188</v>
      </c>
      <c r="AA109" t="s">
        <v>5189</v>
      </c>
      <c r="AB109" t="s">
        <v>5172</v>
      </c>
      <c r="AC109" t="s">
        <v>66</v>
      </c>
      <c r="AD109" t="s">
        <v>19</v>
      </c>
      <c r="AE109" t="s">
        <v>19</v>
      </c>
      <c r="AF109" t="s">
        <v>5190</v>
      </c>
      <c r="AG109" t="s">
        <v>5191</v>
      </c>
      <c r="AH109" t="s">
        <v>22</v>
      </c>
      <c r="AI109" t="s">
        <v>22</v>
      </c>
      <c r="AJ109" t="s">
        <v>22</v>
      </c>
      <c r="AK109" t="s">
        <v>22</v>
      </c>
      <c r="AL109" t="s">
        <v>4792</v>
      </c>
    </row>
    <row r="110" customHeight="1" spans="1:38">
      <c r="A110" t="s">
        <v>22</v>
      </c>
      <c r="B110" t="s">
        <v>49</v>
      </c>
      <c r="C110" t="s">
        <v>51</v>
      </c>
      <c r="D110" t="s">
        <v>22</v>
      </c>
      <c r="E110" t="s">
        <v>5192</v>
      </c>
      <c r="F110" t="s">
        <v>1046</v>
      </c>
      <c r="G110" t="s">
        <v>1047</v>
      </c>
      <c r="H110" t="s">
        <v>1047</v>
      </c>
      <c r="I110" t="s">
        <v>1048</v>
      </c>
      <c r="J110" t="s">
        <v>1049</v>
      </c>
      <c r="K110" t="s">
        <v>1050</v>
      </c>
      <c r="L110" t="s">
        <v>5193</v>
      </c>
      <c r="M110" t="s">
        <v>91</v>
      </c>
      <c r="N110" t="s">
        <v>107</v>
      </c>
      <c r="O110" t="s">
        <v>1047</v>
      </c>
      <c r="P110" t="s">
        <v>4782</v>
      </c>
      <c r="Q110" t="s">
        <v>1048</v>
      </c>
      <c r="R110" t="s">
        <v>1049</v>
      </c>
      <c r="S110" t="s">
        <v>1050</v>
      </c>
      <c r="T110" t="s">
        <v>4796</v>
      </c>
      <c r="U110" t="s">
        <v>4797</v>
      </c>
      <c r="V110" t="s">
        <v>4798</v>
      </c>
      <c r="W110" t="s">
        <v>4786</v>
      </c>
      <c r="X110" t="s">
        <v>4799</v>
      </c>
      <c r="Y110" t="s">
        <v>4800</v>
      </c>
      <c r="Z110" t="s">
        <v>4801</v>
      </c>
      <c r="AA110" t="s">
        <v>4802</v>
      </c>
      <c r="AB110" t="s">
        <v>4798</v>
      </c>
      <c r="AC110" t="s">
        <v>66</v>
      </c>
      <c r="AD110" t="s">
        <v>66</v>
      </c>
      <c r="AE110" t="s">
        <v>66</v>
      </c>
      <c r="AF110" t="s">
        <v>5194</v>
      </c>
      <c r="AG110" t="s">
        <v>5195</v>
      </c>
      <c r="AH110" t="s">
        <v>5194</v>
      </c>
      <c r="AI110" t="s">
        <v>5195</v>
      </c>
      <c r="AJ110" t="s">
        <v>5194</v>
      </c>
      <c r="AK110" t="s">
        <v>5195</v>
      </c>
      <c r="AL110" t="s">
        <v>4792</v>
      </c>
    </row>
    <row r="111" customHeight="1" spans="1:38">
      <c r="A111" t="s">
        <v>22</v>
      </c>
      <c r="B111" t="s">
        <v>49</v>
      </c>
      <c r="C111" t="s">
        <v>51</v>
      </c>
      <c r="D111" t="s">
        <v>22</v>
      </c>
      <c r="E111" t="s">
        <v>5192</v>
      </c>
      <c r="F111" t="s">
        <v>1046</v>
      </c>
      <c r="G111" t="s">
        <v>1047</v>
      </c>
      <c r="H111" t="s">
        <v>1047</v>
      </c>
      <c r="I111" t="s">
        <v>1048</v>
      </c>
      <c r="J111" t="s">
        <v>1049</v>
      </c>
      <c r="K111" t="s">
        <v>1050</v>
      </c>
      <c r="L111" t="s">
        <v>5193</v>
      </c>
      <c r="M111" t="s">
        <v>91</v>
      </c>
      <c r="N111" t="s">
        <v>107</v>
      </c>
      <c r="O111" t="s">
        <v>1047</v>
      </c>
      <c r="P111" t="s">
        <v>4782</v>
      </c>
      <c r="Q111" t="s">
        <v>1048</v>
      </c>
      <c r="R111" t="s">
        <v>1049</v>
      </c>
      <c r="S111" t="s">
        <v>1050</v>
      </c>
      <c r="T111" t="s">
        <v>4796</v>
      </c>
      <c r="U111" t="s">
        <v>4805</v>
      </c>
      <c r="V111" t="s">
        <v>4806</v>
      </c>
      <c r="W111" t="s">
        <v>4786</v>
      </c>
      <c r="X111" t="s">
        <v>4828</v>
      </c>
      <c r="Y111" t="s">
        <v>4800</v>
      </c>
      <c r="Z111" t="s">
        <v>5196</v>
      </c>
      <c r="AA111" t="s">
        <v>5197</v>
      </c>
      <c r="AB111" t="s">
        <v>4959</v>
      </c>
      <c r="AC111" t="s">
        <v>66</v>
      </c>
      <c r="AD111" t="s">
        <v>66</v>
      </c>
      <c r="AE111" t="s">
        <v>66</v>
      </c>
      <c r="AF111" t="s">
        <v>5194</v>
      </c>
      <c r="AG111" t="s">
        <v>5198</v>
      </c>
      <c r="AH111" t="s">
        <v>5194</v>
      </c>
      <c r="AI111" t="s">
        <v>5198</v>
      </c>
      <c r="AJ111" t="s">
        <v>5194</v>
      </c>
      <c r="AK111" t="s">
        <v>5198</v>
      </c>
      <c r="AL111" t="s">
        <v>4792</v>
      </c>
    </row>
    <row r="112" customHeight="1" spans="1:38">
      <c r="A112" t="s">
        <v>22</v>
      </c>
      <c r="B112" t="s">
        <v>49</v>
      </c>
      <c r="C112" t="s">
        <v>51</v>
      </c>
      <c r="D112" t="s">
        <v>22</v>
      </c>
      <c r="E112" t="s">
        <v>5199</v>
      </c>
      <c r="F112" t="s">
        <v>1046</v>
      </c>
      <c r="G112" t="s">
        <v>1047</v>
      </c>
      <c r="H112" t="s">
        <v>1047</v>
      </c>
      <c r="I112" t="s">
        <v>1048</v>
      </c>
      <c r="J112" t="s">
        <v>1049</v>
      </c>
      <c r="K112" t="s">
        <v>1050</v>
      </c>
      <c r="L112" t="s">
        <v>5193</v>
      </c>
      <c r="M112" t="s">
        <v>5200</v>
      </c>
      <c r="N112" t="s">
        <v>107</v>
      </c>
      <c r="O112" t="s">
        <v>1047</v>
      </c>
      <c r="P112" t="s">
        <v>4782</v>
      </c>
      <c r="Q112" t="s">
        <v>1048</v>
      </c>
      <c r="R112" t="s">
        <v>1049</v>
      </c>
      <c r="S112" t="s">
        <v>1050</v>
      </c>
      <c r="T112" t="s">
        <v>4796</v>
      </c>
      <c r="U112" t="s">
        <v>4805</v>
      </c>
      <c r="V112" t="s">
        <v>4806</v>
      </c>
      <c r="W112" t="s">
        <v>4786</v>
      </c>
      <c r="X112" t="s">
        <v>4828</v>
      </c>
      <c r="Y112" t="s">
        <v>4800</v>
      </c>
      <c r="Z112" t="s">
        <v>5201</v>
      </c>
      <c r="AA112" t="s">
        <v>5202</v>
      </c>
      <c r="AB112" t="s">
        <v>4831</v>
      </c>
      <c r="AC112" t="s">
        <v>66</v>
      </c>
      <c r="AD112" t="s">
        <v>66</v>
      </c>
      <c r="AE112" t="s">
        <v>66</v>
      </c>
      <c r="AF112" t="s">
        <v>5136</v>
      </c>
      <c r="AG112" t="s">
        <v>5203</v>
      </c>
      <c r="AH112" t="s">
        <v>5136</v>
      </c>
      <c r="AI112" t="s">
        <v>5203</v>
      </c>
      <c r="AJ112" t="s">
        <v>5136</v>
      </c>
      <c r="AK112" t="s">
        <v>5203</v>
      </c>
      <c r="AL112" t="s">
        <v>4792</v>
      </c>
    </row>
    <row r="113" customHeight="1" spans="1:38">
      <c r="A113" t="s">
        <v>22</v>
      </c>
      <c r="B113" t="s">
        <v>49</v>
      </c>
      <c r="C113" t="s">
        <v>51</v>
      </c>
      <c r="D113" t="s">
        <v>22</v>
      </c>
      <c r="E113" t="s">
        <v>5199</v>
      </c>
      <c r="F113" t="s">
        <v>1046</v>
      </c>
      <c r="G113" t="s">
        <v>1047</v>
      </c>
      <c r="H113" t="s">
        <v>1047</v>
      </c>
      <c r="I113" t="s">
        <v>1048</v>
      </c>
      <c r="J113" t="s">
        <v>1049</v>
      </c>
      <c r="K113" t="s">
        <v>1050</v>
      </c>
      <c r="L113" t="s">
        <v>5193</v>
      </c>
      <c r="M113" t="s">
        <v>5200</v>
      </c>
      <c r="N113" t="s">
        <v>107</v>
      </c>
      <c r="O113" t="s">
        <v>1047</v>
      </c>
      <c r="P113" t="s">
        <v>4782</v>
      </c>
      <c r="Q113" t="s">
        <v>1048</v>
      </c>
      <c r="R113" t="s">
        <v>1049</v>
      </c>
      <c r="S113" t="s">
        <v>1050</v>
      </c>
      <c r="T113" t="s">
        <v>4796</v>
      </c>
      <c r="U113" t="s">
        <v>4797</v>
      </c>
      <c r="V113" t="s">
        <v>5172</v>
      </c>
      <c r="W113" t="s">
        <v>4786</v>
      </c>
      <c r="X113" t="s">
        <v>4807</v>
      </c>
      <c r="Y113" t="s">
        <v>4800</v>
      </c>
      <c r="Z113" t="s">
        <v>5204</v>
      </c>
      <c r="AA113" t="s">
        <v>5205</v>
      </c>
      <c r="AB113" t="s">
        <v>5172</v>
      </c>
      <c r="AC113" t="s">
        <v>66</v>
      </c>
      <c r="AD113" t="s">
        <v>66</v>
      </c>
      <c r="AE113" t="s">
        <v>66</v>
      </c>
      <c r="AF113" t="s">
        <v>5136</v>
      </c>
      <c r="AG113" t="s">
        <v>5206</v>
      </c>
      <c r="AH113" t="s">
        <v>5136</v>
      </c>
      <c r="AI113" t="s">
        <v>5206</v>
      </c>
      <c r="AJ113" t="s">
        <v>5136</v>
      </c>
      <c r="AK113" t="s">
        <v>5206</v>
      </c>
      <c r="AL113" t="s">
        <v>4792</v>
      </c>
    </row>
    <row r="114" customHeight="1" spans="1:38">
      <c r="A114" t="s">
        <v>22</v>
      </c>
      <c r="B114" t="s">
        <v>49</v>
      </c>
      <c r="C114" t="s">
        <v>51</v>
      </c>
      <c r="D114" t="s">
        <v>22</v>
      </c>
      <c r="E114" t="s">
        <v>5207</v>
      </c>
      <c r="F114" t="s">
        <v>1046</v>
      </c>
      <c r="G114" t="s">
        <v>1047</v>
      </c>
      <c r="H114" t="s">
        <v>1047</v>
      </c>
      <c r="I114" t="s">
        <v>1048</v>
      </c>
      <c r="J114" t="s">
        <v>1049</v>
      </c>
      <c r="K114" t="s">
        <v>1050</v>
      </c>
      <c r="L114" t="s">
        <v>4824</v>
      </c>
      <c r="M114" t="s">
        <v>5208</v>
      </c>
      <c r="N114" t="s">
        <v>107</v>
      </c>
      <c r="O114" t="s">
        <v>1047</v>
      </c>
      <c r="P114" t="s">
        <v>4782</v>
      </c>
      <c r="Q114" t="s">
        <v>1048</v>
      </c>
      <c r="R114" t="s">
        <v>1049</v>
      </c>
      <c r="S114" t="s">
        <v>1050</v>
      </c>
      <c r="T114" t="s">
        <v>4796</v>
      </c>
      <c r="U114" t="s">
        <v>4797</v>
      </c>
      <c r="V114" t="s">
        <v>4814</v>
      </c>
      <c r="W114" t="s">
        <v>4786</v>
      </c>
      <c r="X114" t="s">
        <v>4807</v>
      </c>
      <c r="Y114" t="s">
        <v>4800</v>
      </c>
      <c r="Z114" t="s">
        <v>5209</v>
      </c>
      <c r="AA114" t="s">
        <v>5210</v>
      </c>
      <c r="AB114" t="s">
        <v>4814</v>
      </c>
      <c r="AC114" t="s">
        <v>66</v>
      </c>
      <c r="AD114" t="s">
        <v>66</v>
      </c>
      <c r="AE114" t="s">
        <v>66</v>
      </c>
      <c r="AF114" t="s">
        <v>5211</v>
      </c>
      <c r="AG114" t="s">
        <v>5212</v>
      </c>
      <c r="AH114" t="s">
        <v>5213</v>
      </c>
      <c r="AI114" t="s">
        <v>5212</v>
      </c>
      <c r="AJ114" t="s">
        <v>5213</v>
      </c>
      <c r="AK114" t="s">
        <v>5212</v>
      </c>
      <c r="AL114" t="s">
        <v>4792</v>
      </c>
    </row>
    <row r="115" customHeight="1" spans="1:38">
      <c r="A115" t="s">
        <v>22</v>
      </c>
      <c r="B115" t="s">
        <v>49</v>
      </c>
      <c r="C115" t="s">
        <v>51</v>
      </c>
      <c r="D115" t="s">
        <v>22</v>
      </c>
      <c r="E115" t="s">
        <v>5207</v>
      </c>
      <c r="F115" t="s">
        <v>1046</v>
      </c>
      <c r="G115" t="s">
        <v>1047</v>
      </c>
      <c r="H115" t="s">
        <v>1047</v>
      </c>
      <c r="I115" t="s">
        <v>1048</v>
      </c>
      <c r="J115" t="s">
        <v>1049</v>
      </c>
      <c r="K115" t="s">
        <v>1050</v>
      </c>
      <c r="L115" t="s">
        <v>4824</v>
      </c>
      <c r="M115" t="s">
        <v>5208</v>
      </c>
      <c r="N115" t="s">
        <v>107</v>
      </c>
      <c r="O115" t="s">
        <v>1047</v>
      </c>
      <c r="P115" t="s">
        <v>4782</v>
      </c>
      <c r="Q115" t="s">
        <v>1048</v>
      </c>
      <c r="R115" t="s">
        <v>1049</v>
      </c>
      <c r="S115" t="s">
        <v>1050</v>
      </c>
      <c r="T115" t="s">
        <v>4796</v>
      </c>
      <c r="U115" t="s">
        <v>4805</v>
      </c>
      <c r="V115" t="s">
        <v>4806</v>
      </c>
      <c r="W115" t="s">
        <v>4786</v>
      </c>
      <c r="X115" t="s">
        <v>4828</v>
      </c>
      <c r="Y115" t="s">
        <v>4800</v>
      </c>
      <c r="Z115" t="s">
        <v>5214</v>
      </c>
      <c r="AA115" t="s">
        <v>5050</v>
      </c>
      <c r="AB115" t="s">
        <v>4831</v>
      </c>
      <c r="AC115" t="s">
        <v>66</v>
      </c>
      <c r="AD115" t="s">
        <v>66</v>
      </c>
      <c r="AE115" t="s">
        <v>66</v>
      </c>
      <c r="AF115" t="s">
        <v>5211</v>
      </c>
      <c r="AG115" t="s">
        <v>5215</v>
      </c>
      <c r="AH115" t="s">
        <v>5213</v>
      </c>
      <c r="AI115" t="s">
        <v>5215</v>
      </c>
      <c r="AJ115" t="s">
        <v>5213</v>
      </c>
      <c r="AK115" t="s">
        <v>5215</v>
      </c>
      <c r="AL115" t="s">
        <v>4792</v>
      </c>
    </row>
    <row r="116" customHeight="1" spans="1:38">
      <c r="A116" t="s">
        <v>22</v>
      </c>
      <c r="B116" t="s">
        <v>49</v>
      </c>
      <c r="C116" t="s">
        <v>51</v>
      </c>
      <c r="D116" t="s">
        <v>22</v>
      </c>
      <c r="E116" t="s">
        <v>5216</v>
      </c>
      <c r="F116" t="s">
        <v>1046</v>
      </c>
      <c r="G116" t="s">
        <v>1047</v>
      </c>
      <c r="H116" t="s">
        <v>1047</v>
      </c>
      <c r="I116" t="s">
        <v>1048</v>
      </c>
      <c r="J116" t="s">
        <v>1049</v>
      </c>
      <c r="K116" t="s">
        <v>1050</v>
      </c>
      <c r="L116" t="s">
        <v>5217</v>
      </c>
      <c r="M116" t="s">
        <v>1829</v>
      </c>
      <c r="N116" t="s">
        <v>107</v>
      </c>
      <c r="O116" t="s">
        <v>1047</v>
      </c>
      <c r="P116" t="s">
        <v>4782</v>
      </c>
      <c r="Q116" t="s">
        <v>1048</v>
      </c>
      <c r="R116" t="s">
        <v>1049</v>
      </c>
      <c r="S116" t="s">
        <v>1050</v>
      </c>
      <c r="T116" t="s">
        <v>4796</v>
      </c>
      <c r="U116" t="s">
        <v>4805</v>
      </c>
      <c r="V116" t="s">
        <v>4806</v>
      </c>
      <c r="W116" t="s">
        <v>4786</v>
      </c>
      <c r="X116" t="s">
        <v>4807</v>
      </c>
      <c r="Y116" t="s">
        <v>4800</v>
      </c>
      <c r="Z116" t="s">
        <v>4836</v>
      </c>
      <c r="AA116" t="s">
        <v>4837</v>
      </c>
      <c r="AB116" t="s">
        <v>4838</v>
      </c>
      <c r="AC116" t="s">
        <v>66</v>
      </c>
      <c r="AD116" t="s">
        <v>66</v>
      </c>
      <c r="AE116" t="s">
        <v>66</v>
      </c>
      <c r="AF116" t="s">
        <v>4839</v>
      </c>
      <c r="AG116" t="s">
        <v>5218</v>
      </c>
      <c r="AH116" t="s">
        <v>4839</v>
      </c>
      <c r="AI116" t="s">
        <v>5218</v>
      </c>
      <c r="AJ116" t="s">
        <v>4839</v>
      </c>
      <c r="AK116" t="s">
        <v>5218</v>
      </c>
      <c r="AL116" t="s">
        <v>4792</v>
      </c>
    </row>
    <row r="117" customHeight="1" spans="1:38">
      <c r="A117" t="s">
        <v>22</v>
      </c>
      <c r="B117" t="s">
        <v>49</v>
      </c>
      <c r="C117" t="s">
        <v>51</v>
      </c>
      <c r="D117" t="s">
        <v>22</v>
      </c>
      <c r="E117" t="s">
        <v>5216</v>
      </c>
      <c r="F117" t="s">
        <v>1046</v>
      </c>
      <c r="G117" t="s">
        <v>1047</v>
      </c>
      <c r="H117" t="s">
        <v>1047</v>
      </c>
      <c r="I117" t="s">
        <v>1048</v>
      </c>
      <c r="J117" t="s">
        <v>1049</v>
      </c>
      <c r="K117" t="s">
        <v>1050</v>
      </c>
      <c r="L117" t="s">
        <v>5217</v>
      </c>
      <c r="M117" t="s">
        <v>1829</v>
      </c>
      <c r="N117" t="s">
        <v>107</v>
      </c>
      <c r="O117" t="s">
        <v>1047</v>
      </c>
      <c r="P117" t="s">
        <v>4782</v>
      </c>
      <c r="Q117" t="s">
        <v>1048</v>
      </c>
      <c r="R117" t="s">
        <v>1049</v>
      </c>
      <c r="S117" t="s">
        <v>1050</v>
      </c>
      <c r="T117" t="s">
        <v>4796</v>
      </c>
      <c r="U117" t="s">
        <v>4797</v>
      </c>
      <c r="V117" t="s">
        <v>4798</v>
      </c>
      <c r="W117" t="s">
        <v>4786</v>
      </c>
      <c r="X117" t="s">
        <v>4807</v>
      </c>
      <c r="Y117" t="s">
        <v>4800</v>
      </c>
      <c r="Z117" t="s">
        <v>5219</v>
      </c>
      <c r="AA117" t="s">
        <v>4889</v>
      </c>
      <c r="AB117" t="s">
        <v>4798</v>
      </c>
      <c r="AC117" t="s">
        <v>66</v>
      </c>
      <c r="AD117" t="s">
        <v>66</v>
      </c>
      <c r="AE117" t="s">
        <v>66</v>
      </c>
      <c r="AF117" t="s">
        <v>4839</v>
      </c>
      <c r="AG117" t="s">
        <v>5220</v>
      </c>
      <c r="AH117" t="s">
        <v>4839</v>
      </c>
      <c r="AI117" t="s">
        <v>5220</v>
      </c>
      <c r="AJ117" t="s">
        <v>4839</v>
      </c>
      <c r="AK117" t="s">
        <v>5220</v>
      </c>
      <c r="AL117" t="s">
        <v>4792</v>
      </c>
    </row>
    <row r="118" customHeight="1" spans="1:38">
      <c r="A118" t="s">
        <v>22</v>
      </c>
      <c r="B118" t="s">
        <v>49</v>
      </c>
      <c r="C118" t="s">
        <v>51</v>
      </c>
      <c r="D118" t="s">
        <v>22</v>
      </c>
      <c r="E118" t="s">
        <v>5221</v>
      </c>
      <c r="F118" t="s">
        <v>1046</v>
      </c>
      <c r="G118" t="s">
        <v>1047</v>
      </c>
      <c r="H118" t="s">
        <v>1047</v>
      </c>
      <c r="I118" t="s">
        <v>1048</v>
      </c>
      <c r="J118" t="s">
        <v>1049</v>
      </c>
      <c r="K118" t="s">
        <v>1050</v>
      </c>
      <c r="L118" t="s">
        <v>5222</v>
      </c>
      <c r="M118" t="s">
        <v>5223</v>
      </c>
      <c r="N118" t="s">
        <v>107</v>
      </c>
      <c r="O118" t="s">
        <v>1047</v>
      </c>
      <c r="P118" t="s">
        <v>4782</v>
      </c>
      <c r="Q118" t="s">
        <v>1048</v>
      </c>
      <c r="R118" t="s">
        <v>1049</v>
      </c>
      <c r="S118" t="s">
        <v>1050</v>
      </c>
      <c r="T118" t="s">
        <v>4796</v>
      </c>
      <c r="U118" t="s">
        <v>4805</v>
      </c>
      <c r="V118" t="s">
        <v>4806</v>
      </c>
      <c r="W118" t="s">
        <v>4786</v>
      </c>
      <c r="X118" t="s">
        <v>4828</v>
      </c>
      <c r="Y118" t="s">
        <v>4800</v>
      </c>
      <c r="Z118" t="s">
        <v>5224</v>
      </c>
      <c r="AA118" t="s">
        <v>5225</v>
      </c>
      <c r="AB118" t="s">
        <v>4959</v>
      </c>
      <c r="AC118" t="s">
        <v>66</v>
      </c>
      <c r="AD118" t="s">
        <v>66</v>
      </c>
      <c r="AE118" t="s">
        <v>66</v>
      </c>
      <c r="AF118" t="s">
        <v>5226</v>
      </c>
      <c r="AG118" t="s">
        <v>5227</v>
      </c>
      <c r="AH118" t="s">
        <v>5226</v>
      </c>
      <c r="AI118" t="s">
        <v>5227</v>
      </c>
      <c r="AJ118" t="s">
        <v>5226</v>
      </c>
      <c r="AK118" t="s">
        <v>5227</v>
      </c>
      <c r="AL118" t="s">
        <v>4792</v>
      </c>
    </row>
    <row r="119" customHeight="1" spans="1:38">
      <c r="A119" t="s">
        <v>22</v>
      </c>
      <c r="B119" t="s">
        <v>49</v>
      </c>
      <c r="C119" t="s">
        <v>51</v>
      </c>
      <c r="D119" t="s">
        <v>22</v>
      </c>
      <c r="E119" t="s">
        <v>5221</v>
      </c>
      <c r="F119" t="s">
        <v>1046</v>
      </c>
      <c r="G119" t="s">
        <v>1047</v>
      </c>
      <c r="H119" t="s">
        <v>1047</v>
      </c>
      <c r="I119" t="s">
        <v>1048</v>
      </c>
      <c r="J119" t="s">
        <v>1049</v>
      </c>
      <c r="K119" t="s">
        <v>1050</v>
      </c>
      <c r="L119" t="s">
        <v>5222</v>
      </c>
      <c r="M119" t="s">
        <v>5223</v>
      </c>
      <c r="N119" t="s">
        <v>107</v>
      </c>
      <c r="O119" t="s">
        <v>1047</v>
      </c>
      <c r="P119" t="s">
        <v>4782</v>
      </c>
      <c r="Q119" t="s">
        <v>1048</v>
      </c>
      <c r="R119" t="s">
        <v>1049</v>
      </c>
      <c r="S119" t="s">
        <v>1050</v>
      </c>
      <c r="T119" t="s">
        <v>4796</v>
      </c>
      <c r="U119" t="s">
        <v>4797</v>
      </c>
      <c r="V119" t="s">
        <v>4798</v>
      </c>
      <c r="W119" t="s">
        <v>4786</v>
      </c>
      <c r="X119" t="s">
        <v>4807</v>
      </c>
      <c r="Y119" t="s">
        <v>4800</v>
      </c>
      <c r="Z119" t="s">
        <v>5228</v>
      </c>
      <c r="AA119" t="s">
        <v>4889</v>
      </c>
      <c r="AB119" t="s">
        <v>4798</v>
      </c>
      <c r="AC119" t="s">
        <v>66</v>
      </c>
      <c r="AD119" t="s">
        <v>66</v>
      </c>
      <c r="AE119" t="s">
        <v>66</v>
      </c>
      <c r="AF119" t="s">
        <v>5226</v>
      </c>
      <c r="AG119" t="s">
        <v>5229</v>
      </c>
      <c r="AH119" t="s">
        <v>5226</v>
      </c>
      <c r="AI119" t="s">
        <v>5229</v>
      </c>
      <c r="AJ119" t="s">
        <v>5226</v>
      </c>
      <c r="AK119" t="s">
        <v>5229</v>
      </c>
      <c r="AL119" t="s">
        <v>4792</v>
      </c>
    </row>
    <row r="120" customHeight="1" spans="1:38">
      <c r="A120" t="s">
        <v>22</v>
      </c>
      <c r="B120" t="s">
        <v>49</v>
      </c>
      <c r="C120" t="s">
        <v>51</v>
      </c>
      <c r="D120" t="s">
        <v>22</v>
      </c>
      <c r="E120" t="s">
        <v>5230</v>
      </c>
      <c r="F120" t="s">
        <v>1046</v>
      </c>
      <c r="G120" t="s">
        <v>1047</v>
      </c>
      <c r="H120" t="s">
        <v>1047</v>
      </c>
      <c r="I120" t="s">
        <v>1048</v>
      </c>
      <c r="J120" t="s">
        <v>1049</v>
      </c>
      <c r="K120" t="s">
        <v>1050</v>
      </c>
      <c r="L120" t="s">
        <v>5231</v>
      </c>
      <c r="M120" t="s">
        <v>5232</v>
      </c>
      <c r="N120" t="s">
        <v>107</v>
      </c>
      <c r="O120" t="s">
        <v>1047</v>
      </c>
      <c r="P120" t="s">
        <v>4782</v>
      </c>
      <c r="Q120" t="s">
        <v>1048</v>
      </c>
      <c r="R120" t="s">
        <v>1049</v>
      </c>
      <c r="S120" t="s">
        <v>1050</v>
      </c>
      <c r="T120" t="s">
        <v>4796</v>
      </c>
      <c r="U120" t="s">
        <v>4805</v>
      </c>
      <c r="V120" t="s">
        <v>4806</v>
      </c>
      <c r="W120" t="s">
        <v>4786</v>
      </c>
      <c r="X120" t="s">
        <v>4828</v>
      </c>
      <c r="Y120" t="s">
        <v>4800</v>
      </c>
      <c r="Z120" t="s">
        <v>5233</v>
      </c>
      <c r="AA120" t="s">
        <v>5135</v>
      </c>
      <c r="AB120" t="s">
        <v>4959</v>
      </c>
      <c r="AC120" t="s">
        <v>66</v>
      </c>
      <c r="AD120" t="s">
        <v>66</v>
      </c>
      <c r="AE120" t="s">
        <v>66</v>
      </c>
      <c r="AF120" t="s">
        <v>5234</v>
      </c>
      <c r="AG120" t="s">
        <v>5235</v>
      </c>
      <c r="AH120" t="s">
        <v>5234</v>
      </c>
      <c r="AI120" t="s">
        <v>5235</v>
      </c>
      <c r="AJ120" t="s">
        <v>5234</v>
      </c>
      <c r="AK120" t="s">
        <v>5235</v>
      </c>
      <c r="AL120" t="s">
        <v>4792</v>
      </c>
    </row>
    <row r="121" customHeight="1" spans="1:38">
      <c r="A121" t="s">
        <v>22</v>
      </c>
      <c r="B121" t="s">
        <v>49</v>
      </c>
      <c r="C121" t="s">
        <v>51</v>
      </c>
      <c r="D121" t="s">
        <v>22</v>
      </c>
      <c r="E121" t="s">
        <v>5230</v>
      </c>
      <c r="F121" t="s">
        <v>1046</v>
      </c>
      <c r="G121" t="s">
        <v>1047</v>
      </c>
      <c r="H121" t="s">
        <v>1047</v>
      </c>
      <c r="I121" t="s">
        <v>1048</v>
      </c>
      <c r="J121" t="s">
        <v>1049</v>
      </c>
      <c r="K121" t="s">
        <v>1050</v>
      </c>
      <c r="L121" t="s">
        <v>5231</v>
      </c>
      <c r="M121" t="s">
        <v>5232</v>
      </c>
      <c r="N121" t="s">
        <v>107</v>
      </c>
      <c r="O121" t="s">
        <v>1047</v>
      </c>
      <c r="P121" t="s">
        <v>4782</v>
      </c>
      <c r="Q121" t="s">
        <v>1048</v>
      </c>
      <c r="R121" t="s">
        <v>1049</v>
      </c>
      <c r="S121" t="s">
        <v>1050</v>
      </c>
      <c r="T121" t="s">
        <v>4796</v>
      </c>
      <c r="U121" t="s">
        <v>4797</v>
      </c>
      <c r="V121" t="s">
        <v>4798</v>
      </c>
      <c r="W121" t="s">
        <v>4786</v>
      </c>
      <c r="X121" t="s">
        <v>4807</v>
      </c>
      <c r="Y121" t="s">
        <v>4800</v>
      </c>
      <c r="Z121" t="s">
        <v>5236</v>
      </c>
      <c r="AA121" t="s">
        <v>5237</v>
      </c>
      <c r="AB121" t="s">
        <v>4798</v>
      </c>
      <c r="AC121" t="s">
        <v>66</v>
      </c>
      <c r="AD121" t="s">
        <v>66</v>
      </c>
      <c r="AE121" t="s">
        <v>66</v>
      </c>
      <c r="AF121" t="s">
        <v>5234</v>
      </c>
      <c r="AG121" t="s">
        <v>5238</v>
      </c>
      <c r="AH121" t="s">
        <v>5234</v>
      </c>
      <c r="AI121" t="s">
        <v>5238</v>
      </c>
      <c r="AJ121" t="s">
        <v>5234</v>
      </c>
      <c r="AK121" t="s">
        <v>5238</v>
      </c>
      <c r="AL121" t="s">
        <v>4792</v>
      </c>
    </row>
    <row r="122" customHeight="1" spans="1:38">
      <c r="A122" t="s">
        <v>22</v>
      </c>
      <c r="B122" t="s">
        <v>49</v>
      </c>
      <c r="C122" t="s">
        <v>51</v>
      </c>
      <c r="D122" t="s">
        <v>22</v>
      </c>
      <c r="E122" t="s">
        <v>5239</v>
      </c>
      <c r="F122" t="s">
        <v>1046</v>
      </c>
      <c r="G122" t="s">
        <v>1047</v>
      </c>
      <c r="H122" t="s">
        <v>1047</v>
      </c>
      <c r="I122" t="s">
        <v>1048</v>
      </c>
      <c r="J122" t="s">
        <v>1049</v>
      </c>
      <c r="K122" t="s">
        <v>1050</v>
      </c>
      <c r="L122" t="s">
        <v>5240</v>
      </c>
      <c r="M122" t="s">
        <v>5241</v>
      </c>
      <c r="N122" t="s">
        <v>107</v>
      </c>
      <c r="O122" t="s">
        <v>1047</v>
      </c>
      <c r="P122" t="s">
        <v>4782</v>
      </c>
      <c r="Q122" t="s">
        <v>1048</v>
      </c>
      <c r="R122" t="s">
        <v>1049</v>
      </c>
      <c r="S122" t="s">
        <v>1050</v>
      </c>
      <c r="T122" t="s">
        <v>4796</v>
      </c>
      <c r="U122" t="s">
        <v>4805</v>
      </c>
      <c r="V122" t="s">
        <v>4806</v>
      </c>
      <c r="W122" t="s">
        <v>4786</v>
      </c>
      <c r="X122" t="s">
        <v>4828</v>
      </c>
      <c r="Y122" t="s">
        <v>4800</v>
      </c>
      <c r="Z122" t="s">
        <v>5242</v>
      </c>
      <c r="AA122" t="s">
        <v>5243</v>
      </c>
      <c r="AB122" t="s">
        <v>4983</v>
      </c>
      <c r="AC122" t="s">
        <v>66</v>
      </c>
      <c r="AD122" t="s">
        <v>66</v>
      </c>
      <c r="AE122" t="s">
        <v>66</v>
      </c>
      <c r="AF122" t="s">
        <v>5244</v>
      </c>
      <c r="AG122" t="s">
        <v>5245</v>
      </c>
      <c r="AH122" t="s">
        <v>5244</v>
      </c>
      <c r="AI122" t="s">
        <v>5245</v>
      </c>
      <c r="AJ122" t="s">
        <v>5244</v>
      </c>
      <c r="AK122" t="s">
        <v>5245</v>
      </c>
      <c r="AL122" t="s">
        <v>4792</v>
      </c>
    </row>
    <row r="123" customHeight="1" spans="1:38">
      <c r="A123" t="s">
        <v>22</v>
      </c>
      <c r="B123" t="s">
        <v>49</v>
      </c>
      <c r="C123" t="s">
        <v>51</v>
      </c>
      <c r="D123" t="s">
        <v>22</v>
      </c>
      <c r="E123" t="s">
        <v>5239</v>
      </c>
      <c r="F123" t="s">
        <v>1046</v>
      </c>
      <c r="G123" t="s">
        <v>1047</v>
      </c>
      <c r="H123" t="s">
        <v>1047</v>
      </c>
      <c r="I123" t="s">
        <v>1048</v>
      </c>
      <c r="J123" t="s">
        <v>1049</v>
      </c>
      <c r="K123" t="s">
        <v>1050</v>
      </c>
      <c r="L123" t="s">
        <v>5240</v>
      </c>
      <c r="M123" t="s">
        <v>5241</v>
      </c>
      <c r="N123" t="s">
        <v>107</v>
      </c>
      <c r="O123" t="s">
        <v>1047</v>
      </c>
      <c r="P123" t="s">
        <v>4782</v>
      </c>
      <c r="Q123" t="s">
        <v>1048</v>
      </c>
      <c r="R123" t="s">
        <v>1049</v>
      </c>
      <c r="S123" t="s">
        <v>1050</v>
      </c>
      <c r="T123" t="s">
        <v>4796</v>
      </c>
      <c r="U123" t="s">
        <v>4797</v>
      </c>
      <c r="V123" t="s">
        <v>4976</v>
      </c>
      <c r="W123" t="s">
        <v>4786</v>
      </c>
      <c r="X123" t="s">
        <v>4807</v>
      </c>
      <c r="Y123" t="s">
        <v>4800</v>
      </c>
      <c r="Z123" t="s">
        <v>5246</v>
      </c>
      <c r="AA123" t="s">
        <v>5247</v>
      </c>
      <c r="AB123" t="s">
        <v>4976</v>
      </c>
      <c r="AC123" t="s">
        <v>66</v>
      </c>
      <c r="AD123" t="s">
        <v>66</v>
      </c>
      <c r="AE123" t="s">
        <v>66</v>
      </c>
      <c r="AF123" t="s">
        <v>5248</v>
      </c>
      <c r="AG123" t="s">
        <v>5249</v>
      </c>
      <c r="AH123" t="s">
        <v>5248</v>
      </c>
      <c r="AI123" t="s">
        <v>5249</v>
      </c>
      <c r="AJ123" t="s">
        <v>5248</v>
      </c>
      <c r="AK123" t="s">
        <v>5249</v>
      </c>
      <c r="AL123" t="s">
        <v>4792</v>
      </c>
    </row>
    <row r="124" customHeight="1" spans="1:38">
      <c r="A124" t="s">
        <v>22</v>
      </c>
      <c r="B124" t="s">
        <v>49</v>
      </c>
      <c r="C124" t="s">
        <v>51</v>
      </c>
      <c r="D124" t="s">
        <v>22</v>
      </c>
      <c r="E124" t="s">
        <v>5250</v>
      </c>
      <c r="F124" t="s">
        <v>1046</v>
      </c>
      <c r="G124" t="s">
        <v>1047</v>
      </c>
      <c r="H124" t="s">
        <v>1047</v>
      </c>
      <c r="I124" t="s">
        <v>1048</v>
      </c>
      <c r="J124" t="s">
        <v>1049</v>
      </c>
      <c r="K124" t="s">
        <v>1050</v>
      </c>
      <c r="L124" t="s">
        <v>5251</v>
      </c>
      <c r="M124" t="s">
        <v>5252</v>
      </c>
      <c r="N124" t="s">
        <v>107</v>
      </c>
      <c r="O124" t="s">
        <v>1047</v>
      </c>
      <c r="P124" t="s">
        <v>4782</v>
      </c>
      <c r="Q124" t="s">
        <v>1048</v>
      </c>
      <c r="R124" t="s">
        <v>1049</v>
      </c>
      <c r="S124" t="s">
        <v>1050</v>
      </c>
      <c r="T124" t="s">
        <v>4796</v>
      </c>
      <c r="U124" t="s">
        <v>4797</v>
      </c>
      <c r="V124" t="s">
        <v>4798</v>
      </c>
      <c r="W124" t="s">
        <v>4786</v>
      </c>
      <c r="X124" t="s">
        <v>4807</v>
      </c>
      <c r="Y124" t="s">
        <v>4800</v>
      </c>
      <c r="Z124" t="s">
        <v>4847</v>
      </c>
      <c r="AA124" t="s">
        <v>4848</v>
      </c>
      <c r="AB124" t="s">
        <v>4798</v>
      </c>
      <c r="AC124" t="s">
        <v>66</v>
      </c>
      <c r="AD124" t="s">
        <v>66</v>
      </c>
      <c r="AE124" t="s">
        <v>66</v>
      </c>
      <c r="AF124" t="s">
        <v>5253</v>
      </c>
      <c r="AG124" t="s">
        <v>5254</v>
      </c>
      <c r="AH124" t="s">
        <v>5253</v>
      </c>
      <c r="AI124" t="s">
        <v>5254</v>
      </c>
      <c r="AJ124" t="s">
        <v>5253</v>
      </c>
      <c r="AK124" t="s">
        <v>5254</v>
      </c>
      <c r="AL124" t="s">
        <v>4792</v>
      </c>
    </row>
    <row r="125" customHeight="1" spans="1:38">
      <c r="A125" t="s">
        <v>22</v>
      </c>
      <c r="B125" t="s">
        <v>49</v>
      </c>
      <c r="C125" t="s">
        <v>51</v>
      </c>
      <c r="D125" t="s">
        <v>22</v>
      </c>
      <c r="E125" t="s">
        <v>5250</v>
      </c>
      <c r="F125" t="s">
        <v>1046</v>
      </c>
      <c r="G125" t="s">
        <v>1047</v>
      </c>
      <c r="H125" t="s">
        <v>1047</v>
      </c>
      <c r="I125" t="s">
        <v>1048</v>
      </c>
      <c r="J125" t="s">
        <v>1049</v>
      </c>
      <c r="K125" t="s">
        <v>1050</v>
      </c>
      <c r="L125" t="s">
        <v>5251</v>
      </c>
      <c r="M125" t="s">
        <v>5252</v>
      </c>
      <c r="N125" t="s">
        <v>107</v>
      </c>
      <c r="O125" t="s">
        <v>1047</v>
      </c>
      <c r="P125" t="s">
        <v>4782</v>
      </c>
      <c r="Q125" t="s">
        <v>1048</v>
      </c>
      <c r="R125" t="s">
        <v>1049</v>
      </c>
      <c r="S125" t="s">
        <v>1050</v>
      </c>
      <c r="T125" t="s">
        <v>4796</v>
      </c>
      <c r="U125" t="s">
        <v>4805</v>
      </c>
      <c r="V125" t="s">
        <v>4806</v>
      </c>
      <c r="W125" t="s">
        <v>4786</v>
      </c>
      <c r="X125" t="s">
        <v>4807</v>
      </c>
      <c r="Y125" t="s">
        <v>4800</v>
      </c>
      <c r="Z125" t="s">
        <v>5255</v>
      </c>
      <c r="AA125" t="s">
        <v>5256</v>
      </c>
      <c r="AB125" t="s">
        <v>5257</v>
      </c>
      <c r="AC125" t="s">
        <v>66</v>
      </c>
      <c r="AD125" t="s">
        <v>66</v>
      </c>
      <c r="AE125" t="s">
        <v>66</v>
      </c>
      <c r="AF125" t="s">
        <v>5253</v>
      </c>
      <c r="AG125" t="s">
        <v>5258</v>
      </c>
      <c r="AH125" t="s">
        <v>5253</v>
      </c>
      <c r="AI125" t="s">
        <v>5258</v>
      </c>
      <c r="AJ125" t="s">
        <v>5253</v>
      </c>
      <c r="AK125" t="s">
        <v>5258</v>
      </c>
      <c r="AL125" t="s">
        <v>4792</v>
      </c>
    </row>
    <row r="126" customHeight="1" spans="1:38">
      <c r="A126" t="s">
        <v>22</v>
      </c>
      <c r="B126" t="s">
        <v>49</v>
      </c>
      <c r="C126" t="s">
        <v>51</v>
      </c>
      <c r="D126" t="s">
        <v>22</v>
      </c>
      <c r="E126" t="s">
        <v>5259</v>
      </c>
      <c r="F126" t="s">
        <v>1046</v>
      </c>
      <c r="G126" t="s">
        <v>1047</v>
      </c>
      <c r="H126" t="s">
        <v>1047</v>
      </c>
      <c r="I126" t="s">
        <v>1048</v>
      </c>
      <c r="J126" t="s">
        <v>1049</v>
      </c>
      <c r="K126" t="s">
        <v>1050</v>
      </c>
      <c r="L126" t="s">
        <v>5260</v>
      </c>
      <c r="M126" t="s">
        <v>5261</v>
      </c>
      <c r="N126" t="s">
        <v>107</v>
      </c>
      <c r="O126" t="s">
        <v>1047</v>
      </c>
      <c r="P126" t="s">
        <v>4782</v>
      </c>
      <c r="Q126" t="s">
        <v>1048</v>
      </c>
      <c r="R126" t="s">
        <v>1049</v>
      </c>
      <c r="S126" t="s">
        <v>1050</v>
      </c>
      <c r="T126" t="s">
        <v>4796</v>
      </c>
      <c r="U126" t="s">
        <v>4797</v>
      </c>
      <c r="V126" t="s">
        <v>4814</v>
      </c>
      <c r="W126" t="s">
        <v>4786</v>
      </c>
      <c r="X126" t="s">
        <v>4807</v>
      </c>
      <c r="Y126" t="s">
        <v>4800</v>
      </c>
      <c r="Z126" t="s">
        <v>5262</v>
      </c>
      <c r="AA126" t="s">
        <v>4856</v>
      </c>
      <c r="AB126" t="s">
        <v>4814</v>
      </c>
      <c r="AC126" t="s">
        <v>66</v>
      </c>
      <c r="AD126" t="s">
        <v>66</v>
      </c>
      <c r="AE126" t="s">
        <v>66</v>
      </c>
      <c r="AF126" t="s">
        <v>5263</v>
      </c>
      <c r="AG126" t="s">
        <v>5264</v>
      </c>
      <c r="AH126" t="s">
        <v>5265</v>
      </c>
      <c r="AI126" t="s">
        <v>5264</v>
      </c>
      <c r="AJ126" t="s">
        <v>5265</v>
      </c>
      <c r="AK126" t="s">
        <v>5264</v>
      </c>
      <c r="AL126" t="s">
        <v>4792</v>
      </c>
    </row>
    <row r="127" customHeight="1" spans="1:38">
      <c r="A127" t="s">
        <v>22</v>
      </c>
      <c r="B127" t="s">
        <v>49</v>
      </c>
      <c r="C127" t="s">
        <v>51</v>
      </c>
      <c r="D127" t="s">
        <v>22</v>
      </c>
      <c r="E127" t="s">
        <v>5259</v>
      </c>
      <c r="F127" t="s">
        <v>1046</v>
      </c>
      <c r="G127" t="s">
        <v>1047</v>
      </c>
      <c r="H127" t="s">
        <v>1047</v>
      </c>
      <c r="I127" t="s">
        <v>1048</v>
      </c>
      <c r="J127" t="s">
        <v>1049</v>
      </c>
      <c r="K127" t="s">
        <v>1050</v>
      </c>
      <c r="L127" t="s">
        <v>5260</v>
      </c>
      <c r="M127" t="s">
        <v>5261</v>
      </c>
      <c r="N127" t="s">
        <v>107</v>
      </c>
      <c r="O127" t="s">
        <v>1047</v>
      </c>
      <c r="P127" t="s">
        <v>4782</v>
      </c>
      <c r="Q127" t="s">
        <v>1048</v>
      </c>
      <c r="R127" t="s">
        <v>1049</v>
      </c>
      <c r="S127" t="s">
        <v>1050</v>
      </c>
      <c r="T127" t="s">
        <v>4796</v>
      </c>
      <c r="U127" t="s">
        <v>4805</v>
      </c>
      <c r="V127" t="s">
        <v>4806</v>
      </c>
      <c r="W127" t="s">
        <v>4786</v>
      </c>
      <c r="X127" t="s">
        <v>4828</v>
      </c>
      <c r="Y127" t="s">
        <v>4800</v>
      </c>
      <c r="Z127" t="s">
        <v>5266</v>
      </c>
      <c r="AA127" t="s">
        <v>5267</v>
      </c>
      <c r="AB127" t="s">
        <v>4831</v>
      </c>
      <c r="AC127" t="s">
        <v>66</v>
      </c>
      <c r="AD127" t="s">
        <v>66</v>
      </c>
      <c r="AE127" t="s">
        <v>66</v>
      </c>
      <c r="AF127" t="s">
        <v>5263</v>
      </c>
      <c r="AG127" t="s">
        <v>5268</v>
      </c>
      <c r="AH127" t="s">
        <v>5263</v>
      </c>
      <c r="AI127" t="s">
        <v>5268</v>
      </c>
      <c r="AJ127" t="s">
        <v>5263</v>
      </c>
      <c r="AK127" t="s">
        <v>5268</v>
      </c>
      <c r="AL127" t="s">
        <v>4792</v>
      </c>
    </row>
    <row r="128" customHeight="1" spans="1:38">
      <c r="A128" t="s">
        <v>22</v>
      </c>
      <c r="B128" t="s">
        <v>49</v>
      </c>
      <c r="C128" t="s">
        <v>51</v>
      </c>
      <c r="D128" t="s">
        <v>22</v>
      </c>
      <c r="E128" t="s">
        <v>5269</v>
      </c>
      <c r="F128" t="s">
        <v>1046</v>
      </c>
      <c r="G128" t="s">
        <v>1047</v>
      </c>
      <c r="H128" t="s">
        <v>1047</v>
      </c>
      <c r="I128" t="s">
        <v>1048</v>
      </c>
      <c r="J128" t="s">
        <v>1049</v>
      </c>
      <c r="K128" t="s">
        <v>1050</v>
      </c>
      <c r="L128" t="s">
        <v>5270</v>
      </c>
      <c r="M128" t="s">
        <v>5271</v>
      </c>
      <c r="N128" t="s">
        <v>107</v>
      </c>
      <c r="O128" t="s">
        <v>1047</v>
      </c>
      <c r="P128" t="s">
        <v>4782</v>
      </c>
      <c r="Q128" t="s">
        <v>1048</v>
      </c>
      <c r="R128" t="s">
        <v>1049</v>
      </c>
      <c r="S128" t="s">
        <v>1050</v>
      </c>
      <c r="T128" t="s">
        <v>4796</v>
      </c>
      <c r="U128" t="s">
        <v>4805</v>
      </c>
      <c r="V128" t="s">
        <v>4806</v>
      </c>
      <c r="W128" t="s">
        <v>4786</v>
      </c>
      <c r="X128" t="s">
        <v>4828</v>
      </c>
      <c r="Y128" t="s">
        <v>4800</v>
      </c>
      <c r="Z128" t="s">
        <v>5272</v>
      </c>
      <c r="AA128" t="s">
        <v>5273</v>
      </c>
      <c r="AB128" t="s">
        <v>4831</v>
      </c>
      <c r="AC128" t="s">
        <v>66</v>
      </c>
      <c r="AD128" t="s">
        <v>66</v>
      </c>
      <c r="AE128" t="s">
        <v>66</v>
      </c>
      <c r="AF128" t="s">
        <v>1148</v>
      </c>
      <c r="AG128" t="s">
        <v>5274</v>
      </c>
      <c r="AH128" t="s">
        <v>1148</v>
      </c>
      <c r="AI128" t="s">
        <v>5274</v>
      </c>
      <c r="AJ128" t="s">
        <v>1148</v>
      </c>
      <c r="AK128" t="s">
        <v>5274</v>
      </c>
      <c r="AL128" t="s">
        <v>4792</v>
      </c>
    </row>
    <row r="129" customHeight="1" spans="1:38">
      <c r="A129" t="s">
        <v>22</v>
      </c>
      <c r="B129" t="s">
        <v>49</v>
      </c>
      <c r="C129" t="s">
        <v>51</v>
      </c>
      <c r="D129" t="s">
        <v>22</v>
      </c>
      <c r="E129" t="s">
        <v>5269</v>
      </c>
      <c r="F129" t="s">
        <v>1046</v>
      </c>
      <c r="G129" t="s">
        <v>1047</v>
      </c>
      <c r="H129" t="s">
        <v>1047</v>
      </c>
      <c r="I129" t="s">
        <v>1048</v>
      </c>
      <c r="J129" t="s">
        <v>1049</v>
      </c>
      <c r="K129" t="s">
        <v>1050</v>
      </c>
      <c r="L129" t="s">
        <v>5270</v>
      </c>
      <c r="M129" t="s">
        <v>5271</v>
      </c>
      <c r="N129" t="s">
        <v>107</v>
      </c>
      <c r="O129" t="s">
        <v>1047</v>
      </c>
      <c r="P129" t="s">
        <v>4782</v>
      </c>
      <c r="Q129" t="s">
        <v>1048</v>
      </c>
      <c r="R129" t="s">
        <v>1049</v>
      </c>
      <c r="S129" t="s">
        <v>1050</v>
      </c>
      <c r="T129" t="s">
        <v>4796</v>
      </c>
      <c r="U129" t="s">
        <v>4797</v>
      </c>
      <c r="V129" t="s">
        <v>4814</v>
      </c>
      <c r="W129" t="s">
        <v>4786</v>
      </c>
      <c r="X129" t="s">
        <v>4807</v>
      </c>
      <c r="Y129" t="s">
        <v>4800</v>
      </c>
      <c r="Z129" t="s">
        <v>5275</v>
      </c>
      <c r="AA129" t="s">
        <v>5276</v>
      </c>
      <c r="AB129" t="s">
        <v>4814</v>
      </c>
      <c r="AC129" t="s">
        <v>66</v>
      </c>
      <c r="AD129" t="s">
        <v>66</v>
      </c>
      <c r="AE129" t="s">
        <v>66</v>
      </c>
      <c r="AF129" t="s">
        <v>1148</v>
      </c>
      <c r="AG129" t="s">
        <v>5277</v>
      </c>
      <c r="AH129" t="s">
        <v>1148</v>
      </c>
      <c r="AI129" t="s">
        <v>5277</v>
      </c>
      <c r="AJ129" t="s">
        <v>1148</v>
      </c>
      <c r="AK129" t="s">
        <v>5277</v>
      </c>
      <c r="AL129" t="s">
        <v>4792</v>
      </c>
    </row>
    <row r="130" customHeight="1" spans="1:38">
      <c r="A130" t="s">
        <v>22</v>
      </c>
      <c r="B130" t="s">
        <v>49</v>
      </c>
      <c r="C130" t="s">
        <v>51</v>
      </c>
      <c r="D130" t="s">
        <v>22</v>
      </c>
      <c r="E130" t="s">
        <v>5278</v>
      </c>
      <c r="F130" t="s">
        <v>1046</v>
      </c>
      <c r="G130" t="s">
        <v>1047</v>
      </c>
      <c r="H130" t="s">
        <v>1047</v>
      </c>
      <c r="I130" t="s">
        <v>1048</v>
      </c>
      <c r="J130" t="s">
        <v>1049</v>
      </c>
      <c r="K130" t="s">
        <v>1050</v>
      </c>
      <c r="L130" t="s">
        <v>5279</v>
      </c>
      <c r="M130" t="s">
        <v>5280</v>
      </c>
      <c r="N130" t="s">
        <v>107</v>
      </c>
      <c r="O130" t="s">
        <v>1047</v>
      </c>
      <c r="P130" t="s">
        <v>4782</v>
      </c>
      <c r="Q130" t="s">
        <v>1048</v>
      </c>
      <c r="R130" t="s">
        <v>1049</v>
      </c>
      <c r="S130" t="s">
        <v>1050</v>
      </c>
      <c r="T130" t="s">
        <v>4796</v>
      </c>
      <c r="U130" t="s">
        <v>4805</v>
      </c>
      <c r="V130" t="s">
        <v>4806</v>
      </c>
      <c r="W130" t="s">
        <v>4786</v>
      </c>
      <c r="X130" t="s">
        <v>4828</v>
      </c>
      <c r="Y130" t="s">
        <v>4800</v>
      </c>
      <c r="Z130" t="s">
        <v>5281</v>
      </c>
      <c r="AA130" t="s">
        <v>5282</v>
      </c>
      <c r="AB130" t="s">
        <v>4959</v>
      </c>
      <c r="AC130" t="s">
        <v>66</v>
      </c>
      <c r="AD130" t="s">
        <v>66</v>
      </c>
      <c r="AE130" t="s">
        <v>66</v>
      </c>
      <c r="AF130" t="s">
        <v>5283</v>
      </c>
      <c r="AG130" t="s">
        <v>5284</v>
      </c>
      <c r="AH130" t="s">
        <v>5283</v>
      </c>
      <c r="AI130" t="s">
        <v>5284</v>
      </c>
      <c r="AJ130" t="s">
        <v>5283</v>
      </c>
      <c r="AK130" t="s">
        <v>5284</v>
      </c>
      <c r="AL130" t="s">
        <v>4792</v>
      </c>
    </row>
    <row r="131" customHeight="1" spans="1:38">
      <c r="A131" t="s">
        <v>22</v>
      </c>
      <c r="B131" t="s">
        <v>49</v>
      </c>
      <c r="C131" t="s">
        <v>51</v>
      </c>
      <c r="D131" t="s">
        <v>22</v>
      </c>
      <c r="E131" t="s">
        <v>5278</v>
      </c>
      <c r="F131" t="s">
        <v>1046</v>
      </c>
      <c r="G131" t="s">
        <v>1047</v>
      </c>
      <c r="H131" t="s">
        <v>1047</v>
      </c>
      <c r="I131" t="s">
        <v>1048</v>
      </c>
      <c r="J131" t="s">
        <v>1049</v>
      </c>
      <c r="K131" t="s">
        <v>1050</v>
      </c>
      <c r="L131" t="s">
        <v>5279</v>
      </c>
      <c r="M131" t="s">
        <v>5280</v>
      </c>
      <c r="N131" t="s">
        <v>107</v>
      </c>
      <c r="O131" t="s">
        <v>1047</v>
      </c>
      <c r="P131" t="s">
        <v>4782</v>
      </c>
      <c r="Q131" t="s">
        <v>1048</v>
      </c>
      <c r="R131" t="s">
        <v>1049</v>
      </c>
      <c r="S131" t="s">
        <v>1050</v>
      </c>
      <c r="T131" t="s">
        <v>4796</v>
      </c>
      <c r="U131" t="s">
        <v>4797</v>
      </c>
      <c r="V131" t="s">
        <v>4798</v>
      </c>
      <c r="W131" t="s">
        <v>4786</v>
      </c>
      <c r="X131" t="s">
        <v>4807</v>
      </c>
      <c r="Y131" t="s">
        <v>4800</v>
      </c>
      <c r="Z131" t="s">
        <v>5285</v>
      </c>
      <c r="AA131" t="s">
        <v>5161</v>
      </c>
      <c r="AB131" t="s">
        <v>4798</v>
      </c>
      <c r="AC131" t="s">
        <v>66</v>
      </c>
      <c r="AD131" t="s">
        <v>66</v>
      </c>
      <c r="AE131" t="s">
        <v>66</v>
      </c>
      <c r="AF131" t="s">
        <v>5283</v>
      </c>
      <c r="AG131" t="s">
        <v>5286</v>
      </c>
      <c r="AH131" t="s">
        <v>5283</v>
      </c>
      <c r="AI131" t="s">
        <v>5286</v>
      </c>
      <c r="AJ131" t="s">
        <v>5283</v>
      </c>
      <c r="AK131" t="s">
        <v>5286</v>
      </c>
      <c r="AL131" t="s">
        <v>4792</v>
      </c>
    </row>
    <row r="132" customHeight="1" spans="1:38">
      <c r="A132" t="s">
        <v>22</v>
      </c>
      <c r="B132" t="s">
        <v>49</v>
      </c>
      <c r="C132" t="s">
        <v>51</v>
      </c>
      <c r="D132" t="s">
        <v>22</v>
      </c>
      <c r="E132" t="s">
        <v>5287</v>
      </c>
      <c r="F132" t="s">
        <v>1046</v>
      </c>
      <c r="G132" t="s">
        <v>1047</v>
      </c>
      <c r="H132" t="s">
        <v>1047</v>
      </c>
      <c r="I132" t="s">
        <v>1048</v>
      </c>
      <c r="J132" t="s">
        <v>1049</v>
      </c>
      <c r="K132" t="s">
        <v>1050</v>
      </c>
      <c r="L132" t="s">
        <v>5288</v>
      </c>
      <c r="M132" t="s">
        <v>5289</v>
      </c>
      <c r="N132" t="s">
        <v>107</v>
      </c>
      <c r="O132" t="s">
        <v>1047</v>
      </c>
      <c r="P132" t="s">
        <v>4782</v>
      </c>
      <c r="Q132" t="s">
        <v>1048</v>
      </c>
      <c r="R132" t="s">
        <v>1049</v>
      </c>
      <c r="S132" t="s">
        <v>1050</v>
      </c>
      <c r="T132" t="s">
        <v>4796</v>
      </c>
      <c r="U132" t="s">
        <v>4805</v>
      </c>
      <c r="V132" t="s">
        <v>4806</v>
      </c>
      <c r="W132" t="s">
        <v>4786</v>
      </c>
      <c r="X132" t="s">
        <v>4807</v>
      </c>
      <c r="Y132" t="s">
        <v>4800</v>
      </c>
      <c r="Z132" t="s">
        <v>4836</v>
      </c>
      <c r="AA132" t="s">
        <v>4837</v>
      </c>
      <c r="AB132" t="s">
        <v>4838</v>
      </c>
      <c r="AC132" t="s">
        <v>66</v>
      </c>
      <c r="AD132" t="s">
        <v>66</v>
      </c>
      <c r="AE132" t="s">
        <v>66</v>
      </c>
      <c r="AF132" t="s">
        <v>5290</v>
      </c>
      <c r="AG132" t="s">
        <v>5291</v>
      </c>
      <c r="AH132" t="s">
        <v>5290</v>
      </c>
      <c r="AI132" t="s">
        <v>5291</v>
      </c>
      <c r="AJ132" t="s">
        <v>5290</v>
      </c>
      <c r="AK132" t="s">
        <v>5291</v>
      </c>
      <c r="AL132" t="s">
        <v>4792</v>
      </c>
    </row>
    <row r="133" customHeight="1" spans="1:38">
      <c r="A133" t="s">
        <v>22</v>
      </c>
      <c r="B133" t="s">
        <v>49</v>
      </c>
      <c r="C133" t="s">
        <v>51</v>
      </c>
      <c r="D133" t="s">
        <v>22</v>
      </c>
      <c r="E133" t="s">
        <v>5287</v>
      </c>
      <c r="F133" t="s">
        <v>1046</v>
      </c>
      <c r="G133" t="s">
        <v>1047</v>
      </c>
      <c r="H133" t="s">
        <v>1047</v>
      </c>
      <c r="I133" t="s">
        <v>1048</v>
      </c>
      <c r="J133" t="s">
        <v>1049</v>
      </c>
      <c r="K133" t="s">
        <v>1050</v>
      </c>
      <c r="L133" t="s">
        <v>5288</v>
      </c>
      <c r="M133" t="s">
        <v>5289</v>
      </c>
      <c r="N133" t="s">
        <v>107</v>
      </c>
      <c r="O133" t="s">
        <v>1047</v>
      </c>
      <c r="P133" t="s">
        <v>4782</v>
      </c>
      <c r="Q133" t="s">
        <v>1048</v>
      </c>
      <c r="R133" t="s">
        <v>1049</v>
      </c>
      <c r="S133" t="s">
        <v>1050</v>
      </c>
      <c r="T133" t="s">
        <v>4796</v>
      </c>
      <c r="U133" t="s">
        <v>4797</v>
      </c>
      <c r="V133" t="s">
        <v>4798</v>
      </c>
      <c r="W133" t="s">
        <v>4786</v>
      </c>
      <c r="X133" t="s">
        <v>4807</v>
      </c>
      <c r="Y133" t="s">
        <v>4800</v>
      </c>
      <c r="Z133" t="s">
        <v>5292</v>
      </c>
      <c r="AA133" t="s">
        <v>4864</v>
      </c>
      <c r="AB133" t="s">
        <v>4798</v>
      </c>
      <c r="AC133" t="s">
        <v>66</v>
      </c>
      <c r="AD133" t="s">
        <v>66</v>
      </c>
      <c r="AE133" t="s">
        <v>66</v>
      </c>
      <c r="AF133" t="s">
        <v>5290</v>
      </c>
      <c r="AG133" t="s">
        <v>5293</v>
      </c>
      <c r="AH133" t="s">
        <v>5290</v>
      </c>
      <c r="AI133" t="s">
        <v>5293</v>
      </c>
      <c r="AJ133" t="s">
        <v>5290</v>
      </c>
      <c r="AK133" t="s">
        <v>5293</v>
      </c>
      <c r="AL133" t="s">
        <v>4792</v>
      </c>
    </row>
    <row r="134" customHeight="1" spans="1:38">
      <c r="A134" t="s">
        <v>22</v>
      </c>
      <c r="B134" t="s">
        <v>49</v>
      </c>
      <c r="C134" t="s">
        <v>51</v>
      </c>
      <c r="D134" t="s">
        <v>22</v>
      </c>
      <c r="E134" t="s">
        <v>5294</v>
      </c>
      <c r="F134" t="s">
        <v>1046</v>
      </c>
      <c r="G134" t="s">
        <v>1047</v>
      </c>
      <c r="H134" t="s">
        <v>1047</v>
      </c>
      <c r="I134" t="s">
        <v>1048</v>
      </c>
      <c r="J134" t="s">
        <v>1049</v>
      </c>
      <c r="K134" t="s">
        <v>1050</v>
      </c>
      <c r="L134" t="s">
        <v>5295</v>
      </c>
      <c r="M134" t="s">
        <v>108</v>
      </c>
      <c r="N134" t="s">
        <v>107</v>
      </c>
      <c r="O134" t="s">
        <v>1047</v>
      </c>
      <c r="P134" t="s">
        <v>4782</v>
      </c>
      <c r="Q134" t="s">
        <v>1048</v>
      </c>
      <c r="R134" t="s">
        <v>1049</v>
      </c>
      <c r="S134" t="s">
        <v>1050</v>
      </c>
      <c r="T134" t="s">
        <v>4796</v>
      </c>
      <c r="U134" t="s">
        <v>4805</v>
      </c>
      <c r="V134" t="s">
        <v>4806</v>
      </c>
      <c r="W134" t="s">
        <v>4786</v>
      </c>
      <c r="X134" t="s">
        <v>4828</v>
      </c>
      <c r="Y134" t="s">
        <v>4800</v>
      </c>
      <c r="Z134" t="s">
        <v>5296</v>
      </c>
      <c r="AA134" t="s">
        <v>5164</v>
      </c>
      <c r="AB134" t="s">
        <v>4831</v>
      </c>
      <c r="AC134" t="s">
        <v>66</v>
      </c>
      <c r="AD134" t="s">
        <v>66</v>
      </c>
      <c r="AE134" t="s">
        <v>66</v>
      </c>
      <c r="AF134" t="s">
        <v>107</v>
      </c>
      <c r="AG134" t="s">
        <v>5297</v>
      </c>
      <c r="AH134" t="s">
        <v>107</v>
      </c>
      <c r="AI134" t="s">
        <v>5297</v>
      </c>
      <c r="AJ134" t="s">
        <v>107</v>
      </c>
      <c r="AK134" t="s">
        <v>5297</v>
      </c>
      <c r="AL134" t="s">
        <v>5080</v>
      </c>
    </row>
    <row r="135" customHeight="1" spans="1:38">
      <c r="A135" t="s">
        <v>22</v>
      </c>
      <c r="B135" t="s">
        <v>49</v>
      </c>
      <c r="C135" t="s">
        <v>51</v>
      </c>
      <c r="D135" t="s">
        <v>22</v>
      </c>
      <c r="E135" t="s">
        <v>5294</v>
      </c>
      <c r="F135" t="s">
        <v>1046</v>
      </c>
      <c r="G135" t="s">
        <v>1047</v>
      </c>
      <c r="H135" t="s">
        <v>1047</v>
      </c>
      <c r="I135" t="s">
        <v>1048</v>
      </c>
      <c r="J135" t="s">
        <v>1049</v>
      </c>
      <c r="K135" t="s">
        <v>1050</v>
      </c>
      <c r="L135" t="s">
        <v>5295</v>
      </c>
      <c r="M135" t="s">
        <v>108</v>
      </c>
      <c r="N135" t="s">
        <v>107</v>
      </c>
      <c r="O135" t="s">
        <v>1047</v>
      </c>
      <c r="P135" t="s">
        <v>4782</v>
      </c>
      <c r="Q135" t="s">
        <v>1048</v>
      </c>
      <c r="R135" t="s">
        <v>1049</v>
      </c>
      <c r="S135" t="s">
        <v>1050</v>
      </c>
      <c r="T135" t="s">
        <v>4796</v>
      </c>
      <c r="U135" t="s">
        <v>4797</v>
      </c>
      <c r="V135" t="s">
        <v>4814</v>
      </c>
      <c r="W135" t="s">
        <v>4786</v>
      </c>
      <c r="X135" t="s">
        <v>4807</v>
      </c>
      <c r="Y135" t="s">
        <v>4800</v>
      </c>
      <c r="Z135" t="s">
        <v>5298</v>
      </c>
      <c r="AA135" t="s">
        <v>5299</v>
      </c>
      <c r="AB135" t="s">
        <v>4814</v>
      </c>
      <c r="AC135" t="s">
        <v>66</v>
      </c>
      <c r="AD135" t="s">
        <v>66</v>
      </c>
      <c r="AE135" t="s">
        <v>66</v>
      </c>
      <c r="AF135" t="s">
        <v>107</v>
      </c>
      <c r="AG135" t="s">
        <v>5300</v>
      </c>
      <c r="AH135" t="s">
        <v>107</v>
      </c>
      <c r="AI135" t="s">
        <v>5300</v>
      </c>
      <c r="AJ135" t="s">
        <v>107</v>
      </c>
      <c r="AK135" t="s">
        <v>5300</v>
      </c>
      <c r="AL135" t="s">
        <v>5080</v>
      </c>
    </row>
    <row r="136" customHeight="1" spans="1:38">
      <c r="A136" t="s">
        <v>22</v>
      </c>
      <c r="B136" t="s">
        <v>49</v>
      </c>
      <c r="C136" t="s">
        <v>51</v>
      </c>
      <c r="D136" t="s">
        <v>22</v>
      </c>
      <c r="E136" t="s">
        <v>5301</v>
      </c>
      <c r="F136" t="s">
        <v>1046</v>
      </c>
      <c r="G136" t="s">
        <v>1047</v>
      </c>
      <c r="H136" t="s">
        <v>1047</v>
      </c>
      <c r="I136" t="s">
        <v>1048</v>
      </c>
      <c r="J136" t="s">
        <v>1049</v>
      </c>
      <c r="K136" t="s">
        <v>1050</v>
      </c>
      <c r="L136" t="s">
        <v>5302</v>
      </c>
      <c r="M136" t="s">
        <v>5303</v>
      </c>
      <c r="N136" t="s">
        <v>107</v>
      </c>
      <c r="O136" t="s">
        <v>1047</v>
      </c>
      <c r="P136" t="s">
        <v>4782</v>
      </c>
      <c r="Q136" t="s">
        <v>1048</v>
      </c>
      <c r="R136" t="s">
        <v>1049</v>
      </c>
      <c r="S136" t="s">
        <v>1050</v>
      </c>
      <c r="T136" t="s">
        <v>4796</v>
      </c>
      <c r="U136" t="s">
        <v>4797</v>
      </c>
      <c r="V136" t="s">
        <v>4798</v>
      </c>
      <c r="W136" t="s">
        <v>4786</v>
      </c>
      <c r="X136" t="s">
        <v>4807</v>
      </c>
      <c r="Y136" t="s">
        <v>4800</v>
      </c>
      <c r="Z136" t="s">
        <v>5304</v>
      </c>
      <c r="AA136" t="s">
        <v>5305</v>
      </c>
      <c r="AB136" t="s">
        <v>4798</v>
      </c>
      <c r="AC136" t="s">
        <v>66</v>
      </c>
      <c r="AD136" t="s">
        <v>66</v>
      </c>
      <c r="AE136" t="s">
        <v>66</v>
      </c>
      <c r="AF136" t="s">
        <v>5306</v>
      </c>
      <c r="AG136" t="s">
        <v>5307</v>
      </c>
      <c r="AH136" t="s">
        <v>5306</v>
      </c>
      <c r="AI136" t="s">
        <v>5307</v>
      </c>
      <c r="AJ136" t="s">
        <v>5306</v>
      </c>
      <c r="AK136" t="s">
        <v>5307</v>
      </c>
      <c r="AL136" t="s">
        <v>4792</v>
      </c>
    </row>
    <row r="137" customHeight="1" spans="1:38">
      <c r="A137" t="s">
        <v>22</v>
      </c>
      <c r="B137" t="s">
        <v>49</v>
      </c>
      <c r="C137" t="s">
        <v>51</v>
      </c>
      <c r="D137" t="s">
        <v>22</v>
      </c>
      <c r="E137" t="s">
        <v>5301</v>
      </c>
      <c r="F137" t="s">
        <v>1046</v>
      </c>
      <c r="G137" t="s">
        <v>1047</v>
      </c>
      <c r="H137" t="s">
        <v>1047</v>
      </c>
      <c r="I137" t="s">
        <v>1048</v>
      </c>
      <c r="J137" t="s">
        <v>1049</v>
      </c>
      <c r="K137" t="s">
        <v>1050</v>
      </c>
      <c r="L137" t="s">
        <v>5302</v>
      </c>
      <c r="M137" t="s">
        <v>5303</v>
      </c>
      <c r="N137" t="s">
        <v>107</v>
      </c>
      <c r="O137" t="s">
        <v>1047</v>
      </c>
      <c r="P137" t="s">
        <v>4782</v>
      </c>
      <c r="Q137" t="s">
        <v>1048</v>
      </c>
      <c r="R137" t="s">
        <v>1049</v>
      </c>
      <c r="S137" t="s">
        <v>1050</v>
      </c>
      <c r="T137" t="s">
        <v>4796</v>
      </c>
      <c r="U137" t="s">
        <v>4805</v>
      </c>
      <c r="V137" t="s">
        <v>4806</v>
      </c>
      <c r="W137" t="s">
        <v>4786</v>
      </c>
      <c r="X137" t="s">
        <v>4828</v>
      </c>
      <c r="Y137" t="s">
        <v>4800</v>
      </c>
      <c r="Z137" t="s">
        <v>5308</v>
      </c>
      <c r="AA137" t="s">
        <v>4982</v>
      </c>
      <c r="AB137" t="s">
        <v>4936</v>
      </c>
      <c r="AC137" t="s">
        <v>66</v>
      </c>
      <c r="AD137" t="s">
        <v>66</v>
      </c>
      <c r="AE137" t="s">
        <v>66</v>
      </c>
      <c r="AF137" t="s">
        <v>5306</v>
      </c>
      <c r="AG137" t="s">
        <v>5309</v>
      </c>
      <c r="AH137" t="s">
        <v>5306</v>
      </c>
      <c r="AI137" t="s">
        <v>5309</v>
      </c>
      <c r="AJ137" t="s">
        <v>5306</v>
      </c>
      <c r="AK137" t="s">
        <v>5309</v>
      </c>
      <c r="AL137" t="s">
        <v>4792</v>
      </c>
    </row>
    <row r="138" customHeight="1" spans="1:38">
      <c r="A138" t="s">
        <v>22</v>
      </c>
      <c r="B138" t="s">
        <v>49</v>
      </c>
      <c r="C138" t="s">
        <v>51</v>
      </c>
      <c r="D138" t="s">
        <v>22</v>
      </c>
      <c r="E138" t="s">
        <v>5310</v>
      </c>
      <c r="F138" t="s">
        <v>1046</v>
      </c>
      <c r="G138" t="s">
        <v>1047</v>
      </c>
      <c r="H138" t="s">
        <v>1047</v>
      </c>
      <c r="I138" t="s">
        <v>1048</v>
      </c>
      <c r="J138" t="s">
        <v>1049</v>
      </c>
      <c r="K138" t="s">
        <v>1050</v>
      </c>
      <c r="L138" t="s">
        <v>5311</v>
      </c>
      <c r="M138" t="s">
        <v>1121</v>
      </c>
      <c r="N138" t="s">
        <v>107</v>
      </c>
      <c r="O138" t="s">
        <v>1047</v>
      </c>
      <c r="P138" t="s">
        <v>4782</v>
      </c>
      <c r="Q138" t="s">
        <v>1048</v>
      </c>
      <c r="R138" t="s">
        <v>1049</v>
      </c>
      <c r="S138" t="s">
        <v>1050</v>
      </c>
      <c r="T138" t="s">
        <v>4796</v>
      </c>
      <c r="U138" t="s">
        <v>4797</v>
      </c>
      <c r="V138" t="s">
        <v>4841</v>
      </c>
      <c r="W138" t="s">
        <v>4786</v>
      </c>
      <c r="X138" t="s">
        <v>4807</v>
      </c>
      <c r="Y138" t="s">
        <v>4800</v>
      </c>
      <c r="Z138" t="s">
        <v>4847</v>
      </c>
      <c r="AA138" t="s">
        <v>4848</v>
      </c>
      <c r="AB138" t="s">
        <v>4841</v>
      </c>
      <c r="AC138" t="s">
        <v>66</v>
      </c>
      <c r="AD138" t="s">
        <v>66</v>
      </c>
      <c r="AE138" t="s">
        <v>66</v>
      </c>
      <c r="AF138" t="s">
        <v>5063</v>
      </c>
      <c r="AG138" t="s">
        <v>5312</v>
      </c>
      <c r="AH138" t="s">
        <v>5063</v>
      </c>
      <c r="AI138" t="s">
        <v>5312</v>
      </c>
      <c r="AJ138" t="s">
        <v>5063</v>
      </c>
      <c r="AK138" t="s">
        <v>5312</v>
      </c>
      <c r="AL138" t="s">
        <v>4792</v>
      </c>
    </row>
    <row r="139" customHeight="1" spans="1:38">
      <c r="A139" t="s">
        <v>22</v>
      </c>
      <c r="B139" t="s">
        <v>49</v>
      </c>
      <c r="C139" t="s">
        <v>51</v>
      </c>
      <c r="D139" t="s">
        <v>22</v>
      </c>
      <c r="E139" t="s">
        <v>5313</v>
      </c>
      <c r="F139" t="s">
        <v>1046</v>
      </c>
      <c r="G139" t="s">
        <v>1047</v>
      </c>
      <c r="H139" t="s">
        <v>1047</v>
      </c>
      <c r="I139" t="s">
        <v>1048</v>
      </c>
      <c r="J139" t="s">
        <v>1049</v>
      </c>
      <c r="K139" t="s">
        <v>1050</v>
      </c>
      <c r="L139" t="s">
        <v>5311</v>
      </c>
      <c r="M139" t="s">
        <v>5241</v>
      </c>
      <c r="N139" t="s">
        <v>107</v>
      </c>
      <c r="O139" t="s">
        <v>1047</v>
      </c>
      <c r="P139" t="s">
        <v>4782</v>
      </c>
      <c r="Q139" t="s">
        <v>1048</v>
      </c>
      <c r="R139" t="s">
        <v>1049</v>
      </c>
      <c r="S139" t="s">
        <v>1050</v>
      </c>
      <c r="T139" t="s">
        <v>4796</v>
      </c>
      <c r="U139" t="s">
        <v>4797</v>
      </c>
      <c r="V139" t="s">
        <v>4841</v>
      </c>
      <c r="W139" t="s">
        <v>4786</v>
      </c>
      <c r="X139" t="s">
        <v>4807</v>
      </c>
      <c r="Y139" t="s">
        <v>4800</v>
      </c>
      <c r="Z139" t="s">
        <v>5314</v>
      </c>
      <c r="AA139" t="s">
        <v>5315</v>
      </c>
      <c r="AB139" t="s">
        <v>4841</v>
      </c>
      <c r="AC139" t="s">
        <v>66</v>
      </c>
      <c r="AD139" t="s">
        <v>66</v>
      </c>
      <c r="AE139" t="s">
        <v>66</v>
      </c>
      <c r="AF139" t="s">
        <v>5316</v>
      </c>
      <c r="AG139" t="s">
        <v>5317</v>
      </c>
      <c r="AH139" t="s">
        <v>5316</v>
      </c>
      <c r="AI139" t="s">
        <v>5317</v>
      </c>
      <c r="AJ139" t="s">
        <v>5316</v>
      </c>
      <c r="AK139" t="s">
        <v>5317</v>
      </c>
      <c r="AL139" t="s">
        <v>4792</v>
      </c>
    </row>
    <row r="140" customHeight="1" spans="1:38">
      <c r="A140" t="s">
        <v>22</v>
      </c>
      <c r="B140" t="s">
        <v>49</v>
      </c>
      <c r="C140" t="s">
        <v>51</v>
      </c>
      <c r="D140" t="s">
        <v>22</v>
      </c>
      <c r="E140" t="s">
        <v>5313</v>
      </c>
      <c r="F140" t="s">
        <v>1046</v>
      </c>
      <c r="G140" t="s">
        <v>1047</v>
      </c>
      <c r="H140" t="s">
        <v>1047</v>
      </c>
      <c r="I140" t="s">
        <v>1048</v>
      </c>
      <c r="J140" t="s">
        <v>1049</v>
      </c>
      <c r="K140" t="s">
        <v>1050</v>
      </c>
      <c r="L140" t="s">
        <v>5311</v>
      </c>
      <c r="M140" t="s">
        <v>5241</v>
      </c>
      <c r="N140" t="s">
        <v>107</v>
      </c>
      <c r="O140" t="s">
        <v>1047</v>
      </c>
      <c r="P140" t="s">
        <v>4782</v>
      </c>
      <c r="Q140" t="s">
        <v>1048</v>
      </c>
      <c r="R140" t="s">
        <v>1049</v>
      </c>
      <c r="S140" t="s">
        <v>1050</v>
      </c>
      <c r="T140" t="s">
        <v>4796</v>
      </c>
      <c r="U140" t="s">
        <v>4805</v>
      </c>
      <c r="V140" t="s">
        <v>4806</v>
      </c>
      <c r="W140" t="s">
        <v>4786</v>
      </c>
      <c r="X140" t="s">
        <v>4828</v>
      </c>
      <c r="Y140" t="s">
        <v>4800</v>
      </c>
      <c r="Z140" t="s">
        <v>5318</v>
      </c>
      <c r="AA140" t="s">
        <v>5319</v>
      </c>
      <c r="AB140" t="s">
        <v>5147</v>
      </c>
      <c r="AC140" t="s">
        <v>66</v>
      </c>
      <c r="AD140" t="s">
        <v>66</v>
      </c>
      <c r="AE140" t="s">
        <v>66</v>
      </c>
      <c r="AF140" t="s">
        <v>5316</v>
      </c>
      <c r="AG140" t="s">
        <v>5320</v>
      </c>
      <c r="AH140" t="s">
        <v>5316</v>
      </c>
      <c r="AI140" t="s">
        <v>5320</v>
      </c>
      <c r="AJ140" t="s">
        <v>5316</v>
      </c>
      <c r="AK140" t="s">
        <v>5320</v>
      </c>
      <c r="AL140" t="s">
        <v>4792</v>
      </c>
    </row>
    <row r="141" customHeight="1" spans="1:38">
      <c r="A141" t="s">
        <v>22</v>
      </c>
      <c r="B141" t="s">
        <v>49</v>
      </c>
      <c r="C141" t="s">
        <v>51</v>
      </c>
      <c r="D141" t="s">
        <v>22</v>
      </c>
      <c r="E141" t="s">
        <v>5321</v>
      </c>
      <c r="F141" t="s">
        <v>1070</v>
      </c>
      <c r="G141" t="s">
        <v>1047</v>
      </c>
      <c r="H141" t="s">
        <v>1047</v>
      </c>
      <c r="I141" t="s">
        <v>1048</v>
      </c>
      <c r="J141" t="s">
        <v>1049</v>
      </c>
      <c r="K141" t="s">
        <v>1050</v>
      </c>
      <c r="L141" t="s">
        <v>5322</v>
      </c>
      <c r="M141" t="s">
        <v>5323</v>
      </c>
      <c r="N141" t="s">
        <v>107</v>
      </c>
      <c r="O141" t="s">
        <v>1047</v>
      </c>
      <c r="P141" t="s">
        <v>4782</v>
      </c>
      <c r="Q141" t="s">
        <v>1048</v>
      </c>
      <c r="R141" t="s">
        <v>1049</v>
      </c>
      <c r="S141" t="s">
        <v>1050</v>
      </c>
      <c r="T141" t="s">
        <v>4796</v>
      </c>
      <c r="U141" t="s">
        <v>4805</v>
      </c>
      <c r="V141" t="s">
        <v>4806</v>
      </c>
      <c r="W141" t="s">
        <v>4786</v>
      </c>
      <c r="X141" t="s">
        <v>4828</v>
      </c>
      <c r="Y141" t="s">
        <v>4800</v>
      </c>
      <c r="Z141" t="s">
        <v>5324</v>
      </c>
      <c r="AA141" t="s">
        <v>4935</v>
      </c>
      <c r="AB141" t="s">
        <v>5147</v>
      </c>
      <c r="AC141" t="s">
        <v>66</v>
      </c>
      <c r="AD141" t="s">
        <v>19</v>
      </c>
      <c r="AE141" t="s">
        <v>19</v>
      </c>
      <c r="AF141" t="s">
        <v>5325</v>
      </c>
      <c r="AG141" t="s">
        <v>5326</v>
      </c>
      <c r="AH141" t="s">
        <v>22</v>
      </c>
      <c r="AI141" t="s">
        <v>22</v>
      </c>
      <c r="AJ141" t="s">
        <v>22</v>
      </c>
      <c r="AK141" t="s">
        <v>22</v>
      </c>
      <c r="AL141" t="s">
        <v>4792</v>
      </c>
    </row>
    <row r="142" customHeight="1" spans="1:38">
      <c r="A142" t="s">
        <v>22</v>
      </c>
      <c r="B142" t="s">
        <v>49</v>
      </c>
      <c r="C142" t="s">
        <v>51</v>
      </c>
      <c r="D142" t="s">
        <v>22</v>
      </c>
      <c r="E142" t="s">
        <v>5321</v>
      </c>
      <c r="F142" t="s">
        <v>1070</v>
      </c>
      <c r="G142" t="s">
        <v>1047</v>
      </c>
      <c r="H142" t="s">
        <v>1047</v>
      </c>
      <c r="I142" t="s">
        <v>1048</v>
      </c>
      <c r="J142" t="s">
        <v>1049</v>
      </c>
      <c r="K142" t="s">
        <v>1050</v>
      </c>
      <c r="L142" t="s">
        <v>5322</v>
      </c>
      <c r="M142" t="s">
        <v>5323</v>
      </c>
      <c r="N142" t="s">
        <v>107</v>
      </c>
      <c r="O142" t="s">
        <v>1047</v>
      </c>
      <c r="P142" t="s">
        <v>4782</v>
      </c>
      <c r="Q142" t="s">
        <v>1048</v>
      </c>
      <c r="R142" t="s">
        <v>1049</v>
      </c>
      <c r="S142" t="s">
        <v>1050</v>
      </c>
      <c r="T142" t="s">
        <v>4796</v>
      </c>
      <c r="U142" t="s">
        <v>4797</v>
      </c>
      <c r="V142" t="s">
        <v>4841</v>
      </c>
      <c r="W142" t="s">
        <v>4786</v>
      </c>
      <c r="X142" t="s">
        <v>4807</v>
      </c>
      <c r="Y142" t="s">
        <v>4800</v>
      </c>
      <c r="Z142" t="s">
        <v>5327</v>
      </c>
      <c r="AA142" t="s">
        <v>5328</v>
      </c>
      <c r="AB142" t="s">
        <v>4841</v>
      </c>
      <c r="AC142" t="s">
        <v>66</v>
      </c>
      <c r="AD142" t="s">
        <v>19</v>
      </c>
      <c r="AE142" t="s">
        <v>19</v>
      </c>
      <c r="AF142" t="s">
        <v>5325</v>
      </c>
      <c r="AG142" t="s">
        <v>5326</v>
      </c>
      <c r="AH142" t="s">
        <v>22</v>
      </c>
      <c r="AI142" t="s">
        <v>22</v>
      </c>
      <c r="AJ142" t="s">
        <v>22</v>
      </c>
      <c r="AK142" t="s">
        <v>22</v>
      </c>
      <c r="AL142" t="s">
        <v>4792</v>
      </c>
    </row>
    <row r="143" customHeight="1" spans="1:38">
      <c r="A143" t="s">
        <v>22</v>
      </c>
      <c r="B143" t="s">
        <v>49</v>
      </c>
      <c r="C143" t="s">
        <v>51</v>
      </c>
      <c r="D143" t="s">
        <v>22</v>
      </c>
      <c r="E143" t="s">
        <v>5329</v>
      </c>
      <c r="F143" t="s">
        <v>1070</v>
      </c>
      <c r="G143" t="s">
        <v>1047</v>
      </c>
      <c r="H143" t="s">
        <v>1047</v>
      </c>
      <c r="I143" t="s">
        <v>1048</v>
      </c>
      <c r="J143" t="s">
        <v>1049</v>
      </c>
      <c r="K143" t="s">
        <v>1050</v>
      </c>
      <c r="L143" t="s">
        <v>5322</v>
      </c>
      <c r="M143" t="s">
        <v>1833</v>
      </c>
      <c r="N143" t="s">
        <v>107</v>
      </c>
      <c r="O143" t="s">
        <v>1047</v>
      </c>
      <c r="P143" t="s">
        <v>4782</v>
      </c>
      <c r="Q143" t="s">
        <v>1048</v>
      </c>
      <c r="R143" t="s">
        <v>1049</v>
      </c>
      <c r="S143" t="s">
        <v>1050</v>
      </c>
      <c r="T143" t="s">
        <v>4796</v>
      </c>
      <c r="U143" t="s">
        <v>4805</v>
      </c>
      <c r="V143" t="s">
        <v>4806</v>
      </c>
      <c r="W143" t="s">
        <v>4786</v>
      </c>
      <c r="X143" t="s">
        <v>4828</v>
      </c>
      <c r="Y143" t="s">
        <v>4800</v>
      </c>
      <c r="Z143" t="s">
        <v>5330</v>
      </c>
      <c r="AA143" t="s">
        <v>5050</v>
      </c>
      <c r="AB143" t="s">
        <v>5147</v>
      </c>
      <c r="AC143" t="s">
        <v>66</v>
      </c>
      <c r="AD143" t="s">
        <v>19</v>
      </c>
      <c r="AE143" t="s">
        <v>19</v>
      </c>
      <c r="AF143" t="s">
        <v>5331</v>
      </c>
      <c r="AG143" t="s">
        <v>5332</v>
      </c>
      <c r="AH143" t="s">
        <v>22</v>
      </c>
      <c r="AI143" t="s">
        <v>22</v>
      </c>
      <c r="AJ143" t="s">
        <v>22</v>
      </c>
      <c r="AK143" t="s">
        <v>22</v>
      </c>
      <c r="AL143" t="s">
        <v>4792</v>
      </c>
    </row>
    <row r="144" customHeight="1" spans="1:38">
      <c r="A144" t="s">
        <v>22</v>
      </c>
      <c r="B144" t="s">
        <v>49</v>
      </c>
      <c r="C144" t="s">
        <v>51</v>
      </c>
      <c r="D144" t="s">
        <v>22</v>
      </c>
      <c r="E144" t="s">
        <v>5329</v>
      </c>
      <c r="F144" t="s">
        <v>1070</v>
      </c>
      <c r="G144" t="s">
        <v>1047</v>
      </c>
      <c r="H144" t="s">
        <v>1047</v>
      </c>
      <c r="I144" t="s">
        <v>1048</v>
      </c>
      <c r="J144" t="s">
        <v>1049</v>
      </c>
      <c r="K144" t="s">
        <v>1050</v>
      </c>
      <c r="L144" t="s">
        <v>5322</v>
      </c>
      <c r="M144" t="s">
        <v>1833</v>
      </c>
      <c r="N144" t="s">
        <v>107</v>
      </c>
      <c r="O144" t="s">
        <v>1047</v>
      </c>
      <c r="P144" t="s">
        <v>4782</v>
      </c>
      <c r="Q144" t="s">
        <v>1048</v>
      </c>
      <c r="R144" t="s">
        <v>1049</v>
      </c>
      <c r="S144" t="s">
        <v>1050</v>
      </c>
      <c r="T144" t="s">
        <v>4796</v>
      </c>
      <c r="U144" t="s">
        <v>4797</v>
      </c>
      <c r="V144" t="s">
        <v>4841</v>
      </c>
      <c r="W144" t="s">
        <v>4786</v>
      </c>
      <c r="X144" t="s">
        <v>4807</v>
      </c>
      <c r="Y144" t="s">
        <v>4800</v>
      </c>
      <c r="Z144" t="s">
        <v>5333</v>
      </c>
      <c r="AA144" t="s">
        <v>4856</v>
      </c>
      <c r="AB144" t="s">
        <v>4841</v>
      </c>
      <c r="AC144" t="s">
        <v>66</v>
      </c>
      <c r="AD144" t="s">
        <v>19</v>
      </c>
      <c r="AE144" t="s">
        <v>19</v>
      </c>
      <c r="AF144" t="s">
        <v>5331</v>
      </c>
      <c r="AG144" t="s">
        <v>5334</v>
      </c>
      <c r="AH144" t="s">
        <v>22</v>
      </c>
      <c r="AI144" t="s">
        <v>22</v>
      </c>
      <c r="AJ144" t="s">
        <v>22</v>
      </c>
      <c r="AK144" t="s">
        <v>22</v>
      </c>
      <c r="AL144" t="s">
        <v>4792</v>
      </c>
    </row>
    <row r="145" customHeight="1" spans="1:38">
      <c r="A145" t="s">
        <v>22</v>
      </c>
      <c r="B145" t="s">
        <v>49</v>
      </c>
      <c r="C145" t="s">
        <v>51</v>
      </c>
      <c r="D145" t="s">
        <v>22</v>
      </c>
      <c r="E145" t="s">
        <v>5335</v>
      </c>
      <c r="F145" t="s">
        <v>1046</v>
      </c>
      <c r="G145" t="s">
        <v>1047</v>
      </c>
      <c r="H145" t="s">
        <v>1047</v>
      </c>
      <c r="I145" t="s">
        <v>1048</v>
      </c>
      <c r="J145" t="s">
        <v>1049</v>
      </c>
      <c r="K145" t="s">
        <v>1050</v>
      </c>
      <c r="L145" t="s">
        <v>1178</v>
      </c>
      <c r="M145" t="s">
        <v>5336</v>
      </c>
      <c r="N145" t="s">
        <v>107</v>
      </c>
      <c r="O145" t="s">
        <v>1047</v>
      </c>
      <c r="P145" t="s">
        <v>4782</v>
      </c>
      <c r="Q145" t="s">
        <v>1048</v>
      </c>
      <c r="R145" t="s">
        <v>1049</v>
      </c>
      <c r="S145" t="s">
        <v>1050</v>
      </c>
      <c r="T145" t="s">
        <v>4796</v>
      </c>
      <c r="U145" t="s">
        <v>4797</v>
      </c>
      <c r="V145" t="s">
        <v>4976</v>
      </c>
      <c r="W145" t="s">
        <v>4786</v>
      </c>
      <c r="X145" t="s">
        <v>4807</v>
      </c>
      <c r="Y145" t="s">
        <v>4800</v>
      </c>
      <c r="Z145" t="s">
        <v>5337</v>
      </c>
      <c r="AA145" t="s">
        <v>4843</v>
      </c>
      <c r="AB145" t="s">
        <v>4976</v>
      </c>
      <c r="AC145" t="s">
        <v>66</v>
      </c>
      <c r="AD145" t="s">
        <v>66</v>
      </c>
      <c r="AE145" t="s">
        <v>66</v>
      </c>
      <c r="AF145" t="s">
        <v>5338</v>
      </c>
      <c r="AG145" t="s">
        <v>5339</v>
      </c>
      <c r="AH145" t="s">
        <v>5338</v>
      </c>
      <c r="AI145" t="s">
        <v>5339</v>
      </c>
      <c r="AJ145" t="s">
        <v>5338</v>
      </c>
      <c r="AK145" t="s">
        <v>5339</v>
      </c>
      <c r="AL145" t="s">
        <v>4792</v>
      </c>
    </row>
    <row r="146" customHeight="1" spans="1:38">
      <c r="A146" t="s">
        <v>22</v>
      </c>
      <c r="B146" t="s">
        <v>49</v>
      </c>
      <c r="C146" t="s">
        <v>51</v>
      </c>
      <c r="D146" t="s">
        <v>22</v>
      </c>
      <c r="E146" t="s">
        <v>5335</v>
      </c>
      <c r="F146" t="s">
        <v>1046</v>
      </c>
      <c r="G146" t="s">
        <v>1047</v>
      </c>
      <c r="H146" t="s">
        <v>1047</v>
      </c>
      <c r="I146" t="s">
        <v>1048</v>
      </c>
      <c r="J146" t="s">
        <v>1049</v>
      </c>
      <c r="K146" t="s">
        <v>1050</v>
      </c>
      <c r="L146" t="s">
        <v>1178</v>
      </c>
      <c r="M146" t="s">
        <v>5336</v>
      </c>
      <c r="N146" t="s">
        <v>107</v>
      </c>
      <c r="O146" t="s">
        <v>1047</v>
      </c>
      <c r="P146" t="s">
        <v>4782</v>
      </c>
      <c r="Q146" t="s">
        <v>1048</v>
      </c>
      <c r="R146" t="s">
        <v>1049</v>
      </c>
      <c r="S146" t="s">
        <v>1050</v>
      </c>
      <c r="T146" t="s">
        <v>4796</v>
      </c>
      <c r="U146" t="s">
        <v>4805</v>
      </c>
      <c r="V146" t="s">
        <v>4806</v>
      </c>
      <c r="W146" t="s">
        <v>4786</v>
      </c>
      <c r="X146" t="s">
        <v>4828</v>
      </c>
      <c r="Y146" t="s">
        <v>4800</v>
      </c>
      <c r="Z146" t="s">
        <v>5340</v>
      </c>
      <c r="AA146" t="s">
        <v>5341</v>
      </c>
      <c r="AB146" t="s">
        <v>4983</v>
      </c>
      <c r="AC146" t="s">
        <v>66</v>
      </c>
      <c r="AD146" t="s">
        <v>66</v>
      </c>
      <c r="AE146" t="s">
        <v>66</v>
      </c>
      <c r="AF146" t="s">
        <v>5342</v>
      </c>
      <c r="AG146" t="s">
        <v>5343</v>
      </c>
      <c r="AH146" t="s">
        <v>5342</v>
      </c>
      <c r="AI146" t="s">
        <v>5343</v>
      </c>
      <c r="AJ146" t="s">
        <v>5342</v>
      </c>
      <c r="AK146" t="s">
        <v>5343</v>
      </c>
      <c r="AL146" t="s">
        <v>4792</v>
      </c>
    </row>
    <row r="147" customHeight="1" spans="1:38">
      <c r="A147" t="s">
        <v>22</v>
      </c>
      <c r="B147" t="s">
        <v>49</v>
      </c>
      <c r="C147" t="s">
        <v>51</v>
      </c>
      <c r="D147" t="s">
        <v>22</v>
      </c>
      <c r="E147" t="s">
        <v>1177</v>
      </c>
      <c r="F147" t="s">
        <v>1046</v>
      </c>
      <c r="G147" t="s">
        <v>1047</v>
      </c>
      <c r="H147" t="s">
        <v>1047</v>
      </c>
      <c r="I147" t="s">
        <v>1048</v>
      </c>
      <c r="J147" t="s">
        <v>1049</v>
      </c>
      <c r="K147" t="s">
        <v>1050</v>
      </c>
      <c r="L147" t="s">
        <v>1178</v>
      </c>
      <c r="M147" t="s">
        <v>1179</v>
      </c>
      <c r="N147" t="s">
        <v>107</v>
      </c>
      <c r="O147" t="s">
        <v>1047</v>
      </c>
      <c r="P147" t="s">
        <v>4782</v>
      </c>
      <c r="Q147" t="s">
        <v>1048</v>
      </c>
      <c r="R147" t="s">
        <v>1049</v>
      </c>
      <c r="S147" t="s">
        <v>1050</v>
      </c>
      <c r="T147" t="s">
        <v>4796</v>
      </c>
      <c r="U147" t="s">
        <v>4797</v>
      </c>
      <c r="V147" t="s">
        <v>4976</v>
      </c>
      <c r="W147" t="s">
        <v>4786</v>
      </c>
      <c r="X147" t="s">
        <v>4807</v>
      </c>
      <c r="Y147" t="s">
        <v>4800</v>
      </c>
      <c r="Z147" t="s">
        <v>5344</v>
      </c>
      <c r="AA147" t="s">
        <v>4978</v>
      </c>
      <c r="AB147" t="s">
        <v>4976</v>
      </c>
      <c r="AC147" t="s">
        <v>66</v>
      </c>
      <c r="AD147" t="s">
        <v>66</v>
      </c>
      <c r="AE147" t="s">
        <v>66</v>
      </c>
      <c r="AF147" t="s">
        <v>5345</v>
      </c>
      <c r="AG147" t="s">
        <v>5346</v>
      </c>
      <c r="AH147" t="s">
        <v>5347</v>
      </c>
      <c r="AI147" t="s">
        <v>5346</v>
      </c>
      <c r="AJ147" t="s">
        <v>5347</v>
      </c>
      <c r="AK147" t="s">
        <v>5346</v>
      </c>
      <c r="AL147" t="s">
        <v>4792</v>
      </c>
    </row>
    <row r="148" customHeight="1" spans="1:38">
      <c r="A148" t="s">
        <v>22</v>
      </c>
      <c r="B148" t="s">
        <v>49</v>
      </c>
      <c r="C148" t="s">
        <v>51</v>
      </c>
      <c r="D148" t="s">
        <v>22</v>
      </c>
      <c r="E148" t="s">
        <v>1177</v>
      </c>
      <c r="F148" t="s">
        <v>1046</v>
      </c>
      <c r="G148" t="s">
        <v>1047</v>
      </c>
      <c r="H148" t="s">
        <v>1047</v>
      </c>
      <c r="I148" t="s">
        <v>1048</v>
      </c>
      <c r="J148" t="s">
        <v>1049</v>
      </c>
      <c r="K148" t="s">
        <v>1050</v>
      </c>
      <c r="L148" t="s">
        <v>1178</v>
      </c>
      <c r="M148" t="s">
        <v>1179</v>
      </c>
      <c r="N148" t="s">
        <v>107</v>
      </c>
      <c r="O148" t="s">
        <v>1047</v>
      </c>
      <c r="P148" t="s">
        <v>4782</v>
      </c>
      <c r="Q148" t="s">
        <v>1048</v>
      </c>
      <c r="R148" t="s">
        <v>1049</v>
      </c>
      <c r="S148" t="s">
        <v>1050</v>
      </c>
      <c r="T148" t="s">
        <v>4796</v>
      </c>
      <c r="U148" t="s">
        <v>4805</v>
      </c>
      <c r="V148" t="s">
        <v>4806</v>
      </c>
      <c r="W148" t="s">
        <v>4786</v>
      </c>
      <c r="X148" t="s">
        <v>4828</v>
      </c>
      <c r="Y148" t="s">
        <v>4800</v>
      </c>
      <c r="Z148" t="s">
        <v>5348</v>
      </c>
      <c r="AA148" t="s">
        <v>5243</v>
      </c>
      <c r="AB148" t="s">
        <v>4983</v>
      </c>
      <c r="AC148" t="s">
        <v>66</v>
      </c>
      <c r="AD148" t="s">
        <v>66</v>
      </c>
      <c r="AE148" t="s">
        <v>66</v>
      </c>
      <c r="AF148" t="s">
        <v>5345</v>
      </c>
      <c r="AG148" t="s">
        <v>5349</v>
      </c>
      <c r="AH148" t="s">
        <v>5347</v>
      </c>
      <c r="AI148" t="s">
        <v>5349</v>
      </c>
      <c r="AJ148" t="s">
        <v>5347</v>
      </c>
      <c r="AK148" t="s">
        <v>5349</v>
      </c>
      <c r="AL148" t="s">
        <v>4792</v>
      </c>
    </row>
    <row r="149" customHeight="1" spans="1:38">
      <c r="A149" t="s">
        <v>22</v>
      </c>
      <c r="B149" t="s">
        <v>49</v>
      </c>
      <c r="C149" t="s">
        <v>51</v>
      </c>
      <c r="D149" t="s">
        <v>22</v>
      </c>
      <c r="E149" t="s">
        <v>5350</v>
      </c>
      <c r="F149" t="s">
        <v>1070</v>
      </c>
      <c r="G149" t="s">
        <v>1047</v>
      </c>
      <c r="H149" t="s">
        <v>1047</v>
      </c>
      <c r="I149" t="s">
        <v>1048</v>
      </c>
      <c r="J149" t="s">
        <v>1049</v>
      </c>
      <c r="K149" t="s">
        <v>1050</v>
      </c>
      <c r="L149" t="s">
        <v>5351</v>
      </c>
      <c r="M149" t="s">
        <v>5352</v>
      </c>
      <c r="N149" t="s">
        <v>107</v>
      </c>
      <c r="O149" t="s">
        <v>1047</v>
      </c>
      <c r="P149" t="s">
        <v>4782</v>
      </c>
      <c r="Q149" t="s">
        <v>1048</v>
      </c>
      <c r="R149" t="s">
        <v>1049</v>
      </c>
      <c r="S149" t="s">
        <v>1050</v>
      </c>
      <c r="T149" t="s">
        <v>4796</v>
      </c>
      <c r="U149" t="s">
        <v>4805</v>
      </c>
      <c r="V149" t="s">
        <v>4806</v>
      </c>
      <c r="W149" t="s">
        <v>4786</v>
      </c>
      <c r="X149" t="s">
        <v>4828</v>
      </c>
      <c r="Y149" t="s">
        <v>4800</v>
      </c>
      <c r="Z149" t="s">
        <v>5353</v>
      </c>
      <c r="AA149" t="s">
        <v>5354</v>
      </c>
      <c r="AB149" t="s">
        <v>4936</v>
      </c>
      <c r="AC149" t="s">
        <v>66</v>
      </c>
      <c r="AD149" t="s">
        <v>19</v>
      </c>
      <c r="AE149" t="s">
        <v>19</v>
      </c>
      <c r="AF149" t="s">
        <v>734</v>
      </c>
      <c r="AG149" t="s">
        <v>5355</v>
      </c>
      <c r="AH149" t="s">
        <v>22</v>
      </c>
      <c r="AI149" t="s">
        <v>22</v>
      </c>
      <c r="AJ149" t="s">
        <v>22</v>
      </c>
      <c r="AK149" t="s">
        <v>22</v>
      </c>
      <c r="AL149" t="s">
        <v>4792</v>
      </c>
    </row>
    <row r="150" customHeight="1" spans="1:38">
      <c r="A150" t="s">
        <v>22</v>
      </c>
      <c r="B150" t="s">
        <v>49</v>
      </c>
      <c r="C150" t="s">
        <v>51</v>
      </c>
      <c r="D150" t="s">
        <v>22</v>
      </c>
      <c r="E150" t="s">
        <v>5350</v>
      </c>
      <c r="F150" t="s">
        <v>1070</v>
      </c>
      <c r="G150" t="s">
        <v>1047</v>
      </c>
      <c r="H150" t="s">
        <v>1047</v>
      </c>
      <c r="I150" t="s">
        <v>1048</v>
      </c>
      <c r="J150" t="s">
        <v>1049</v>
      </c>
      <c r="K150" t="s">
        <v>1050</v>
      </c>
      <c r="L150" t="s">
        <v>5351</v>
      </c>
      <c r="M150" t="s">
        <v>5352</v>
      </c>
      <c r="N150" t="s">
        <v>107</v>
      </c>
      <c r="O150" t="s">
        <v>1047</v>
      </c>
      <c r="P150" t="s">
        <v>4782</v>
      </c>
      <c r="Q150" t="s">
        <v>1048</v>
      </c>
      <c r="R150" t="s">
        <v>1049</v>
      </c>
      <c r="S150" t="s">
        <v>1050</v>
      </c>
      <c r="T150" t="s">
        <v>4796</v>
      </c>
      <c r="U150" t="s">
        <v>4797</v>
      </c>
      <c r="V150" t="s">
        <v>4798</v>
      </c>
      <c r="W150" t="s">
        <v>4786</v>
      </c>
      <c r="X150" t="s">
        <v>4807</v>
      </c>
      <c r="Y150" t="s">
        <v>4800</v>
      </c>
      <c r="Z150" t="s">
        <v>5356</v>
      </c>
      <c r="AA150" t="s">
        <v>5357</v>
      </c>
      <c r="AB150" t="s">
        <v>4798</v>
      </c>
      <c r="AC150" t="s">
        <v>66</v>
      </c>
      <c r="AD150" t="s">
        <v>19</v>
      </c>
      <c r="AE150" t="s">
        <v>19</v>
      </c>
      <c r="AF150" t="s">
        <v>734</v>
      </c>
      <c r="AG150" t="s">
        <v>5358</v>
      </c>
      <c r="AH150" t="s">
        <v>22</v>
      </c>
      <c r="AI150" t="s">
        <v>22</v>
      </c>
      <c r="AJ150" t="s">
        <v>22</v>
      </c>
      <c r="AK150" t="s">
        <v>22</v>
      </c>
      <c r="AL150" t="s">
        <v>4792</v>
      </c>
    </row>
    <row r="151" customHeight="1" spans="1:38">
      <c r="A151" t="s">
        <v>22</v>
      </c>
      <c r="B151" t="s">
        <v>49</v>
      </c>
      <c r="C151" t="s">
        <v>51</v>
      </c>
      <c r="D151" t="s">
        <v>22</v>
      </c>
      <c r="E151" t="s">
        <v>5359</v>
      </c>
      <c r="F151" t="s">
        <v>1046</v>
      </c>
      <c r="G151" t="s">
        <v>1047</v>
      </c>
      <c r="H151" t="s">
        <v>1047</v>
      </c>
      <c r="I151" t="s">
        <v>1048</v>
      </c>
      <c r="J151" t="s">
        <v>1049</v>
      </c>
      <c r="K151" t="s">
        <v>1050</v>
      </c>
      <c r="L151" t="s">
        <v>5360</v>
      </c>
      <c r="M151" t="s">
        <v>5361</v>
      </c>
      <c r="N151" t="s">
        <v>107</v>
      </c>
      <c r="O151" t="s">
        <v>1047</v>
      </c>
      <c r="P151" t="s">
        <v>4782</v>
      </c>
      <c r="Q151" t="s">
        <v>1048</v>
      </c>
      <c r="R151" t="s">
        <v>1049</v>
      </c>
      <c r="S151" t="s">
        <v>1050</v>
      </c>
      <c r="T151" t="s">
        <v>4796</v>
      </c>
      <c r="U151" t="s">
        <v>4805</v>
      </c>
      <c r="V151" t="s">
        <v>4806</v>
      </c>
      <c r="W151" t="s">
        <v>4786</v>
      </c>
      <c r="X151" t="s">
        <v>4807</v>
      </c>
      <c r="Y151" t="s">
        <v>4800</v>
      </c>
      <c r="Z151" t="s">
        <v>4836</v>
      </c>
      <c r="AA151" t="s">
        <v>4837</v>
      </c>
      <c r="AB151" t="s">
        <v>4838</v>
      </c>
      <c r="AC151" t="s">
        <v>66</v>
      </c>
      <c r="AD151" t="s">
        <v>66</v>
      </c>
      <c r="AE151" t="s">
        <v>66</v>
      </c>
      <c r="AF151" t="s">
        <v>5226</v>
      </c>
      <c r="AG151" t="s">
        <v>5362</v>
      </c>
      <c r="AH151" t="s">
        <v>5226</v>
      </c>
      <c r="AI151" t="s">
        <v>5362</v>
      </c>
      <c r="AJ151" t="s">
        <v>5226</v>
      </c>
      <c r="AK151" t="s">
        <v>5362</v>
      </c>
      <c r="AL151" t="s">
        <v>4792</v>
      </c>
    </row>
    <row r="152" customHeight="1" spans="1:38">
      <c r="A152" t="s">
        <v>22</v>
      </c>
      <c r="B152" t="s">
        <v>49</v>
      </c>
      <c r="C152" t="s">
        <v>51</v>
      </c>
      <c r="D152" t="s">
        <v>22</v>
      </c>
      <c r="E152" t="s">
        <v>5359</v>
      </c>
      <c r="F152" t="s">
        <v>1046</v>
      </c>
      <c r="G152" t="s">
        <v>1047</v>
      </c>
      <c r="H152" t="s">
        <v>1047</v>
      </c>
      <c r="I152" t="s">
        <v>1048</v>
      </c>
      <c r="J152" t="s">
        <v>1049</v>
      </c>
      <c r="K152" t="s">
        <v>1050</v>
      </c>
      <c r="L152" t="s">
        <v>5360</v>
      </c>
      <c r="M152" t="s">
        <v>5361</v>
      </c>
      <c r="N152" t="s">
        <v>107</v>
      </c>
      <c r="O152" t="s">
        <v>1047</v>
      </c>
      <c r="P152" t="s">
        <v>4782</v>
      </c>
      <c r="Q152" t="s">
        <v>1048</v>
      </c>
      <c r="R152" t="s">
        <v>1049</v>
      </c>
      <c r="S152" t="s">
        <v>1050</v>
      </c>
      <c r="T152" t="s">
        <v>4796</v>
      </c>
      <c r="U152" t="s">
        <v>4797</v>
      </c>
      <c r="V152" t="s">
        <v>4798</v>
      </c>
      <c r="W152" t="s">
        <v>4786</v>
      </c>
      <c r="X152" t="s">
        <v>4807</v>
      </c>
      <c r="Y152" t="s">
        <v>4800</v>
      </c>
      <c r="Z152" t="s">
        <v>5363</v>
      </c>
      <c r="AA152" t="s">
        <v>5364</v>
      </c>
      <c r="AB152" t="s">
        <v>4798</v>
      </c>
      <c r="AC152" t="s">
        <v>66</v>
      </c>
      <c r="AD152" t="s">
        <v>66</v>
      </c>
      <c r="AE152" t="s">
        <v>66</v>
      </c>
      <c r="AF152" t="s">
        <v>5226</v>
      </c>
      <c r="AG152" t="s">
        <v>5365</v>
      </c>
      <c r="AH152" t="s">
        <v>5226</v>
      </c>
      <c r="AI152" t="s">
        <v>5365</v>
      </c>
      <c r="AJ152" t="s">
        <v>5226</v>
      </c>
      <c r="AK152" t="s">
        <v>5365</v>
      </c>
      <c r="AL152" t="s">
        <v>4792</v>
      </c>
    </row>
    <row r="153" customHeight="1" spans="1:38">
      <c r="A153" t="s">
        <v>22</v>
      </c>
      <c r="B153" t="s">
        <v>49</v>
      </c>
      <c r="C153" t="s">
        <v>51</v>
      </c>
      <c r="D153" t="s">
        <v>22</v>
      </c>
      <c r="E153" t="s">
        <v>5366</v>
      </c>
      <c r="F153" t="s">
        <v>1046</v>
      </c>
      <c r="G153" t="s">
        <v>1047</v>
      </c>
      <c r="H153" t="s">
        <v>1047</v>
      </c>
      <c r="I153" t="s">
        <v>1048</v>
      </c>
      <c r="J153" t="s">
        <v>1049</v>
      </c>
      <c r="K153" t="s">
        <v>1050</v>
      </c>
      <c r="L153" t="s">
        <v>5367</v>
      </c>
      <c r="M153" t="s">
        <v>5368</v>
      </c>
      <c r="N153" t="s">
        <v>107</v>
      </c>
      <c r="O153" t="s">
        <v>1047</v>
      </c>
      <c r="P153" t="s">
        <v>4782</v>
      </c>
      <c r="Q153" t="s">
        <v>1048</v>
      </c>
      <c r="R153" t="s">
        <v>1049</v>
      </c>
      <c r="S153" t="s">
        <v>1050</v>
      </c>
      <c r="T153" t="s">
        <v>4796</v>
      </c>
      <c r="U153" t="s">
        <v>4805</v>
      </c>
      <c r="V153" t="s">
        <v>4806</v>
      </c>
      <c r="W153" t="s">
        <v>4786</v>
      </c>
      <c r="X153" t="s">
        <v>4828</v>
      </c>
      <c r="Y153" t="s">
        <v>4800</v>
      </c>
      <c r="Z153" t="s">
        <v>5369</v>
      </c>
      <c r="AA153" t="s">
        <v>5370</v>
      </c>
      <c r="AB153" t="s">
        <v>5147</v>
      </c>
      <c r="AC153" t="s">
        <v>66</v>
      </c>
      <c r="AD153" t="s">
        <v>66</v>
      </c>
      <c r="AE153" t="s">
        <v>66</v>
      </c>
      <c r="AF153" t="s">
        <v>5371</v>
      </c>
      <c r="AG153" t="s">
        <v>5372</v>
      </c>
      <c r="AH153" t="s">
        <v>5371</v>
      </c>
      <c r="AI153" t="s">
        <v>5372</v>
      </c>
      <c r="AJ153" t="s">
        <v>5371</v>
      </c>
      <c r="AK153" t="s">
        <v>5372</v>
      </c>
      <c r="AL153" t="s">
        <v>4792</v>
      </c>
    </row>
    <row r="154" customHeight="1" spans="1:38">
      <c r="A154" t="s">
        <v>22</v>
      </c>
      <c r="B154" t="s">
        <v>49</v>
      </c>
      <c r="C154" t="s">
        <v>51</v>
      </c>
      <c r="D154" t="s">
        <v>22</v>
      </c>
      <c r="E154" t="s">
        <v>5366</v>
      </c>
      <c r="F154" t="s">
        <v>1046</v>
      </c>
      <c r="G154" t="s">
        <v>1047</v>
      </c>
      <c r="H154" t="s">
        <v>1047</v>
      </c>
      <c r="I154" t="s">
        <v>1048</v>
      </c>
      <c r="J154" t="s">
        <v>1049</v>
      </c>
      <c r="K154" t="s">
        <v>1050</v>
      </c>
      <c r="L154" t="s">
        <v>5367</v>
      </c>
      <c r="M154" t="s">
        <v>5368</v>
      </c>
      <c r="N154" t="s">
        <v>107</v>
      </c>
      <c r="O154" t="s">
        <v>1047</v>
      </c>
      <c r="P154" t="s">
        <v>4782</v>
      </c>
      <c r="Q154" t="s">
        <v>1048</v>
      </c>
      <c r="R154" t="s">
        <v>1049</v>
      </c>
      <c r="S154" t="s">
        <v>1050</v>
      </c>
      <c r="T154" t="s">
        <v>4796</v>
      </c>
      <c r="U154" t="s">
        <v>4797</v>
      </c>
      <c r="V154" t="s">
        <v>4841</v>
      </c>
      <c r="W154" t="s">
        <v>4786</v>
      </c>
      <c r="X154" t="s">
        <v>4807</v>
      </c>
      <c r="Y154" t="s">
        <v>4800</v>
      </c>
      <c r="Z154" t="s">
        <v>5373</v>
      </c>
      <c r="AA154" t="s">
        <v>5237</v>
      </c>
      <c r="AB154" t="s">
        <v>4841</v>
      </c>
      <c r="AC154" t="s">
        <v>66</v>
      </c>
      <c r="AD154" t="s">
        <v>66</v>
      </c>
      <c r="AE154" t="s">
        <v>66</v>
      </c>
      <c r="AF154" t="s">
        <v>5371</v>
      </c>
      <c r="AG154" t="s">
        <v>5372</v>
      </c>
      <c r="AH154" t="s">
        <v>5371</v>
      </c>
      <c r="AI154" t="s">
        <v>5372</v>
      </c>
      <c r="AJ154" t="s">
        <v>5371</v>
      </c>
      <c r="AK154" t="s">
        <v>5372</v>
      </c>
      <c r="AL154" t="s">
        <v>4792</v>
      </c>
    </row>
    <row r="155" customHeight="1" spans="1:38">
      <c r="A155" t="s">
        <v>22</v>
      </c>
      <c r="B155" t="s">
        <v>49</v>
      </c>
      <c r="C155" t="s">
        <v>51</v>
      </c>
      <c r="D155" t="s">
        <v>22</v>
      </c>
      <c r="E155" t="s">
        <v>5374</v>
      </c>
      <c r="F155" t="s">
        <v>1046</v>
      </c>
      <c r="G155" t="s">
        <v>1047</v>
      </c>
      <c r="H155" t="s">
        <v>1047</v>
      </c>
      <c r="I155" t="s">
        <v>1048</v>
      </c>
      <c r="J155" t="s">
        <v>1049</v>
      </c>
      <c r="K155" t="s">
        <v>1050</v>
      </c>
      <c r="L155" t="s">
        <v>4812</v>
      </c>
      <c r="M155" t="s">
        <v>5375</v>
      </c>
      <c r="N155" t="s">
        <v>107</v>
      </c>
      <c r="O155" t="s">
        <v>1047</v>
      </c>
      <c r="P155" t="s">
        <v>4782</v>
      </c>
      <c r="Q155" t="s">
        <v>1048</v>
      </c>
      <c r="R155" t="s">
        <v>1049</v>
      </c>
      <c r="S155" t="s">
        <v>1050</v>
      </c>
      <c r="T155" t="s">
        <v>4796</v>
      </c>
      <c r="U155" t="s">
        <v>4797</v>
      </c>
      <c r="V155" t="s">
        <v>4814</v>
      </c>
      <c r="W155" t="s">
        <v>4786</v>
      </c>
      <c r="X155" t="s">
        <v>4807</v>
      </c>
      <c r="Y155" t="s">
        <v>4800</v>
      </c>
      <c r="Z155" t="s">
        <v>5376</v>
      </c>
      <c r="AA155" t="s">
        <v>4970</v>
      </c>
      <c r="AB155" t="s">
        <v>4814</v>
      </c>
      <c r="AC155" t="s">
        <v>66</v>
      </c>
      <c r="AD155" t="s">
        <v>66</v>
      </c>
      <c r="AE155" t="s">
        <v>66</v>
      </c>
      <c r="AF155" t="s">
        <v>5377</v>
      </c>
      <c r="AG155" t="s">
        <v>5378</v>
      </c>
      <c r="AH155" t="s">
        <v>5377</v>
      </c>
      <c r="AI155" t="s">
        <v>5378</v>
      </c>
      <c r="AJ155" t="s">
        <v>5377</v>
      </c>
      <c r="AK155" t="s">
        <v>5378</v>
      </c>
      <c r="AL155" t="s">
        <v>4792</v>
      </c>
    </row>
    <row r="156" customHeight="1" spans="1:38">
      <c r="A156" t="s">
        <v>22</v>
      </c>
      <c r="B156" t="s">
        <v>49</v>
      </c>
      <c r="C156" t="s">
        <v>51</v>
      </c>
      <c r="D156" t="s">
        <v>22</v>
      </c>
      <c r="E156" t="s">
        <v>5374</v>
      </c>
      <c r="F156" t="s">
        <v>1046</v>
      </c>
      <c r="G156" t="s">
        <v>1047</v>
      </c>
      <c r="H156" t="s">
        <v>1047</v>
      </c>
      <c r="I156" t="s">
        <v>1048</v>
      </c>
      <c r="J156" t="s">
        <v>1049</v>
      </c>
      <c r="K156" t="s">
        <v>1050</v>
      </c>
      <c r="L156" t="s">
        <v>4812</v>
      </c>
      <c r="M156" t="s">
        <v>5375</v>
      </c>
      <c r="N156" t="s">
        <v>107</v>
      </c>
      <c r="O156" t="s">
        <v>1047</v>
      </c>
      <c r="P156" t="s">
        <v>4782</v>
      </c>
      <c r="Q156" t="s">
        <v>1048</v>
      </c>
      <c r="R156" t="s">
        <v>1049</v>
      </c>
      <c r="S156" t="s">
        <v>1050</v>
      </c>
      <c r="T156" t="s">
        <v>4796</v>
      </c>
      <c r="U156" t="s">
        <v>4805</v>
      </c>
      <c r="V156" t="s">
        <v>4806</v>
      </c>
      <c r="W156" t="s">
        <v>4786</v>
      </c>
      <c r="X156" t="s">
        <v>4828</v>
      </c>
      <c r="Y156" t="s">
        <v>4800</v>
      </c>
      <c r="Z156" t="s">
        <v>5379</v>
      </c>
      <c r="AA156" t="s">
        <v>5380</v>
      </c>
      <c r="AB156" t="s">
        <v>4831</v>
      </c>
      <c r="AC156" t="s">
        <v>66</v>
      </c>
      <c r="AD156" t="s">
        <v>66</v>
      </c>
      <c r="AE156" t="s">
        <v>66</v>
      </c>
      <c r="AF156" t="s">
        <v>5377</v>
      </c>
      <c r="AG156" t="s">
        <v>5381</v>
      </c>
      <c r="AH156" t="s">
        <v>5377</v>
      </c>
      <c r="AI156" t="s">
        <v>5381</v>
      </c>
      <c r="AJ156" t="s">
        <v>5377</v>
      </c>
      <c r="AK156" t="s">
        <v>5381</v>
      </c>
      <c r="AL156" t="s">
        <v>4792</v>
      </c>
    </row>
    <row r="157" customHeight="1" spans="1:38">
      <c r="A157" t="s">
        <v>22</v>
      </c>
      <c r="B157" t="s">
        <v>49</v>
      </c>
      <c r="C157" t="s">
        <v>51</v>
      </c>
      <c r="D157" t="s">
        <v>22</v>
      </c>
      <c r="E157" t="s">
        <v>1096</v>
      </c>
      <c r="F157" t="s">
        <v>1046</v>
      </c>
      <c r="G157" t="s">
        <v>1047</v>
      </c>
      <c r="H157" t="s">
        <v>1047</v>
      </c>
      <c r="I157" t="s">
        <v>1048</v>
      </c>
      <c r="J157" t="s">
        <v>1049</v>
      </c>
      <c r="K157" t="s">
        <v>1050</v>
      </c>
      <c r="L157" t="s">
        <v>1097</v>
      </c>
      <c r="M157" t="s">
        <v>1098</v>
      </c>
      <c r="N157" t="s">
        <v>107</v>
      </c>
      <c r="O157" t="s">
        <v>1047</v>
      </c>
      <c r="P157" t="s">
        <v>4782</v>
      </c>
      <c r="Q157" t="s">
        <v>1048</v>
      </c>
      <c r="R157" t="s">
        <v>1049</v>
      </c>
      <c r="S157" t="s">
        <v>1050</v>
      </c>
      <c r="T157" t="s">
        <v>4796</v>
      </c>
      <c r="U157" t="s">
        <v>4805</v>
      </c>
      <c r="V157" t="s">
        <v>4806</v>
      </c>
      <c r="W157" t="s">
        <v>4786</v>
      </c>
      <c r="X157" t="s">
        <v>4828</v>
      </c>
      <c r="Y157" t="s">
        <v>4800</v>
      </c>
      <c r="Z157" t="s">
        <v>5382</v>
      </c>
      <c r="AA157" t="s">
        <v>5383</v>
      </c>
      <c r="AB157" t="s">
        <v>5147</v>
      </c>
      <c r="AC157" t="s">
        <v>66</v>
      </c>
      <c r="AD157" t="s">
        <v>66</v>
      </c>
      <c r="AE157" t="s">
        <v>66</v>
      </c>
      <c r="AF157" t="s">
        <v>5384</v>
      </c>
      <c r="AG157" t="s">
        <v>5385</v>
      </c>
      <c r="AH157" t="s">
        <v>5384</v>
      </c>
      <c r="AI157" t="s">
        <v>5385</v>
      </c>
      <c r="AJ157" t="s">
        <v>5384</v>
      </c>
      <c r="AK157" t="s">
        <v>5385</v>
      </c>
      <c r="AL157" t="s">
        <v>4792</v>
      </c>
    </row>
    <row r="158" customHeight="1" spans="1:38">
      <c r="A158" t="s">
        <v>22</v>
      </c>
      <c r="B158" t="s">
        <v>49</v>
      </c>
      <c r="C158" t="s">
        <v>51</v>
      </c>
      <c r="D158" t="s">
        <v>22</v>
      </c>
      <c r="E158" t="s">
        <v>1096</v>
      </c>
      <c r="F158" t="s">
        <v>1046</v>
      </c>
      <c r="G158" t="s">
        <v>1047</v>
      </c>
      <c r="H158" t="s">
        <v>1047</v>
      </c>
      <c r="I158" t="s">
        <v>1048</v>
      </c>
      <c r="J158" t="s">
        <v>1049</v>
      </c>
      <c r="K158" t="s">
        <v>1050</v>
      </c>
      <c r="L158" t="s">
        <v>1097</v>
      </c>
      <c r="M158" t="s">
        <v>1098</v>
      </c>
      <c r="N158" t="s">
        <v>107</v>
      </c>
      <c r="O158" t="s">
        <v>1047</v>
      </c>
      <c r="P158" t="s">
        <v>4782</v>
      </c>
      <c r="Q158" t="s">
        <v>1048</v>
      </c>
      <c r="R158" t="s">
        <v>1049</v>
      </c>
      <c r="S158" t="s">
        <v>1050</v>
      </c>
      <c r="T158" t="s">
        <v>4796</v>
      </c>
      <c r="U158" t="s">
        <v>4797</v>
      </c>
      <c r="V158" t="s">
        <v>4841</v>
      </c>
      <c r="W158" t="s">
        <v>4786</v>
      </c>
      <c r="X158" t="s">
        <v>4807</v>
      </c>
      <c r="Y158" t="s">
        <v>4800</v>
      </c>
      <c r="Z158" t="s">
        <v>5386</v>
      </c>
      <c r="AA158" t="s">
        <v>5387</v>
      </c>
      <c r="AB158" t="s">
        <v>4841</v>
      </c>
      <c r="AC158" t="s">
        <v>66</v>
      </c>
      <c r="AD158" t="s">
        <v>66</v>
      </c>
      <c r="AE158" t="s">
        <v>66</v>
      </c>
      <c r="AF158" t="s">
        <v>5384</v>
      </c>
      <c r="AG158" t="s">
        <v>5385</v>
      </c>
      <c r="AH158" t="s">
        <v>5384</v>
      </c>
      <c r="AI158" t="s">
        <v>5385</v>
      </c>
      <c r="AJ158" t="s">
        <v>5384</v>
      </c>
      <c r="AK158" t="s">
        <v>5385</v>
      </c>
      <c r="AL158" t="s">
        <v>4792</v>
      </c>
    </row>
    <row r="159" customHeight="1" spans="1:38">
      <c r="A159" t="s">
        <v>22</v>
      </c>
      <c r="B159" t="s">
        <v>49</v>
      </c>
      <c r="C159" t="s">
        <v>51</v>
      </c>
      <c r="D159" t="s">
        <v>22</v>
      </c>
      <c r="E159" t="s">
        <v>5388</v>
      </c>
      <c r="F159" t="s">
        <v>1070</v>
      </c>
      <c r="G159" t="s">
        <v>1047</v>
      </c>
      <c r="H159" t="s">
        <v>1047</v>
      </c>
      <c r="I159" t="s">
        <v>1048</v>
      </c>
      <c r="J159" t="s">
        <v>1049</v>
      </c>
      <c r="K159" t="s">
        <v>1050</v>
      </c>
      <c r="L159" t="s">
        <v>1097</v>
      </c>
      <c r="M159" t="s">
        <v>1161</v>
      </c>
      <c r="N159" t="s">
        <v>107</v>
      </c>
      <c r="O159" t="s">
        <v>1047</v>
      </c>
      <c r="P159" t="s">
        <v>4782</v>
      </c>
      <c r="Q159" t="s">
        <v>1048</v>
      </c>
      <c r="R159" t="s">
        <v>1049</v>
      </c>
      <c r="S159" t="s">
        <v>1050</v>
      </c>
      <c r="T159" t="s">
        <v>4796</v>
      </c>
      <c r="U159" t="s">
        <v>4805</v>
      </c>
      <c r="V159" t="s">
        <v>4806</v>
      </c>
      <c r="W159" t="s">
        <v>4786</v>
      </c>
      <c r="X159" t="s">
        <v>4807</v>
      </c>
      <c r="Y159" t="s">
        <v>4800</v>
      </c>
      <c r="Z159" t="s">
        <v>4836</v>
      </c>
      <c r="AA159" t="s">
        <v>4837</v>
      </c>
      <c r="AB159" t="s">
        <v>4838</v>
      </c>
      <c r="AC159" t="s">
        <v>66</v>
      </c>
      <c r="AD159" t="s">
        <v>19</v>
      </c>
      <c r="AE159" t="s">
        <v>19</v>
      </c>
      <c r="AF159" t="s">
        <v>5389</v>
      </c>
      <c r="AG159" t="s">
        <v>5390</v>
      </c>
      <c r="AH159" t="s">
        <v>22</v>
      </c>
      <c r="AI159" t="s">
        <v>22</v>
      </c>
      <c r="AJ159" t="s">
        <v>22</v>
      </c>
      <c r="AK159" t="s">
        <v>22</v>
      </c>
      <c r="AL159" t="s">
        <v>4792</v>
      </c>
    </row>
    <row r="160" customHeight="1" spans="1:38">
      <c r="A160" t="s">
        <v>22</v>
      </c>
      <c r="B160" t="s">
        <v>49</v>
      </c>
      <c r="C160" t="s">
        <v>51</v>
      </c>
      <c r="D160" t="s">
        <v>22</v>
      </c>
      <c r="E160" t="s">
        <v>5388</v>
      </c>
      <c r="F160" t="s">
        <v>1070</v>
      </c>
      <c r="G160" t="s">
        <v>1047</v>
      </c>
      <c r="H160" t="s">
        <v>1047</v>
      </c>
      <c r="I160" t="s">
        <v>1048</v>
      </c>
      <c r="J160" t="s">
        <v>1049</v>
      </c>
      <c r="K160" t="s">
        <v>1050</v>
      </c>
      <c r="L160" t="s">
        <v>1097</v>
      </c>
      <c r="M160" t="s">
        <v>1161</v>
      </c>
      <c r="N160" t="s">
        <v>107</v>
      </c>
      <c r="O160" t="s">
        <v>1047</v>
      </c>
      <c r="P160" t="s">
        <v>4782</v>
      </c>
      <c r="Q160" t="s">
        <v>1048</v>
      </c>
      <c r="R160" t="s">
        <v>1049</v>
      </c>
      <c r="S160" t="s">
        <v>1050</v>
      </c>
      <c r="T160" t="s">
        <v>4796</v>
      </c>
      <c r="U160" t="s">
        <v>4797</v>
      </c>
      <c r="V160" t="s">
        <v>4841</v>
      </c>
      <c r="W160" t="s">
        <v>4786</v>
      </c>
      <c r="X160" t="s">
        <v>4807</v>
      </c>
      <c r="Y160" t="s">
        <v>4800</v>
      </c>
      <c r="Z160" t="s">
        <v>5391</v>
      </c>
      <c r="AA160" t="s">
        <v>5392</v>
      </c>
      <c r="AB160" t="s">
        <v>4841</v>
      </c>
      <c r="AC160" t="s">
        <v>66</v>
      </c>
      <c r="AD160" t="s">
        <v>19</v>
      </c>
      <c r="AE160" t="s">
        <v>19</v>
      </c>
      <c r="AF160" t="s">
        <v>5389</v>
      </c>
      <c r="AG160" t="s">
        <v>5390</v>
      </c>
      <c r="AH160" t="s">
        <v>22</v>
      </c>
      <c r="AI160" t="s">
        <v>22</v>
      </c>
      <c r="AJ160" t="s">
        <v>22</v>
      </c>
      <c r="AK160" t="s">
        <v>22</v>
      </c>
      <c r="AL160" t="s">
        <v>4792</v>
      </c>
    </row>
    <row r="161" customHeight="1" spans="1:38">
      <c r="A161" t="s">
        <v>22</v>
      </c>
      <c r="B161" t="s">
        <v>49</v>
      </c>
      <c r="C161" t="s">
        <v>51</v>
      </c>
      <c r="D161" t="s">
        <v>22</v>
      </c>
      <c r="E161" t="s">
        <v>5393</v>
      </c>
      <c r="F161" t="s">
        <v>1046</v>
      </c>
      <c r="G161" t="s">
        <v>1047</v>
      </c>
      <c r="H161" t="s">
        <v>1047</v>
      </c>
      <c r="I161" t="s">
        <v>1048</v>
      </c>
      <c r="J161" t="s">
        <v>1049</v>
      </c>
      <c r="K161" t="s">
        <v>1050</v>
      </c>
      <c r="L161" t="s">
        <v>5394</v>
      </c>
      <c r="M161" t="s">
        <v>5395</v>
      </c>
      <c r="N161" t="s">
        <v>107</v>
      </c>
      <c r="O161" t="s">
        <v>1047</v>
      </c>
      <c r="P161" t="s">
        <v>4782</v>
      </c>
      <c r="Q161" t="s">
        <v>1048</v>
      </c>
      <c r="R161" t="s">
        <v>1049</v>
      </c>
      <c r="S161" t="s">
        <v>1050</v>
      </c>
      <c r="T161" t="s">
        <v>4796</v>
      </c>
      <c r="U161" t="s">
        <v>4805</v>
      </c>
      <c r="V161" t="s">
        <v>4806</v>
      </c>
      <c r="W161" t="s">
        <v>4786</v>
      </c>
      <c r="X161" t="s">
        <v>4828</v>
      </c>
      <c r="Y161" t="s">
        <v>4800</v>
      </c>
      <c r="Z161" t="s">
        <v>5396</v>
      </c>
      <c r="AA161" t="s">
        <v>4944</v>
      </c>
      <c r="AB161" t="s">
        <v>5147</v>
      </c>
      <c r="AC161" t="s">
        <v>66</v>
      </c>
      <c r="AD161" t="s">
        <v>66</v>
      </c>
      <c r="AE161" t="s">
        <v>66</v>
      </c>
      <c r="AF161" t="s">
        <v>891</v>
      </c>
      <c r="AG161" t="s">
        <v>5397</v>
      </c>
      <c r="AH161" t="s">
        <v>891</v>
      </c>
      <c r="AI161" t="s">
        <v>5397</v>
      </c>
      <c r="AJ161" t="s">
        <v>891</v>
      </c>
      <c r="AK161" t="s">
        <v>5397</v>
      </c>
      <c r="AL161" t="s">
        <v>4792</v>
      </c>
    </row>
    <row r="162" customHeight="1" spans="1:38">
      <c r="A162" t="s">
        <v>22</v>
      </c>
      <c r="B162" t="s">
        <v>49</v>
      </c>
      <c r="C162" t="s">
        <v>51</v>
      </c>
      <c r="D162" t="s">
        <v>22</v>
      </c>
      <c r="E162" t="s">
        <v>5393</v>
      </c>
      <c r="F162" t="s">
        <v>1046</v>
      </c>
      <c r="G162" t="s">
        <v>1047</v>
      </c>
      <c r="H162" t="s">
        <v>1047</v>
      </c>
      <c r="I162" t="s">
        <v>1048</v>
      </c>
      <c r="J162" t="s">
        <v>1049</v>
      </c>
      <c r="K162" t="s">
        <v>1050</v>
      </c>
      <c r="L162" t="s">
        <v>5394</v>
      </c>
      <c r="M162" t="s">
        <v>5395</v>
      </c>
      <c r="N162" t="s">
        <v>107</v>
      </c>
      <c r="O162" t="s">
        <v>1047</v>
      </c>
      <c r="P162" t="s">
        <v>4782</v>
      </c>
      <c r="Q162" t="s">
        <v>1048</v>
      </c>
      <c r="R162" t="s">
        <v>1049</v>
      </c>
      <c r="S162" t="s">
        <v>1050</v>
      </c>
      <c r="T162" t="s">
        <v>4796</v>
      </c>
      <c r="U162" t="s">
        <v>4797</v>
      </c>
      <c r="V162" t="s">
        <v>4841</v>
      </c>
      <c r="W162" t="s">
        <v>4786</v>
      </c>
      <c r="X162" t="s">
        <v>4807</v>
      </c>
      <c r="Y162" t="s">
        <v>4800</v>
      </c>
      <c r="Z162" t="s">
        <v>5398</v>
      </c>
      <c r="AA162" t="s">
        <v>4921</v>
      </c>
      <c r="AB162" t="s">
        <v>4841</v>
      </c>
      <c r="AC162" t="s">
        <v>66</v>
      </c>
      <c r="AD162" t="s">
        <v>66</v>
      </c>
      <c r="AE162" t="s">
        <v>66</v>
      </c>
      <c r="AF162" t="s">
        <v>891</v>
      </c>
      <c r="AG162" t="s">
        <v>5399</v>
      </c>
      <c r="AH162" t="s">
        <v>891</v>
      </c>
      <c r="AI162" t="s">
        <v>5399</v>
      </c>
      <c r="AJ162" t="s">
        <v>891</v>
      </c>
      <c r="AK162" t="s">
        <v>5399</v>
      </c>
      <c r="AL162" t="s">
        <v>4792</v>
      </c>
    </row>
    <row r="163" customHeight="1" spans="1:38">
      <c r="A163" t="s">
        <v>22</v>
      </c>
      <c r="B163" t="s">
        <v>49</v>
      </c>
      <c r="C163" t="s">
        <v>51</v>
      </c>
      <c r="D163" t="s">
        <v>22</v>
      </c>
      <c r="E163" t="s">
        <v>5400</v>
      </c>
      <c r="F163" t="s">
        <v>1046</v>
      </c>
      <c r="G163" t="s">
        <v>1047</v>
      </c>
      <c r="H163" t="s">
        <v>1047</v>
      </c>
      <c r="I163" t="s">
        <v>1048</v>
      </c>
      <c r="J163" t="s">
        <v>1049</v>
      </c>
      <c r="K163" t="s">
        <v>1050</v>
      </c>
      <c r="L163" t="s">
        <v>5401</v>
      </c>
      <c r="M163" t="s">
        <v>5402</v>
      </c>
      <c r="N163" t="s">
        <v>107</v>
      </c>
      <c r="O163" t="s">
        <v>1047</v>
      </c>
      <c r="P163" t="s">
        <v>4782</v>
      </c>
      <c r="Q163" t="s">
        <v>1048</v>
      </c>
      <c r="R163" t="s">
        <v>1049</v>
      </c>
      <c r="S163" t="s">
        <v>1050</v>
      </c>
      <c r="T163" t="s">
        <v>4796</v>
      </c>
      <c r="U163" t="s">
        <v>4797</v>
      </c>
      <c r="V163" t="s">
        <v>4976</v>
      </c>
      <c r="W163" t="s">
        <v>4786</v>
      </c>
      <c r="X163" t="s">
        <v>4807</v>
      </c>
      <c r="Y163" t="s">
        <v>4800</v>
      </c>
      <c r="Z163" t="s">
        <v>5403</v>
      </c>
      <c r="AA163" t="s">
        <v>5247</v>
      </c>
      <c r="AB163" t="s">
        <v>4976</v>
      </c>
      <c r="AC163" t="s">
        <v>66</v>
      </c>
      <c r="AD163" t="s">
        <v>66</v>
      </c>
      <c r="AE163" t="s">
        <v>66</v>
      </c>
      <c r="AF163" t="s">
        <v>5136</v>
      </c>
      <c r="AG163" t="s">
        <v>5404</v>
      </c>
      <c r="AH163" t="s">
        <v>5136</v>
      </c>
      <c r="AI163" t="s">
        <v>5404</v>
      </c>
      <c r="AJ163" t="s">
        <v>5136</v>
      </c>
      <c r="AK163" t="s">
        <v>5404</v>
      </c>
      <c r="AL163" t="s">
        <v>4792</v>
      </c>
    </row>
    <row r="164" customHeight="1" spans="1:38">
      <c r="A164" t="s">
        <v>22</v>
      </c>
      <c r="B164" t="s">
        <v>49</v>
      </c>
      <c r="C164" t="s">
        <v>51</v>
      </c>
      <c r="D164" t="s">
        <v>22</v>
      </c>
      <c r="E164" t="s">
        <v>5400</v>
      </c>
      <c r="F164" t="s">
        <v>1046</v>
      </c>
      <c r="G164" t="s">
        <v>1047</v>
      </c>
      <c r="H164" t="s">
        <v>1047</v>
      </c>
      <c r="I164" t="s">
        <v>1048</v>
      </c>
      <c r="J164" t="s">
        <v>1049</v>
      </c>
      <c r="K164" t="s">
        <v>1050</v>
      </c>
      <c r="L164" t="s">
        <v>5401</v>
      </c>
      <c r="M164" t="s">
        <v>5402</v>
      </c>
      <c r="N164" t="s">
        <v>107</v>
      </c>
      <c r="O164" t="s">
        <v>1047</v>
      </c>
      <c r="P164" t="s">
        <v>4782</v>
      </c>
      <c r="Q164" t="s">
        <v>1048</v>
      </c>
      <c r="R164" t="s">
        <v>1049</v>
      </c>
      <c r="S164" t="s">
        <v>1050</v>
      </c>
      <c r="T164" t="s">
        <v>4796</v>
      </c>
      <c r="U164" t="s">
        <v>4805</v>
      </c>
      <c r="V164" t="s">
        <v>4806</v>
      </c>
      <c r="W164" t="s">
        <v>4786</v>
      </c>
      <c r="X164" t="s">
        <v>4828</v>
      </c>
      <c r="Y164" t="s">
        <v>4800</v>
      </c>
      <c r="Z164" t="s">
        <v>5405</v>
      </c>
      <c r="AA164" t="s">
        <v>5406</v>
      </c>
      <c r="AB164" t="s">
        <v>4983</v>
      </c>
      <c r="AC164" t="s">
        <v>66</v>
      </c>
      <c r="AD164" t="s">
        <v>66</v>
      </c>
      <c r="AE164" t="s">
        <v>66</v>
      </c>
      <c r="AF164" t="s">
        <v>5136</v>
      </c>
      <c r="AG164" t="s">
        <v>5404</v>
      </c>
      <c r="AH164" t="s">
        <v>5136</v>
      </c>
      <c r="AI164" t="s">
        <v>5404</v>
      </c>
      <c r="AJ164" t="s">
        <v>5136</v>
      </c>
      <c r="AK164" t="s">
        <v>5404</v>
      </c>
      <c r="AL164" t="s">
        <v>4792</v>
      </c>
    </row>
    <row r="165" customHeight="1" spans="1:38">
      <c r="A165" t="s">
        <v>22</v>
      </c>
      <c r="B165" t="s">
        <v>49</v>
      </c>
      <c r="C165" t="s">
        <v>51</v>
      </c>
      <c r="D165" t="s">
        <v>22</v>
      </c>
      <c r="E165" t="s">
        <v>5407</v>
      </c>
      <c r="F165" t="s">
        <v>1046</v>
      </c>
      <c r="G165" t="s">
        <v>1047</v>
      </c>
      <c r="H165" t="s">
        <v>1047</v>
      </c>
      <c r="I165" t="s">
        <v>1048</v>
      </c>
      <c r="J165" t="s">
        <v>1049</v>
      </c>
      <c r="K165" t="s">
        <v>1050</v>
      </c>
      <c r="L165" t="s">
        <v>5408</v>
      </c>
      <c r="M165" t="s">
        <v>5409</v>
      </c>
      <c r="N165" t="s">
        <v>107</v>
      </c>
      <c r="O165" t="s">
        <v>1047</v>
      </c>
      <c r="P165" t="s">
        <v>4782</v>
      </c>
      <c r="Q165" t="s">
        <v>1048</v>
      </c>
      <c r="R165" t="s">
        <v>1049</v>
      </c>
      <c r="S165" t="s">
        <v>1050</v>
      </c>
      <c r="T165" t="s">
        <v>4796</v>
      </c>
      <c r="U165" t="s">
        <v>4805</v>
      </c>
      <c r="V165" t="s">
        <v>4806</v>
      </c>
      <c r="W165" t="s">
        <v>4786</v>
      </c>
      <c r="X165" t="s">
        <v>4828</v>
      </c>
      <c r="Y165" t="s">
        <v>4800</v>
      </c>
      <c r="Z165" t="s">
        <v>5410</v>
      </c>
      <c r="AA165" t="s">
        <v>5319</v>
      </c>
      <c r="AB165" t="s">
        <v>4936</v>
      </c>
      <c r="AC165" t="s">
        <v>66</v>
      </c>
      <c r="AD165" t="s">
        <v>66</v>
      </c>
      <c r="AE165" t="s">
        <v>66</v>
      </c>
      <c r="AF165" t="s">
        <v>5411</v>
      </c>
      <c r="AG165" t="s">
        <v>5412</v>
      </c>
      <c r="AH165" t="s">
        <v>5411</v>
      </c>
      <c r="AI165" t="s">
        <v>5412</v>
      </c>
      <c r="AJ165" t="s">
        <v>5411</v>
      </c>
      <c r="AK165" t="s">
        <v>5412</v>
      </c>
      <c r="AL165" t="s">
        <v>4792</v>
      </c>
    </row>
    <row r="166" customHeight="1" spans="1:38">
      <c r="A166" t="s">
        <v>22</v>
      </c>
      <c r="B166" t="s">
        <v>49</v>
      </c>
      <c r="C166" t="s">
        <v>51</v>
      </c>
      <c r="D166" t="s">
        <v>22</v>
      </c>
      <c r="E166" t="s">
        <v>5407</v>
      </c>
      <c r="F166" t="s">
        <v>1046</v>
      </c>
      <c r="G166" t="s">
        <v>1047</v>
      </c>
      <c r="H166" t="s">
        <v>1047</v>
      </c>
      <c r="I166" t="s">
        <v>1048</v>
      </c>
      <c r="J166" t="s">
        <v>1049</v>
      </c>
      <c r="K166" t="s">
        <v>1050</v>
      </c>
      <c r="L166" t="s">
        <v>5408</v>
      </c>
      <c r="M166" t="s">
        <v>5409</v>
      </c>
      <c r="N166" t="s">
        <v>107</v>
      </c>
      <c r="O166" t="s">
        <v>1047</v>
      </c>
      <c r="P166" t="s">
        <v>4782</v>
      </c>
      <c r="Q166" t="s">
        <v>1048</v>
      </c>
      <c r="R166" t="s">
        <v>1049</v>
      </c>
      <c r="S166" t="s">
        <v>1050</v>
      </c>
      <c r="T166" t="s">
        <v>4796</v>
      </c>
      <c r="U166" t="s">
        <v>4797</v>
      </c>
      <c r="V166" t="s">
        <v>4798</v>
      </c>
      <c r="W166" t="s">
        <v>4786</v>
      </c>
      <c r="X166" t="s">
        <v>4807</v>
      </c>
      <c r="Y166" t="s">
        <v>4800</v>
      </c>
      <c r="Z166" t="s">
        <v>5413</v>
      </c>
      <c r="AA166" t="s">
        <v>5414</v>
      </c>
      <c r="AB166" t="s">
        <v>4798</v>
      </c>
      <c r="AC166" t="s">
        <v>66</v>
      </c>
      <c r="AD166" t="s">
        <v>66</v>
      </c>
      <c r="AE166" t="s">
        <v>66</v>
      </c>
      <c r="AF166" t="s">
        <v>5411</v>
      </c>
      <c r="AG166" t="s">
        <v>5415</v>
      </c>
      <c r="AH166" t="s">
        <v>5411</v>
      </c>
      <c r="AI166" t="s">
        <v>5415</v>
      </c>
      <c r="AJ166" t="s">
        <v>5411</v>
      </c>
      <c r="AK166" t="s">
        <v>5415</v>
      </c>
      <c r="AL166" t="s">
        <v>4792</v>
      </c>
    </row>
    <row r="167" customHeight="1" spans="1:38">
      <c r="A167" t="s">
        <v>22</v>
      </c>
      <c r="B167" t="s">
        <v>49</v>
      </c>
      <c r="C167" t="s">
        <v>51</v>
      </c>
      <c r="D167" t="s">
        <v>22</v>
      </c>
      <c r="E167" t="s">
        <v>5416</v>
      </c>
      <c r="F167" t="s">
        <v>1046</v>
      </c>
      <c r="G167" t="s">
        <v>1047</v>
      </c>
      <c r="H167" t="s">
        <v>1047</v>
      </c>
      <c r="I167" t="s">
        <v>1048</v>
      </c>
      <c r="J167" t="s">
        <v>1049</v>
      </c>
      <c r="K167" t="s">
        <v>1050</v>
      </c>
      <c r="L167" t="s">
        <v>1071</v>
      </c>
      <c r="M167" t="s">
        <v>3680</v>
      </c>
      <c r="N167" t="s">
        <v>107</v>
      </c>
      <c r="O167" t="s">
        <v>1047</v>
      </c>
      <c r="P167" t="s">
        <v>4782</v>
      </c>
      <c r="Q167" t="s">
        <v>1048</v>
      </c>
      <c r="R167" t="s">
        <v>1049</v>
      </c>
      <c r="S167" t="s">
        <v>1050</v>
      </c>
      <c r="T167" t="s">
        <v>4796</v>
      </c>
      <c r="U167" t="s">
        <v>4805</v>
      </c>
      <c r="V167" t="s">
        <v>4806</v>
      </c>
      <c r="W167" t="s">
        <v>4786</v>
      </c>
      <c r="X167" t="s">
        <v>4807</v>
      </c>
      <c r="Y167" t="s">
        <v>4800</v>
      </c>
      <c r="Z167" t="s">
        <v>4413</v>
      </c>
      <c r="AA167" t="s">
        <v>5417</v>
      </c>
      <c r="AB167" t="s">
        <v>5418</v>
      </c>
      <c r="AC167" t="s">
        <v>66</v>
      </c>
      <c r="AD167" t="s">
        <v>66</v>
      </c>
      <c r="AE167" t="s">
        <v>66</v>
      </c>
      <c r="AF167" t="s">
        <v>5419</v>
      </c>
      <c r="AG167" t="s">
        <v>5420</v>
      </c>
      <c r="AH167" t="s">
        <v>5419</v>
      </c>
      <c r="AI167" t="s">
        <v>5420</v>
      </c>
      <c r="AJ167" t="s">
        <v>5419</v>
      </c>
      <c r="AK167" t="s">
        <v>5420</v>
      </c>
      <c r="AL167" t="s">
        <v>4792</v>
      </c>
    </row>
    <row r="168" customHeight="1" spans="1:38">
      <c r="A168" t="s">
        <v>22</v>
      </c>
      <c r="B168" t="s">
        <v>49</v>
      </c>
      <c r="C168" t="s">
        <v>51</v>
      </c>
      <c r="D168" t="s">
        <v>22</v>
      </c>
      <c r="E168" t="s">
        <v>5416</v>
      </c>
      <c r="F168" t="s">
        <v>1046</v>
      </c>
      <c r="G168" t="s">
        <v>1047</v>
      </c>
      <c r="H168" t="s">
        <v>1047</v>
      </c>
      <c r="I168" t="s">
        <v>1048</v>
      </c>
      <c r="J168" t="s">
        <v>1049</v>
      </c>
      <c r="K168" t="s">
        <v>1050</v>
      </c>
      <c r="L168" t="s">
        <v>1071</v>
      </c>
      <c r="M168" t="s">
        <v>3680</v>
      </c>
      <c r="N168" t="s">
        <v>107</v>
      </c>
      <c r="O168" t="s">
        <v>1047</v>
      </c>
      <c r="P168" t="s">
        <v>4782</v>
      </c>
      <c r="Q168" t="s">
        <v>1048</v>
      </c>
      <c r="R168" t="s">
        <v>1049</v>
      </c>
      <c r="S168" t="s">
        <v>1050</v>
      </c>
      <c r="T168" t="s">
        <v>4796</v>
      </c>
      <c r="U168" t="s">
        <v>4797</v>
      </c>
      <c r="V168" t="s">
        <v>4798</v>
      </c>
      <c r="W168" t="s">
        <v>4786</v>
      </c>
      <c r="X168" t="s">
        <v>4807</v>
      </c>
      <c r="Y168" t="s">
        <v>4800</v>
      </c>
      <c r="Z168" t="s">
        <v>4847</v>
      </c>
      <c r="AA168" t="s">
        <v>4848</v>
      </c>
      <c r="AB168" t="s">
        <v>4798</v>
      </c>
      <c r="AC168" t="s">
        <v>66</v>
      </c>
      <c r="AD168" t="s">
        <v>66</v>
      </c>
      <c r="AE168" t="s">
        <v>66</v>
      </c>
      <c r="AF168" t="s">
        <v>5419</v>
      </c>
      <c r="AG168" t="s">
        <v>5420</v>
      </c>
      <c r="AH168" t="s">
        <v>5419</v>
      </c>
      <c r="AI168" t="s">
        <v>5420</v>
      </c>
      <c r="AJ168" t="s">
        <v>5419</v>
      </c>
      <c r="AK168" t="s">
        <v>5420</v>
      </c>
      <c r="AL168" t="s">
        <v>4792</v>
      </c>
    </row>
    <row r="169" customHeight="1" spans="1:38">
      <c r="A169" t="s">
        <v>22</v>
      </c>
      <c r="B169" t="s">
        <v>49</v>
      </c>
      <c r="C169" t="s">
        <v>51</v>
      </c>
      <c r="D169" t="s">
        <v>22</v>
      </c>
      <c r="E169" t="s">
        <v>5421</v>
      </c>
      <c r="F169" t="s">
        <v>1046</v>
      </c>
      <c r="G169" t="s">
        <v>1047</v>
      </c>
      <c r="H169" t="s">
        <v>1047</v>
      </c>
      <c r="I169" t="s">
        <v>1048</v>
      </c>
      <c r="J169" t="s">
        <v>1049</v>
      </c>
      <c r="K169" t="s">
        <v>1050</v>
      </c>
      <c r="L169" t="s">
        <v>1071</v>
      </c>
      <c r="M169" t="s">
        <v>3838</v>
      </c>
      <c r="N169" t="s">
        <v>107</v>
      </c>
      <c r="O169" t="s">
        <v>1047</v>
      </c>
      <c r="P169" t="s">
        <v>4782</v>
      </c>
      <c r="Q169" t="s">
        <v>1048</v>
      </c>
      <c r="R169" t="s">
        <v>1049</v>
      </c>
      <c r="S169" t="s">
        <v>1050</v>
      </c>
      <c r="T169" t="s">
        <v>4796</v>
      </c>
      <c r="U169" t="s">
        <v>4805</v>
      </c>
      <c r="V169" t="s">
        <v>4806</v>
      </c>
      <c r="W169" t="s">
        <v>4786</v>
      </c>
      <c r="X169" t="s">
        <v>4807</v>
      </c>
      <c r="Y169" t="s">
        <v>4800</v>
      </c>
      <c r="Z169" t="s">
        <v>4836</v>
      </c>
      <c r="AA169" t="s">
        <v>4837</v>
      </c>
      <c r="AB169" t="s">
        <v>4838</v>
      </c>
      <c r="AC169" t="s">
        <v>66</v>
      </c>
      <c r="AD169" t="s">
        <v>66</v>
      </c>
      <c r="AE169" t="s">
        <v>66</v>
      </c>
      <c r="AF169" t="s">
        <v>4857</v>
      </c>
      <c r="AG169" t="s">
        <v>5422</v>
      </c>
      <c r="AH169" t="s">
        <v>4857</v>
      </c>
      <c r="AI169" t="s">
        <v>5422</v>
      </c>
      <c r="AJ169" t="s">
        <v>4857</v>
      </c>
      <c r="AK169" t="s">
        <v>5422</v>
      </c>
      <c r="AL169" t="s">
        <v>4792</v>
      </c>
    </row>
    <row r="170" customHeight="1" spans="1:38">
      <c r="A170" t="s">
        <v>22</v>
      </c>
      <c r="B170" t="s">
        <v>49</v>
      </c>
      <c r="C170" t="s">
        <v>51</v>
      </c>
      <c r="D170" t="s">
        <v>22</v>
      </c>
      <c r="E170" t="s">
        <v>5421</v>
      </c>
      <c r="F170" t="s">
        <v>1046</v>
      </c>
      <c r="G170" t="s">
        <v>1047</v>
      </c>
      <c r="H170" t="s">
        <v>1047</v>
      </c>
      <c r="I170" t="s">
        <v>1048</v>
      </c>
      <c r="J170" t="s">
        <v>1049</v>
      </c>
      <c r="K170" t="s">
        <v>1050</v>
      </c>
      <c r="L170" t="s">
        <v>1071</v>
      </c>
      <c r="M170" t="s">
        <v>3838</v>
      </c>
      <c r="N170" t="s">
        <v>107</v>
      </c>
      <c r="O170" t="s">
        <v>1047</v>
      </c>
      <c r="P170" t="s">
        <v>4782</v>
      </c>
      <c r="Q170" t="s">
        <v>1048</v>
      </c>
      <c r="R170" t="s">
        <v>1049</v>
      </c>
      <c r="S170" t="s">
        <v>1050</v>
      </c>
      <c r="T170" t="s">
        <v>4796</v>
      </c>
      <c r="U170" t="s">
        <v>4797</v>
      </c>
      <c r="V170" t="s">
        <v>4798</v>
      </c>
      <c r="W170" t="s">
        <v>4786</v>
      </c>
      <c r="X170" t="s">
        <v>4807</v>
      </c>
      <c r="Y170" t="s">
        <v>4800</v>
      </c>
      <c r="Z170" t="s">
        <v>4634</v>
      </c>
      <c r="AA170" t="s">
        <v>5423</v>
      </c>
      <c r="AB170" t="s">
        <v>4798</v>
      </c>
      <c r="AC170" t="s">
        <v>66</v>
      </c>
      <c r="AD170" t="s">
        <v>66</v>
      </c>
      <c r="AE170" t="s">
        <v>66</v>
      </c>
      <c r="AF170" t="s">
        <v>4857</v>
      </c>
      <c r="AG170" t="s">
        <v>5424</v>
      </c>
      <c r="AH170" t="s">
        <v>4857</v>
      </c>
      <c r="AI170" t="s">
        <v>5424</v>
      </c>
      <c r="AJ170" t="s">
        <v>4857</v>
      </c>
      <c r="AK170" t="s">
        <v>5424</v>
      </c>
      <c r="AL170" t="s">
        <v>4792</v>
      </c>
    </row>
    <row r="171" customHeight="1" spans="1:38">
      <c r="A171" t="s">
        <v>22</v>
      </c>
      <c r="B171" t="s">
        <v>49</v>
      </c>
      <c r="C171" t="s">
        <v>51</v>
      </c>
      <c r="D171" t="s">
        <v>22</v>
      </c>
      <c r="E171" t="s">
        <v>1069</v>
      </c>
      <c r="F171" t="s">
        <v>1070</v>
      </c>
      <c r="G171" t="s">
        <v>1047</v>
      </c>
      <c r="H171" t="s">
        <v>1047</v>
      </c>
      <c r="I171" t="s">
        <v>1048</v>
      </c>
      <c r="J171" t="s">
        <v>1049</v>
      </c>
      <c r="K171" t="s">
        <v>1050</v>
      </c>
      <c r="L171" t="s">
        <v>1071</v>
      </c>
      <c r="M171" t="s">
        <v>1072</v>
      </c>
      <c r="N171" t="s">
        <v>107</v>
      </c>
      <c r="O171" t="s">
        <v>1047</v>
      </c>
      <c r="P171" t="s">
        <v>4782</v>
      </c>
      <c r="Q171" t="s">
        <v>1048</v>
      </c>
      <c r="R171" t="s">
        <v>1049</v>
      </c>
      <c r="S171" t="s">
        <v>1050</v>
      </c>
      <c r="T171" t="s">
        <v>4796</v>
      </c>
      <c r="U171" t="s">
        <v>4797</v>
      </c>
      <c r="V171" t="s">
        <v>4841</v>
      </c>
      <c r="W171" t="s">
        <v>4786</v>
      </c>
      <c r="X171" t="s">
        <v>4807</v>
      </c>
      <c r="Y171" t="s">
        <v>4800</v>
      </c>
      <c r="Z171" t="s">
        <v>4847</v>
      </c>
      <c r="AA171" t="s">
        <v>4848</v>
      </c>
      <c r="AB171" t="s">
        <v>4841</v>
      </c>
      <c r="AC171" t="s">
        <v>66</v>
      </c>
      <c r="AD171" t="s">
        <v>19</v>
      </c>
      <c r="AE171" t="s">
        <v>19</v>
      </c>
      <c r="AF171" t="s">
        <v>5425</v>
      </c>
      <c r="AG171" t="s">
        <v>5426</v>
      </c>
      <c r="AH171" t="s">
        <v>22</v>
      </c>
      <c r="AI171" t="s">
        <v>22</v>
      </c>
      <c r="AJ171" t="s">
        <v>22</v>
      </c>
      <c r="AK171" t="s">
        <v>22</v>
      </c>
      <c r="AL171" t="s">
        <v>4792</v>
      </c>
    </row>
    <row r="172" customHeight="1" spans="1:38">
      <c r="A172" t="s">
        <v>22</v>
      </c>
      <c r="B172" t="s">
        <v>49</v>
      </c>
      <c r="C172" t="s">
        <v>51</v>
      </c>
      <c r="D172" t="s">
        <v>22</v>
      </c>
      <c r="E172" t="s">
        <v>1069</v>
      </c>
      <c r="F172" t="s">
        <v>1070</v>
      </c>
      <c r="G172" t="s">
        <v>1047</v>
      </c>
      <c r="H172" t="s">
        <v>1047</v>
      </c>
      <c r="I172" t="s">
        <v>1048</v>
      </c>
      <c r="J172" t="s">
        <v>1049</v>
      </c>
      <c r="K172" t="s">
        <v>1050</v>
      </c>
      <c r="L172" t="s">
        <v>1071</v>
      </c>
      <c r="M172" t="s">
        <v>1072</v>
      </c>
      <c r="N172" t="s">
        <v>107</v>
      </c>
      <c r="O172" t="s">
        <v>1047</v>
      </c>
      <c r="P172" t="s">
        <v>4782</v>
      </c>
      <c r="Q172" t="s">
        <v>1048</v>
      </c>
      <c r="R172" t="s">
        <v>1049</v>
      </c>
      <c r="S172" t="s">
        <v>1050</v>
      </c>
      <c r="T172" t="s">
        <v>4796</v>
      </c>
      <c r="U172" t="s">
        <v>4805</v>
      </c>
      <c r="V172" t="s">
        <v>4806</v>
      </c>
      <c r="W172" t="s">
        <v>4786</v>
      </c>
      <c r="X172" t="s">
        <v>4807</v>
      </c>
      <c r="Y172" t="s">
        <v>4800</v>
      </c>
      <c r="Z172" t="s">
        <v>4836</v>
      </c>
      <c r="AA172" t="s">
        <v>4837</v>
      </c>
      <c r="AB172" t="s">
        <v>4838</v>
      </c>
      <c r="AC172" t="s">
        <v>66</v>
      </c>
      <c r="AD172" t="s">
        <v>19</v>
      </c>
      <c r="AE172" t="s">
        <v>19</v>
      </c>
      <c r="AF172" t="s">
        <v>5425</v>
      </c>
      <c r="AG172" t="s">
        <v>5426</v>
      </c>
      <c r="AH172" t="s">
        <v>22</v>
      </c>
      <c r="AI172" t="s">
        <v>22</v>
      </c>
      <c r="AJ172" t="s">
        <v>22</v>
      </c>
      <c r="AK172" t="s">
        <v>22</v>
      </c>
      <c r="AL172" t="s">
        <v>4792</v>
      </c>
    </row>
    <row r="173" customHeight="1" spans="1:38">
      <c r="A173" t="s">
        <v>22</v>
      </c>
      <c r="B173" t="s">
        <v>49</v>
      </c>
      <c r="C173" t="s">
        <v>51</v>
      </c>
      <c r="D173" t="s">
        <v>22</v>
      </c>
      <c r="E173" t="s">
        <v>5427</v>
      </c>
      <c r="F173" t="s">
        <v>1046</v>
      </c>
      <c r="G173" t="s">
        <v>1047</v>
      </c>
      <c r="H173" t="s">
        <v>1047</v>
      </c>
      <c r="I173" t="s">
        <v>1048</v>
      </c>
      <c r="J173" t="s">
        <v>1049</v>
      </c>
      <c r="K173" t="s">
        <v>1050</v>
      </c>
      <c r="L173" t="s">
        <v>1071</v>
      </c>
      <c r="M173" t="s">
        <v>3577</v>
      </c>
      <c r="N173" t="s">
        <v>107</v>
      </c>
      <c r="O173" t="s">
        <v>1047</v>
      </c>
      <c r="P173" t="s">
        <v>4782</v>
      </c>
      <c r="Q173" t="s">
        <v>1048</v>
      </c>
      <c r="R173" t="s">
        <v>1049</v>
      </c>
      <c r="S173" t="s">
        <v>1050</v>
      </c>
      <c r="T173" t="s">
        <v>4796</v>
      </c>
      <c r="U173" t="s">
        <v>4805</v>
      </c>
      <c r="V173" t="s">
        <v>4806</v>
      </c>
      <c r="W173" t="s">
        <v>4786</v>
      </c>
      <c r="X173" t="s">
        <v>4807</v>
      </c>
      <c r="Y173" t="s">
        <v>4800</v>
      </c>
      <c r="Z173" t="s">
        <v>4836</v>
      </c>
      <c r="AA173" t="s">
        <v>4837</v>
      </c>
      <c r="AB173" t="s">
        <v>4838</v>
      </c>
      <c r="AC173" t="s">
        <v>66</v>
      </c>
      <c r="AD173" t="s">
        <v>66</v>
      </c>
      <c r="AE173" t="s">
        <v>66</v>
      </c>
      <c r="AF173" t="s">
        <v>5428</v>
      </c>
      <c r="AG173" t="s">
        <v>5429</v>
      </c>
      <c r="AH173" t="s">
        <v>5428</v>
      </c>
      <c r="AI173" t="s">
        <v>5429</v>
      </c>
      <c r="AJ173" t="s">
        <v>5428</v>
      </c>
      <c r="AK173" t="s">
        <v>5429</v>
      </c>
      <c r="AL173" t="s">
        <v>5080</v>
      </c>
    </row>
    <row r="174" customHeight="1" spans="1:38">
      <c r="A174" t="s">
        <v>22</v>
      </c>
      <c r="B174" t="s">
        <v>49</v>
      </c>
      <c r="C174" t="s">
        <v>51</v>
      </c>
      <c r="D174" t="s">
        <v>22</v>
      </c>
      <c r="E174" t="s">
        <v>5427</v>
      </c>
      <c r="F174" t="s">
        <v>1046</v>
      </c>
      <c r="G174" t="s">
        <v>1047</v>
      </c>
      <c r="H174" t="s">
        <v>1047</v>
      </c>
      <c r="I174" t="s">
        <v>1048</v>
      </c>
      <c r="J174" t="s">
        <v>1049</v>
      </c>
      <c r="K174" t="s">
        <v>1050</v>
      </c>
      <c r="L174" t="s">
        <v>1071</v>
      </c>
      <c r="M174" t="s">
        <v>3577</v>
      </c>
      <c r="N174" t="s">
        <v>107</v>
      </c>
      <c r="O174" t="s">
        <v>1047</v>
      </c>
      <c r="P174" t="s">
        <v>4782</v>
      </c>
      <c r="Q174" t="s">
        <v>1048</v>
      </c>
      <c r="R174" t="s">
        <v>1049</v>
      </c>
      <c r="S174" t="s">
        <v>1050</v>
      </c>
      <c r="T174" t="s">
        <v>4796</v>
      </c>
      <c r="U174" t="s">
        <v>4797</v>
      </c>
      <c r="V174" t="s">
        <v>4798</v>
      </c>
      <c r="W174" t="s">
        <v>4786</v>
      </c>
      <c r="X174" t="s">
        <v>4807</v>
      </c>
      <c r="Y174" t="s">
        <v>4800</v>
      </c>
      <c r="Z174" t="s">
        <v>4847</v>
      </c>
      <c r="AA174" t="s">
        <v>4848</v>
      </c>
      <c r="AB174" t="s">
        <v>4798</v>
      </c>
      <c r="AC174" t="s">
        <v>66</v>
      </c>
      <c r="AD174" t="s">
        <v>66</v>
      </c>
      <c r="AE174" t="s">
        <v>66</v>
      </c>
      <c r="AF174" t="s">
        <v>5428</v>
      </c>
      <c r="AG174" t="s">
        <v>5430</v>
      </c>
      <c r="AH174" t="s">
        <v>5428</v>
      </c>
      <c r="AI174" t="s">
        <v>5430</v>
      </c>
      <c r="AJ174" t="s">
        <v>5428</v>
      </c>
      <c r="AK174" t="s">
        <v>5430</v>
      </c>
      <c r="AL174" t="s">
        <v>5080</v>
      </c>
    </row>
    <row r="175" customHeight="1" spans="1:38">
      <c r="A175" t="s">
        <v>22</v>
      </c>
      <c r="B175" t="s">
        <v>49</v>
      </c>
      <c r="C175" t="s">
        <v>51</v>
      </c>
      <c r="D175" t="s">
        <v>22</v>
      </c>
      <c r="E175" t="s">
        <v>5431</v>
      </c>
      <c r="F175" t="s">
        <v>1046</v>
      </c>
      <c r="G175" t="s">
        <v>1047</v>
      </c>
      <c r="H175" t="s">
        <v>1047</v>
      </c>
      <c r="I175" t="s">
        <v>1048</v>
      </c>
      <c r="J175" t="s">
        <v>1049</v>
      </c>
      <c r="K175" t="s">
        <v>1050</v>
      </c>
      <c r="L175" t="s">
        <v>1071</v>
      </c>
      <c r="M175" t="s">
        <v>5432</v>
      </c>
      <c r="N175" t="s">
        <v>107</v>
      </c>
      <c r="O175" t="s">
        <v>1047</v>
      </c>
      <c r="P175" t="s">
        <v>4782</v>
      </c>
      <c r="Q175" t="s">
        <v>1048</v>
      </c>
      <c r="R175" t="s">
        <v>1049</v>
      </c>
      <c r="S175" t="s">
        <v>1050</v>
      </c>
      <c r="T175" t="s">
        <v>4796</v>
      </c>
      <c r="U175" t="s">
        <v>4805</v>
      </c>
      <c r="V175" t="s">
        <v>4806</v>
      </c>
      <c r="W175" t="s">
        <v>4786</v>
      </c>
      <c r="X175" t="s">
        <v>4820</v>
      </c>
      <c r="Y175" t="s">
        <v>4800</v>
      </c>
      <c r="Z175" t="s">
        <v>3773</v>
      </c>
      <c r="AA175" t="s">
        <v>5433</v>
      </c>
      <c r="AB175" t="s">
        <v>5434</v>
      </c>
      <c r="AC175" t="s">
        <v>66</v>
      </c>
      <c r="AD175" t="s">
        <v>66</v>
      </c>
      <c r="AE175" t="s">
        <v>66</v>
      </c>
      <c r="AF175" t="s">
        <v>5325</v>
      </c>
      <c r="AG175" t="s">
        <v>5435</v>
      </c>
      <c r="AH175" t="s">
        <v>5436</v>
      </c>
      <c r="AI175" t="s">
        <v>5435</v>
      </c>
      <c r="AJ175" t="s">
        <v>5436</v>
      </c>
      <c r="AK175" t="s">
        <v>5435</v>
      </c>
      <c r="AL175" t="s">
        <v>5084</v>
      </c>
    </row>
    <row r="176" customHeight="1" spans="1:38">
      <c r="A176" t="s">
        <v>22</v>
      </c>
      <c r="B176" t="s">
        <v>49</v>
      </c>
      <c r="C176" t="s">
        <v>51</v>
      </c>
      <c r="D176" t="s">
        <v>22</v>
      </c>
      <c r="E176" t="s">
        <v>5431</v>
      </c>
      <c r="F176" t="s">
        <v>1046</v>
      </c>
      <c r="G176" t="s">
        <v>1047</v>
      </c>
      <c r="H176" t="s">
        <v>1047</v>
      </c>
      <c r="I176" t="s">
        <v>1048</v>
      </c>
      <c r="J176" t="s">
        <v>1049</v>
      </c>
      <c r="K176" t="s">
        <v>1050</v>
      </c>
      <c r="L176" t="s">
        <v>1071</v>
      </c>
      <c r="M176" t="s">
        <v>5432</v>
      </c>
      <c r="N176" t="s">
        <v>107</v>
      </c>
      <c r="O176" t="s">
        <v>1047</v>
      </c>
      <c r="P176" t="s">
        <v>4782</v>
      </c>
      <c r="Q176" t="s">
        <v>1048</v>
      </c>
      <c r="R176" t="s">
        <v>1049</v>
      </c>
      <c r="S176" t="s">
        <v>1050</v>
      </c>
      <c r="T176" t="s">
        <v>4796</v>
      </c>
      <c r="U176" t="s">
        <v>4797</v>
      </c>
      <c r="V176" t="s">
        <v>4798</v>
      </c>
      <c r="W176" t="s">
        <v>4786</v>
      </c>
      <c r="X176" t="s">
        <v>4807</v>
      </c>
      <c r="Y176" t="s">
        <v>4800</v>
      </c>
      <c r="Z176" t="s">
        <v>5437</v>
      </c>
      <c r="AA176" t="s">
        <v>5047</v>
      </c>
      <c r="AB176" t="s">
        <v>4798</v>
      </c>
      <c r="AC176" t="s">
        <v>66</v>
      </c>
      <c r="AD176" t="s">
        <v>66</v>
      </c>
      <c r="AE176" t="s">
        <v>66</v>
      </c>
      <c r="AF176" t="s">
        <v>5325</v>
      </c>
      <c r="AG176" t="s">
        <v>5438</v>
      </c>
      <c r="AH176" t="s">
        <v>5436</v>
      </c>
      <c r="AI176" t="s">
        <v>5438</v>
      </c>
      <c r="AJ176" t="s">
        <v>5436</v>
      </c>
      <c r="AK176" t="s">
        <v>5438</v>
      </c>
      <c r="AL176" t="s">
        <v>5080</v>
      </c>
    </row>
    <row r="177" customHeight="1" spans="1:38">
      <c r="A177" t="s">
        <v>22</v>
      </c>
      <c r="B177" t="s">
        <v>49</v>
      </c>
      <c r="C177" t="s">
        <v>51</v>
      </c>
      <c r="D177" t="s">
        <v>22</v>
      </c>
      <c r="E177" t="s">
        <v>5439</v>
      </c>
      <c r="F177" t="s">
        <v>1046</v>
      </c>
      <c r="G177" t="s">
        <v>1047</v>
      </c>
      <c r="H177" t="s">
        <v>1047</v>
      </c>
      <c r="I177" t="s">
        <v>1048</v>
      </c>
      <c r="J177" t="s">
        <v>1049</v>
      </c>
      <c r="K177" t="s">
        <v>1050</v>
      </c>
      <c r="L177" t="s">
        <v>5440</v>
      </c>
      <c r="M177" t="s">
        <v>1129</v>
      </c>
      <c r="N177" t="s">
        <v>107</v>
      </c>
      <c r="O177" t="s">
        <v>1047</v>
      </c>
      <c r="P177" t="s">
        <v>4782</v>
      </c>
      <c r="Q177" t="s">
        <v>1048</v>
      </c>
      <c r="R177" t="s">
        <v>1049</v>
      </c>
      <c r="S177" t="s">
        <v>1050</v>
      </c>
      <c r="T177" t="s">
        <v>4796</v>
      </c>
      <c r="U177" t="s">
        <v>4805</v>
      </c>
      <c r="V177" t="s">
        <v>4806</v>
      </c>
      <c r="W177" t="s">
        <v>4786</v>
      </c>
      <c r="X177" t="s">
        <v>4828</v>
      </c>
      <c r="Y177" t="s">
        <v>4800</v>
      </c>
      <c r="Z177" t="s">
        <v>5441</v>
      </c>
      <c r="AA177" t="s">
        <v>5442</v>
      </c>
      <c r="AB177" t="s">
        <v>4936</v>
      </c>
      <c r="AC177" t="s">
        <v>66</v>
      </c>
      <c r="AD177" t="s">
        <v>66</v>
      </c>
      <c r="AE177" t="s">
        <v>66</v>
      </c>
      <c r="AF177" t="s">
        <v>5443</v>
      </c>
      <c r="AG177" t="s">
        <v>5444</v>
      </c>
      <c r="AH177" t="s">
        <v>5443</v>
      </c>
      <c r="AI177" t="s">
        <v>5444</v>
      </c>
      <c r="AJ177" t="s">
        <v>5443</v>
      </c>
      <c r="AK177" t="s">
        <v>5444</v>
      </c>
      <c r="AL177" t="s">
        <v>4792</v>
      </c>
    </row>
    <row r="178" customHeight="1" spans="1:38">
      <c r="A178" t="s">
        <v>22</v>
      </c>
      <c r="B178" t="s">
        <v>49</v>
      </c>
      <c r="C178" t="s">
        <v>51</v>
      </c>
      <c r="D178" t="s">
        <v>22</v>
      </c>
      <c r="E178" t="s">
        <v>5439</v>
      </c>
      <c r="F178" t="s">
        <v>1046</v>
      </c>
      <c r="G178" t="s">
        <v>1047</v>
      </c>
      <c r="H178" t="s">
        <v>1047</v>
      </c>
      <c r="I178" t="s">
        <v>1048</v>
      </c>
      <c r="J178" t="s">
        <v>1049</v>
      </c>
      <c r="K178" t="s">
        <v>1050</v>
      </c>
      <c r="L178" t="s">
        <v>5440</v>
      </c>
      <c r="M178" t="s">
        <v>1129</v>
      </c>
      <c r="N178" t="s">
        <v>107</v>
      </c>
      <c r="O178" t="s">
        <v>1047</v>
      </c>
      <c r="P178" t="s">
        <v>4782</v>
      </c>
      <c r="Q178" t="s">
        <v>1048</v>
      </c>
      <c r="R178" t="s">
        <v>1049</v>
      </c>
      <c r="S178" t="s">
        <v>1050</v>
      </c>
      <c r="T178" t="s">
        <v>4796</v>
      </c>
      <c r="U178" t="s">
        <v>4797</v>
      </c>
      <c r="V178" t="s">
        <v>4798</v>
      </c>
      <c r="W178" t="s">
        <v>4786</v>
      </c>
      <c r="X178" t="s">
        <v>4807</v>
      </c>
      <c r="Y178" t="s">
        <v>4800</v>
      </c>
      <c r="Z178" t="s">
        <v>5445</v>
      </c>
      <c r="AA178" t="s">
        <v>5446</v>
      </c>
      <c r="AB178" t="s">
        <v>4798</v>
      </c>
      <c r="AC178" t="s">
        <v>66</v>
      </c>
      <c r="AD178" t="s">
        <v>66</v>
      </c>
      <c r="AE178" t="s">
        <v>66</v>
      </c>
      <c r="AF178" t="s">
        <v>5443</v>
      </c>
      <c r="AG178" t="s">
        <v>5447</v>
      </c>
      <c r="AH178" t="s">
        <v>5443</v>
      </c>
      <c r="AI178" t="s">
        <v>5447</v>
      </c>
      <c r="AJ178" t="s">
        <v>5443</v>
      </c>
      <c r="AK178" t="s">
        <v>5447</v>
      </c>
      <c r="AL178" t="s">
        <v>4792</v>
      </c>
    </row>
    <row r="179" customHeight="1" spans="1:38">
      <c r="A179" t="s">
        <v>22</v>
      </c>
      <c r="B179" t="s">
        <v>49</v>
      </c>
      <c r="C179" t="s">
        <v>51</v>
      </c>
      <c r="D179" t="s">
        <v>22</v>
      </c>
      <c r="E179" t="s">
        <v>5448</v>
      </c>
      <c r="F179" t="s">
        <v>1070</v>
      </c>
      <c r="G179" t="s">
        <v>1047</v>
      </c>
      <c r="H179" t="s">
        <v>1047</v>
      </c>
      <c r="I179" t="s">
        <v>1048</v>
      </c>
      <c r="J179" t="s">
        <v>1049</v>
      </c>
      <c r="K179" t="s">
        <v>1050</v>
      </c>
      <c r="L179" t="s">
        <v>5449</v>
      </c>
      <c r="M179" t="s">
        <v>1156</v>
      </c>
      <c r="N179" t="s">
        <v>107</v>
      </c>
      <c r="O179" t="s">
        <v>1047</v>
      </c>
      <c r="P179" t="s">
        <v>4782</v>
      </c>
      <c r="Q179" t="s">
        <v>1048</v>
      </c>
      <c r="R179" t="s">
        <v>1049</v>
      </c>
      <c r="S179" t="s">
        <v>1050</v>
      </c>
      <c r="T179" t="s">
        <v>4796</v>
      </c>
      <c r="U179" t="s">
        <v>4805</v>
      </c>
      <c r="V179" t="s">
        <v>4806</v>
      </c>
      <c r="W179" t="s">
        <v>4786</v>
      </c>
      <c r="X179" t="s">
        <v>4807</v>
      </c>
      <c r="Y179" t="s">
        <v>4800</v>
      </c>
      <c r="Z179" t="s">
        <v>4836</v>
      </c>
      <c r="AA179" t="s">
        <v>4837</v>
      </c>
      <c r="AB179" t="s">
        <v>4838</v>
      </c>
      <c r="AC179" t="s">
        <v>66</v>
      </c>
      <c r="AD179" t="s">
        <v>19</v>
      </c>
      <c r="AE179" t="s">
        <v>19</v>
      </c>
      <c r="AF179" t="s">
        <v>4839</v>
      </c>
      <c r="AG179" t="s">
        <v>5450</v>
      </c>
      <c r="AH179" t="s">
        <v>22</v>
      </c>
      <c r="AI179" t="s">
        <v>22</v>
      </c>
      <c r="AJ179" t="s">
        <v>22</v>
      </c>
      <c r="AK179" t="s">
        <v>22</v>
      </c>
      <c r="AL179" t="s">
        <v>5451</v>
      </c>
    </row>
    <row r="180" customHeight="1" spans="1:38">
      <c r="A180" t="s">
        <v>22</v>
      </c>
      <c r="B180" t="s">
        <v>49</v>
      </c>
      <c r="C180" t="s">
        <v>51</v>
      </c>
      <c r="D180" t="s">
        <v>22</v>
      </c>
      <c r="E180" t="s">
        <v>5448</v>
      </c>
      <c r="F180" t="s">
        <v>1070</v>
      </c>
      <c r="G180" t="s">
        <v>1047</v>
      </c>
      <c r="H180" t="s">
        <v>1047</v>
      </c>
      <c r="I180" t="s">
        <v>1048</v>
      </c>
      <c r="J180" t="s">
        <v>1049</v>
      </c>
      <c r="K180" t="s">
        <v>1050</v>
      </c>
      <c r="L180" t="s">
        <v>5449</v>
      </c>
      <c r="M180" t="s">
        <v>1156</v>
      </c>
      <c r="N180" t="s">
        <v>107</v>
      </c>
      <c r="O180" t="s">
        <v>1047</v>
      </c>
      <c r="P180" t="s">
        <v>4782</v>
      </c>
      <c r="Q180" t="s">
        <v>1048</v>
      </c>
      <c r="R180" t="s">
        <v>1049</v>
      </c>
      <c r="S180" t="s">
        <v>1050</v>
      </c>
      <c r="T180" t="s">
        <v>4796</v>
      </c>
      <c r="U180" t="s">
        <v>4797</v>
      </c>
      <c r="V180" t="s">
        <v>5172</v>
      </c>
      <c r="W180" t="s">
        <v>4786</v>
      </c>
      <c r="X180" t="s">
        <v>4807</v>
      </c>
      <c r="Y180" t="s">
        <v>4800</v>
      </c>
      <c r="Z180" t="s">
        <v>4847</v>
      </c>
      <c r="AA180" t="s">
        <v>4848</v>
      </c>
      <c r="AB180" t="s">
        <v>5172</v>
      </c>
      <c r="AC180" t="s">
        <v>66</v>
      </c>
      <c r="AD180" t="s">
        <v>19</v>
      </c>
      <c r="AE180" t="s">
        <v>19</v>
      </c>
      <c r="AF180" t="s">
        <v>4839</v>
      </c>
      <c r="AG180" t="s">
        <v>5452</v>
      </c>
      <c r="AH180" t="s">
        <v>22</v>
      </c>
      <c r="AI180" t="s">
        <v>22</v>
      </c>
      <c r="AJ180" t="s">
        <v>22</v>
      </c>
      <c r="AK180" t="s">
        <v>22</v>
      </c>
      <c r="AL180" t="s">
        <v>4792</v>
      </c>
    </row>
    <row r="181" customHeight="1" spans="1:38">
      <c r="A181" t="s">
        <v>22</v>
      </c>
      <c r="B181" t="s">
        <v>49</v>
      </c>
      <c r="C181" t="s">
        <v>51</v>
      </c>
      <c r="D181" t="s">
        <v>22</v>
      </c>
      <c r="E181" t="s">
        <v>5453</v>
      </c>
      <c r="F181" t="s">
        <v>1046</v>
      </c>
      <c r="G181" t="s">
        <v>1047</v>
      </c>
      <c r="H181" t="s">
        <v>1047</v>
      </c>
      <c r="I181" t="s">
        <v>1048</v>
      </c>
      <c r="J181" t="s">
        <v>1049</v>
      </c>
      <c r="K181" t="s">
        <v>1050</v>
      </c>
      <c r="L181" t="s">
        <v>5454</v>
      </c>
      <c r="M181" t="s">
        <v>3884</v>
      </c>
      <c r="N181" t="s">
        <v>107</v>
      </c>
      <c r="O181" t="s">
        <v>1047</v>
      </c>
      <c r="P181" t="s">
        <v>4782</v>
      </c>
      <c r="Q181" t="s">
        <v>1048</v>
      </c>
      <c r="R181" t="s">
        <v>1049</v>
      </c>
      <c r="S181" t="s">
        <v>1050</v>
      </c>
      <c r="T181" t="s">
        <v>4796</v>
      </c>
      <c r="U181" t="s">
        <v>4797</v>
      </c>
      <c r="V181" t="s">
        <v>4814</v>
      </c>
      <c r="W181" t="s">
        <v>4786</v>
      </c>
      <c r="X181" t="s">
        <v>4807</v>
      </c>
      <c r="Y181" t="s">
        <v>4800</v>
      </c>
      <c r="Z181" t="s">
        <v>5455</v>
      </c>
      <c r="AA181" t="s">
        <v>4889</v>
      </c>
      <c r="AB181" t="s">
        <v>4814</v>
      </c>
      <c r="AC181" t="s">
        <v>66</v>
      </c>
      <c r="AD181" t="s">
        <v>66</v>
      </c>
      <c r="AE181" t="s">
        <v>66</v>
      </c>
      <c r="AF181" t="s">
        <v>5331</v>
      </c>
      <c r="AG181" t="s">
        <v>5456</v>
      </c>
      <c r="AH181" t="s">
        <v>5331</v>
      </c>
      <c r="AI181" t="s">
        <v>5456</v>
      </c>
      <c r="AJ181" t="s">
        <v>5331</v>
      </c>
      <c r="AK181" t="s">
        <v>5456</v>
      </c>
      <c r="AL181" t="s">
        <v>4792</v>
      </c>
    </row>
    <row r="182" customHeight="1" spans="1:38">
      <c r="A182" t="s">
        <v>22</v>
      </c>
      <c r="B182" t="s">
        <v>49</v>
      </c>
      <c r="C182" t="s">
        <v>51</v>
      </c>
      <c r="D182" t="s">
        <v>22</v>
      </c>
      <c r="E182" t="s">
        <v>5453</v>
      </c>
      <c r="F182" t="s">
        <v>1046</v>
      </c>
      <c r="G182" t="s">
        <v>1047</v>
      </c>
      <c r="H182" t="s">
        <v>1047</v>
      </c>
      <c r="I182" t="s">
        <v>1048</v>
      </c>
      <c r="J182" t="s">
        <v>1049</v>
      </c>
      <c r="K182" t="s">
        <v>1050</v>
      </c>
      <c r="L182" t="s">
        <v>5454</v>
      </c>
      <c r="M182" t="s">
        <v>3884</v>
      </c>
      <c r="N182" t="s">
        <v>107</v>
      </c>
      <c r="O182" t="s">
        <v>1047</v>
      </c>
      <c r="P182" t="s">
        <v>4782</v>
      </c>
      <c r="Q182" t="s">
        <v>1048</v>
      </c>
      <c r="R182" t="s">
        <v>1049</v>
      </c>
      <c r="S182" t="s">
        <v>1050</v>
      </c>
      <c r="T182" t="s">
        <v>4796</v>
      </c>
      <c r="U182" t="s">
        <v>4805</v>
      </c>
      <c r="V182" t="s">
        <v>4806</v>
      </c>
      <c r="W182" t="s">
        <v>4786</v>
      </c>
      <c r="X182" t="s">
        <v>4807</v>
      </c>
      <c r="Y182" t="s">
        <v>4800</v>
      </c>
      <c r="Z182" t="s">
        <v>3985</v>
      </c>
      <c r="AA182" t="s">
        <v>5457</v>
      </c>
      <c r="AB182" t="s">
        <v>5458</v>
      </c>
      <c r="AC182" t="s">
        <v>66</v>
      </c>
      <c r="AD182" t="s">
        <v>66</v>
      </c>
      <c r="AE182" t="s">
        <v>66</v>
      </c>
      <c r="AF182" t="s">
        <v>5331</v>
      </c>
      <c r="AG182" t="s">
        <v>5459</v>
      </c>
      <c r="AH182" t="s">
        <v>5331</v>
      </c>
      <c r="AI182" t="s">
        <v>5459</v>
      </c>
      <c r="AJ182" t="s">
        <v>5331</v>
      </c>
      <c r="AK182" t="s">
        <v>5459</v>
      </c>
      <c r="AL182" t="s">
        <v>4792</v>
      </c>
    </row>
    <row r="183" customHeight="1" spans="1:38">
      <c r="A183" t="s">
        <v>22</v>
      </c>
      <c r="B183" t="s">
        <v>49</v>
      </c>
      <c r="C183" t="s">
        <v>51</v>
      </c>
      <c r="D183" t="s">
        <v>22</v>
      </c>
      <c r="E183" t="s">
        <v>5460</v>
      </c>
      <c r="F183" t="s">
        <v>1070</v>
      </c>
      <c r="G183" t="s">
        <v>1047</v>
      </c>
      <c r="H183" t="s">
        <v>1047</v>
      </c>
      <c r="I183" t="s">
        <v>1048</v>
      </c>
      <c r="J183" t="s">
        <v>1049</v>
      </c>
      <c r="K183" t="s">
        <v>1050</v>
      </c>
      <c r="L183" t="s">
        <v>5461</v>
      </c>
      <c r="M183" t="s">
        <v>3985</v>
      </c>
      <c r="N183" t="s">
        <v>107</v>
      </c>
      <c r="O183" t="s">
        <v>1047</v>
      </c>
      <c r="P183" t="s">
        <v>4782</v>
      </c>
      <c r="Q183" t="s">
        <v>1048</v>
      </c>
      <c r="R183" t="s">
        <v>1049</v>
      </c>
      <c r="S183" t="s">
        <v>1050</v>
      </c>
      <c r="T183" t="s">
        <v>4796</v>
      </c>
      <c r="U183" t="s">
        <v>4797</v>
      </c>
      <c r="V183" t="s">
        <v>4814</v>
      </c>
      <c r="W183" t="s">
        <v>4786</v>
      </c>
      <c r="X183" t="s">
        <v>4807</v>
      </c>
      <c r="Y183" t="s">
        <v>4800</v>
      </c>
      <c r="Z183" t="s">
        <v>5462</v>
      </c>
      <c r="AA183" t="s">
        <v>5463</v>
      </c>
      <c r="AB183" t="s">
        <v>4814</v>
      </c>
      <c r="AC183" t="s">
        <v>66</v>
      </c>
      <c r="AD183" t="s">
        <v>19</v>
      </c>
      <c r="AE183" t="s">
        <v>19</v>
      </c>
      <c r="AF183" t="s">
        <v>5226</v>
      </c>
      <c r="AG183" t="s">
        <v>5464</v>
      </c>
      <c r="AH183" t="s">
        <v>22</v>
      </c>
      <c r="AI183" t="s">
        <v>22</v>
      </c>
      <c r="AJ183" t="s">
        <v>22</v>
      </c>
      <c r="AK183" t="s">
        <v>22</v>
      </c>
      <c r="AL183" t="s">
        <v>4792</v>
      </c>
    </row>
    <row r="184" customHeight="1" spans="1:38">
      <c r="A184" t="s">
        <v>22</v>
      </c>
      <c r="B184" t="s">
        <v>49</v>
      </c>
      <c r="C184" t="s">
        <v>51</v>
      </c>
      <c r="D184" t="s">
        <v>22</v>
      </c>
      <c r="E184" t="s">
        <v>5460</v>
      </c>
      <c r="F184" t="s">
        <v>1070</v>
      </c>
      <c r="G184" t="s">
        <v>1047</v>
      </c>
      <c r="H184" t="s">
        <v>1047</v>
      </c>
      <c r="I184" t="s">
        <v>1048</v>
      </c>
      <c r="J184" t="s">
        <v>1049</v>
      </c>
      <c r="K184" t="s">
        <v>1050</v>
      </c>
      <c r="L184" t="s">
        <v>5461</v>
      </c>
      <c r="M184" t="s">
        <v>3985</v>
      </c>
      <c r="N184" t="s">
        <v>107</v>
      </c>
      <c r="O184" t="s">
        <v>1047</v>
      </c>
      <c r="P184" t="s">
        <v>4782</v>
      </c>
      <c r="Q184" t="s">
        <v>1048</v>
      </c>
      <c r="R184" t="s">
        <v>1049</v>
      </c>
      <c r="S184" t="s">
        <v>1050</v>
      </c>
      <c r="T184" t="s">
        <v>4796</v>
      </c>
      <c r="U184" t="s">
        <v>4805</v>
      </c>
      <c r="V184" t="s">
        <v>4806</v>
      </c>
      <c r="W184" t="s">
        <v>4786</v>
      </c>
      <c r="X184" t="s">
        <v>4828</v>
      </c>
      <c r="Y184" t="s">
        <v>4800</v>
      </c>
      <c r="Z184" t="s">
        <v>5465</v>
      </c>
      <c r="AA184" t="s">
        <v>5466</v>
      </c>
      <c r="AB184" t="s">
        <v>4831</v>
      </c>
      <c r="AC184" t="s">
        <v>66</v>
      </c>
      <c r="AD184" t="s">
        <v>19</v>
      </c>
      <c r="AE184" t="s">
        <v>19</v>
      </c>
      <c r="AF184" t="s">
        <v>5226</v>
      </c>
      <c r="AG184" t="s">
        <v>5467</v>
      </c>
      <c r="AH184" t="s">
        <v>22</v>
      </c>
      <c r="AI184" t="s">
        <v>22</v>
      </c>
      <c r="AJ184" t="s">
        <v>22</v>
      </c>
      <c r="AK184" t="s">
        <v>22</v>
      </c>
      <c r="AL184" t="s">
        <v>4792</v>
      </c>
    </row>
    <row r="185" customHeight="1" spans="1:38">
      <c r="A185" t="s">
        <v>22</v>
      </c>
      <c r="B185" t="s">
        <v>49</v>
      </c>
      <c r="C185" t="s">
        <v>51</v>
      </c>
      <c r="D185" t="s">
        <v>22</v>
      </c>
      <c r="E185" t="s">
        <v>5468</v>
      </c>
      <c r="F185" t="s">
        <v>1046</v>
      </c>
      <c r="G185" t="s">
        <v>1047</v>
      </c>
      <c r="H185" t="s">
        <v>1047</v>
      </c>
      <c r="I185" t="s">
        <v>1048</v>
      </c>
      <c r="J185" t="s">
        <v>1049</v>
      </c>
      <c r="K185" t="s">
        <v>1050</v>
      </c>
      <c r="L185" t="s">
        <v>5454</v>
      </c>
      <c r="M185" t="s">
        <v>5469</v>
      </c>
      <c r="N185" t="s">
        <v>107</v>
      </c>
      <c r="O185" t="s">
        <v>1047</v>
      </c>
      <c r="P185" t="s">
        <v>4782</v>
      </c>
      <c r="Q185" t="s">
        <v>1048</v>
      </c>
      <c r="R185" t="s">
        <v>1049</v>
      </c>
      <c r="S185" t="s">
        <v>1050</v>
      </c>
      <c r="T185" t="s">
        <v>4796</v>
      </c>
      <c r="U185" t="s">
        <v>4797</v>
      </c>
      <c r="V185" t="s">
        <v>4814</v>
      </c>
      <c r="W185" t="s">
        <v>4786</v>
      </c>
      <c r="X185" t="s">
        <v>4807</v>
      </c>
      <c r="Y185" t="s">
        <v>4800</v>
      </c>
      <c r="Z185" t="s">
        <v>5470</v>
      </c>
      <c r="AA185" t="s">
        <v>5471</v>
      </c>
      <c r="AB185" t="s">
        <v>4814</v>
      </c>
      <c r="AC185" t="s">
        <v>66</v>
      </c>
      <c r="AD185" t="s">
        <v>66</v>
      </c>
      <c r="AE185" t="s">
        <v>66</v>
      </c>
      <c r="AF185" t="s">
        <v>5472</v>
      </c>
      <c r="AG185" t="s">
        <v>5473</v>
      </c>
      <c r="AH185" t="s">
        <v>5472</v>
      </c>
      <c r="AI185" t="s">
        <v>5473</v>
      </c>
      <c r="AJ185" t="s">
        <v>5472</v>
      </c>
      <c r="AK185" t="s">
        <v>5473</v>
      </c>
      <c r="AL185" t="s">
        <v>4792</v>
      </c>
    </row>
    <row r="186" customHeight="1" spans="1:38">
      <c r="A186" t="s">
        <v>22</v>
      </c>
      <c r="B186" t="s">
        <v>49</v>
      </c>
      <c r="C186" t="s">
        <v>51</v>
      </c>
      <c r="D186" t="s">
        <v>22</v>
      </c>
      <c r="E186" t="s">
        <v>5468</v>
      </c>
      <c r="F186" t="s">
        <v>1046</v>
      </c>
      <c r="G186" t="s">
        <v>1047</v>
      </c>
      <c r="H186" t="s">
        <v>1047</v>
      </c>
      <c r="I186" t="s">
        <v>1048</v>
      </c>
      <c r="J186" t="s">
        <v>1049</v>
      </c>
      <c r="K186" t="s">
        <v>1050</v>
      </c>
      <c r="L186" t="s">
        <v>5454</v>
      </c>
      <c r="M186" t="s">
        <v>5469</v>
      </c>
      <c r="N186" t="s">
        <v>107</v>
      </c>
      <c r="O186" t="s">
        <v>1047</v>
      </c>
      <c r="P186" t="s">
        <v>4782</v>
      </c>
      <c r="Q186" t="s">
        <v>1048</v>
      </c>
      <c r="R186" t="s">
        <v>1049</v>
      </c>
      <c r="S186" t="s">
        <v>1050</v>
      </c>
      <c r="T186" t="s">
        <v>4796</v>
      </c>
      <c r="U186" t="s">
        <v>4805</v>
      </c>
      <c r="V186" t="s">
        <v>4806</v>
      </c>
      <c r="W186" t="s">
        <v>4786</v>
      </c>
      <c r="X186" t="s">
        <v>4807</v>
      </c>
      <c r="Y186" t="s">
        <v>4800</v>
      </c>
      <c r="Z186" t="s">
        <v>3677</v>
      </c>
      <c r="AA186" t="s">
        <v>5474</v>
      </c>
      <c r="AB186" t="s">
        <v>5475</v>
      </c>
      <c r="AC186" t="s">
        <v>66</v>
      </c>
      <c r="AD186" t="s">
        <v>66</v>
      </c>
      <c r="AE186" t="s">
        <v>66</v>
      </c>
      <c r="AF186" t="s">
        <v>5472</v>
      </c>
      <c r="AG186" t="s">
        <v>5476</v>
      </c>
      <c r="AH186" t="s">
        <v>5472</v>
      </c>
      <c r="AI186" t="s">
        <v>5476</v>
      </c>
      <c r="AJ186" t="s">
        <v>5472</v>
      </c>
      <c r="AK186" t="s">
        <v>5476</v>
      </c>
      <c r="AL186" t="s">
        <v>4792</v>
      </c>
    </row>
    <row r="187" customHeight="1" spans="1:38">
      <c r="A187" t="s">
        <v>22</v>
      </c>
      <c r="B187" t="s">
        <v>49</v>
      </c>
      <c r="C187" t="s">
        <v>51</v>
      </c>
      <c r="D187" t="s">
        <v>22</v>
      </c>
      <c r="E187" t="s">
        <v>5477</v>
      </c>
      <c r="F187" t="s">
        <v>1070</v>
      </c>
      <c r="G187" t="s">
        <v>1047</v>
      </c>
      <c r="H187" t="s">
        <v>1047</v>
      </c>
      <c r="I187" t="s">
        <v>1048</v>
      </c>
      <c r="J187" t="s">
        <v>1049</v>
      </c>
      <c r="K187" t="s">
        <v>1050</v>
      </c>
      <c r="L187" t="s">
        <v>5454</v>
      </c>
      <c r="M187" t="s">
        <v>4006</v>
      </c>
      <c r="N187" t="s">
        <v>107</v>
      </c>
      <c r="O187" t="s">
        <v>1047</v>
      </c>
      <c r="P187" t="s">
        <v>4782</v>
      </c>
      <c r="Q187" t="s">
        <v>1048</v>
      </c>
      <c r="R187" t="s">
        <v>1049</v>
      </c>
      <c r="S187" t="s">
        <v>1050</v>
      </c>
      <c r="T187" t="s">
        <v>4796</v>
      </c>
      <c r="U187" t="s">
        <v>4797</v>
      </c>
      <c r="V187" t="s">
        <v>4814</v>
      </c>
      <c r="W187" t="s">
        <v>4786</v>
      </c>
      <c r="X187" t="s">
        <v>4807</v>
      </c>
      <c r="Y187" t="s">
        <v>4800</v>
      </c>
      <c r="Z187" t="s">
        <v>4847</v>
      </c>
      <c r="AA187" t="s">
        <v>4848</v>
      </c>
      <c r="AB187" t="s">
        <v>4814</v>
      </c>
      <c r="AC187" t="s">
        <v>66</v>
      </c>
      <c r="AD187" t="s">
        <v>19</v>
      </c>
      <c r="AE187" t="s">
        <v>19</v>
      </c>
      <c r="AF187" t="s">
        <v>4839</v>
      </c>
      <c r="AG187" t="s">
        <v>5478</v>
      </c>
      <c r="AH187" t="s">
        <v>22</v>
      </c>
      <c r="AI187" t="s">
        <v>22</v>
      </c>
      <c r="AJ187" t="s">
        <v>22</v>
      </c>
      <c r="AK187" t="s">
        <v>22</v>
      </c>
      <c r="AL187" t="s">
        <v>4792</v>
      </c>
    </row>
    <row r="188" customHeight="1" spans="1:38">
      <c r="A188" t="s">
        <v>22</v>
      </c>
      <c r="B188" t="s">
        <v>49</v>
      </c>
      <c r="C188" t="s">
        <v>51</v>
      </c>
      <c r="D188" t="s">
        <v>22</v>
      </c>
      <c r="E188" t="s">
        <v>5477</v>
      </c>
      <c r="F188" t="s">
        <v>1070</v>
      </c>
      <c r="G188" t="s">
        <v>1047</v>
      </c>
      <c r="H188" t="s">
        <v>1047</v>
      </c>
      <c r="I188" t="s">
        <v>1048</v>
      </c>
      <c r="J188" t="s">
        <v>1049</v>
      </c>
      <c r="K188" t="s">
        <v>1050</v>
      </c>
      <c r="L188" t="s">
        <v>5454</v>
      </c>
      <c r="M188" t="s">
        <v>4006</v>
      </c>
      <c r="N188" t="s">
        <v>107</v>
      </c>
      <c r="O188" t="s">
        <v>1047</v>
      </c>
      <c r="P188" t="s">
        <v>4782</v>
      </c>
      <c r="Q188" t="s">
        <v>1048</v>
      </c>
      <c r="R188" t="s">
        <v>1049</v>
      </c>
      <c r="S188" t="s">
        <v>1050</v>
      </c>
      <c r="T188" t="s">
        <v>4796</v>
      </c>
      <c r="U188" t="s">
        <v>4805</v>
      </c>
      <c r="V188" t="s">
        <v>4806</v>
      </c>
      <c r="W188" t="s">
        <v>4786</v>
      </c>
      <c r="X188" t="s">
        <v>4807</v>
      </c>
      <c r="Y188" t="s">
        <v>4800</v>
      </c>
      <c r="Z188" t="s">
        <v>4836</v>
      </c>
      <c r="AA188" t="s">
        <v>4837</v>
      </c>
      <c r="AB188" t="s">
        <v>4838</v>
      </c>
      <c r="AC188" t="s">
        <v>66</v>
      </c>
      <c r="AD188" t="s">
        <v>19</v>
      </c>
      <c r="AE188" t="s">
        <v>19</v>
      </c>
      <c r="AF188" t="s">
        <v>4839</v>
      </c>
      <c r="AG188" t="s">
        <v>5479</v>
      </c>
      <c r="AH188" t="s">
        <v>22</v>
      </c>
      <c r="AI188" t="s">
        <v>22</v>
      </c>
      <c r="AJ188" t="s">
        <v>22</v>
      </c>
      <c r="AK188" t="s">
        <v>22</v>
      </c>
      <c r="AL188" t="s">
        <v>4792</v>
      </c>
    </row>
    <row r="189" customHeight="1" spans="1:38">
      <c r="A189" t="s">
        <v>22</v>
      </c>
      <c r="B189" t="s">
        <v>49</v>
      </c>
      <c r="C189" t="s">
        <v>51</v>
      </c>
      <c r="D189" t="s">
        <v>22</v>
      </c>
      <c r="E189" t="s">
        <v>5480</v>
      </c>
      <c r="F189" t="s">
        <v>1046</v>
      </c>
      <c r="G189" t="s">
        <v>1047</v>
      </c>
      <c r="H189" t="s">
        <v>1047</v>
      </c>
      <c r="I189" t="s">
        <v>1048</v>
      </c>
      <c r="J189" t="s">
        <v>1049</v>
      </c>
      <c r="K189" t="s">
        <v>1050</v>
      </c>
      <c r="L189" t="s">
        <v>5454</v>
      </c>
      <c r="M189" t="s">
        <v>5481</v>
      </c>
      <c r="N189" t="s">
        <v>107</v>
      </c>
      <c r="O189" t="s">
        <v>1047</v>
      </c>
      <c r="P189" t="s">
        <v>4782</v>
      </c>
      <c r="Q189" t="s">
        <v>1048</v>
      </c>
      <c r="R189" t="s">
        <v>1049</v>
      </c>
      <c r="S189" t="s">
        <v>1050</v>
      </c>
      <c r="T189" t="s">
        <v>4796</v>
      </c>
      <c r="U189" t="s">
        <v>4805</v>
      </c>
      <c r="V189" t="s">
        <v>4806</v>
      </c>
      <c r="W189" t="s">
        <v>4786</v>
      </c>
      <c r="X189" t="s">
        <v>4807</v>
      </c>
      <c r="Y189" t="s">
        <v>4800</v>
      </c>
      <c r="Z189" t="s">
        <v>4212</v>
      </c>
      <c r="AA189" t="s">
        <v>5482</v>
      </c>
      <c r="AB189" t="s">
        <v>5483</v>
      </c>
      <c r="AC189" t="s">
        <v>66</v>
      </c>
      <c r="AD189" t="s">
        <v>66</v>
      </c>
      <c r="AE189" t="s">
        <v>66</v>
      </c>
      <c r="AF189" t="s">
        <v>4927</v>
      </c>
      <c r="AG189" t="s">
        <v>5484</v>
      </c>
      <c r="AH189" t="s">
        <v>4927</v>
      </c>
      <c r="AI189" t="s">
        <v>5484</v>
      </c>
      <c r="AJ189" t="s">
        <v>4927</v>
      </c>
      <c r="AK189" t="s">
        <v>5484</v>
      </c>
      <c r="AL189" t="s">
        <v>4792</v>
      </c>
    </row>
    <row r="190" customHeight="1" spans="1:38">
      <c r="A190" t="s">
        <v>22</v>
      </c>
      <c r="B190" t="s">
        <v>49</v>
      </c>
      <c r="C190" t="s">
        <v>51</v>
      </c>
      <c r="D190" t="s">
        <v>22</v>
      </c>
      <c r="E190" t="s">
        <v>5480</v>
      </c>
      <c r="F190" t="s">
        <v>1046</v>
      </c>
      <c r="G190" t="s">
        <v>1047</v>
      </c>
      <c r="H190" t="s">
        <v>1047</v>
      </c>
      <c r="I190" t="s">
        <v>1048</v>
      </c>
      <c r="J190" t="s">
        <v>1049</v>
      </c>
      <c r="K190" t="s">
        <v>1050</v>
      </c>
      <c r="L190" t="s">
        <v>5454</v>
      </c>
      <c r="M190" t="s">
        <v>5481</v>
      </c>
      <c r="N190" t="s">
        <v>107</v>
      </c>
      <c r="O190" t="s">
        <v>1047</v>
      </c>
      <c r="P190" t="s">
        <v>4782</v>
      </c>
      <c r="Q190" t="s">
        <v>1048</v>
      </c>
      <c r="R190" t="s">
        <v>1049</v>
      </c>
      <c r="S190" t="s">
        <v>1050</v>
      </c>
      <c r="T190" t="s">
        <v>4796</v>
      </c>
      <c r="U190" t="s">
        <v>4797</v>
      </c>
      <c r="V190" t="s">
        <v>4814</v>
      </c>
      <c r="W190" t="s">
        <v>4786</v>
      </c>
      <c r="X190" t="s">
        <v>4807</v>
      </c>
      <c r="Y190" t="s">
        <v>4800</v>
      </c>
      <c r="Z190" t="s">
        <v>4847</v>
      </c>
      <c r="AA190" t="s">
        <v>4848</v>
      </c>
      <c r="AB190" t="s">
        <v>4814</v>
      </c>
      <c r="AC190" t="s">
        <v>66</v>
      </c>
      <c r="AD190" t="s">
        <v>66</v>
      </c>
      <c r="AE190" t="s">
        <v>66</v>
      </c>
      <c r="AF190" t="s">
        <v>4927</v>
      </c>
      <c r="AG190" t="s">
        <v>5485</v>
      </c>
      <c r="AH190" t="s">
        <v>4927</v>
      </c>
      <c r="AI190" t="s">
        <v>5485</v>
      </c>
      <c r="AJ190" t="s">
        <v>4927</v>
      </c>
      <c r="AK190" t="s">
        <v>5485</v>
      </c>
      <c r="AL190" t="s">
        <v>4792</v>
      </c>
    </row>
    <row r="191" customHeight="1" spans="1:38">
      <c r="A191" t="s">
        <v>22</v>
      </c>
      <c r="B191" t="s">
        <v>49</v>
      </c>
      <c r="C191" t="s">
        <v>51</v>
      </c>
      <c r="D191" t="s">
        <v>22</v>
      </c>
      <c r="E191" t="s">
        <v>5486</v>
      </c>
      <c r="F191" t="s">
        <v>1046</v>
      </c>
      <c r="G191" t="s">
        <v>1047</v>
      </c>
      <c r="H191" t="s">
        <v>1047</v>
      </c>
      <c r="I191" t="s">
        <v>1048</v>
      </c>
      <c r="J191" t="s">
        <v>1049</v>
      </c>
      <c r="K191" t="s">
        <v>1050</v>
      </c>
      <c r="L191" t="s">
        <v>5454</v>
      </c>
      <c r="M191" t="s">
        <v>5487</v>
      </c>
      <c r="N191" t="s">
        <v>107</v>
      </c>
      <c r="O191" t="s">
        <v>1047</v>
      </c>
      <c r="P191" t="s">
        <v>4782</v>
      </c>
      <c r="Q191" t="s">
        <v>1048</v>
      </c>
      <c r="R191" t="s">
        <v>1049</v>
      </c>
      <c r="S191" t="s">
        <v>1050</v>
      </c>
      <c r="T191" t="s">
        <v>4796</v>
      </c>
      <c r="U191" t="s">
        <v>4805</v>
      </c>
      <c r="V191" t="s">
        <v>4806</v>
      </c>
      <c r="W191" t="s">
        <v>4786</v>
      </c>
      <c r="X191" t="s">
        <v>4807</v>
      </c>
      <c r="Y191" t="s">
        <v>4800</v>
      </c>
      <c r="Z191" t="s">
        <v>3626</v>
      </c>
      <c r="AA191" t="s">
        <v>5488</v>
      </c>
      <c r="AB191" t="s">
        <v>5489</v>
      </c>
      <c r="AC191" t="s">
        <v>66</v>
      </c>
      <c r="AD191" t="s">
        <v>66</v>
      </c>
      <c r="AE191" t="s">
        <v>66</v>
      </c>
      <c r="AF191" t="s">
        <v>5490</v>
      </c>
      <c r="AG191" t="s">
        <v>5491</v>
      </c>
      <c r="AH191" t="s">
        <v>5490</v>
      </c>
      <c r="AI191" t="s">
        <v>5491</v>
      </c>
      <c r="AJ191" t="s">
        <v>5490</v>
      </c>
      <c r="AK191" t="s">
        <v>5491</v>
      </c>
      <c r="AL191" t="s">
        <v>4792</v>
      </c>
    </row>
    <row r="192" customHeight="1" spans="1:38">
      <c r="A192" t="s">
        <v>22</v>
      </c>
      <c r="B192" t="s">
        <v>49</v>
      </c>
      <c r="C192" t="s">
        <v>51</v>
      </c>
      <c r="D192" t="s">
        <v>22</v>
      </c>
      <c r="E192" t="s">
        <v>5486</v>
      </c>
      <c r="F192" t="s">
        <v>1046</v>
      </c>
      <c r="G192" t="s">
        <v>1047</v>
      </c>
      <c r="H192" t="s">
        <v>1047</v>
      </c>
      <c r="I192" t="s">
        <v>1048</v>
      </c>
      <c r="J192" t="s">
        <v>1049</v>
      </c>
      <c r="K192" t="s">
        <v>1050</v>
      </c>
      <c r="L192" t="s">
        <v>5454</v>
      </c>
      <c r="M192" t="s">
        <v>5487</v>
      </c>
      <c r="N192" t="s">
        <v>107</v>
      </c>
      <c r="O192" t="s">
        <v>1047</v>
      </c>
      <c r="P192" t="s">
        <v>4782</v>
      </c>
      <c r="Q192" t="s">
        <v>1048</v>
      </c>
      <c r="R192" t="s">
        <v>1049</v>
      </c>
      <c r="S192" t="s">
        <v>1050</v>
      </c>
      <c r="T192" t="s">
        <v>4796</v>
      </c>
      <c r="U192" t="s">
        <v>4797</v>
      </c>
      <c r="V192" t="s">
        <v>5172</v>
      </c>
      <c r="W192" t="s">
        <v>4786</v>
      </c>
      <c r="X192" t="s">
        <v>4807</v>
      </c>
      <c r="Y192" t="s">
        <v>4800</v>
      </c>
      <c r="Z192" t="s">
        <v>4847</v>
      </c>
      <c r="AA192" t="s">
        <v>4848</v>
      </c>
      <c r="AB192" t="s">
        <v>5172</v>
      </c>
      <c r="AC192" t="s">
        <v>66</v>
      </c>
      <c r="AD192" t="s">
        <v>66</v>
      </c>
      <c r="AE192" t="s">
        <v>66</v>
      </c>
      <c r="AF192" t="s">
        <v>5490</v>
      </c>
      <c r="AG192" t="s">
        <v>5492</v>
      </c>
      <c r="AH192" t="s">
        <v>5490</v>
      </c>
      <c r="AI192" t="s">
        <v>5492</v>
      </c>
      <c r="AJ192" t="s">
        <v>5490</v>
      </c>
      <c r="AK192" t="s">
        <v>5492</v>
      </c>
      <c r="AL192" t="s">
        <v>4792</v>
      </c>
    </row>
    <row r="193" customHeight="1" spans="1:38">
      <c r="A193" t="s">
        <v>22</v>
      </c>
      <c r="B193" t="s">
        <v>49</v>
      </c>
      <c r="C193" t="s">
        <v>51</v>
      </c>
      <c r="D193" t="s">
        <v>22</v>
      </c>
      <c r="E193" t="s">
        <v>1061</v>
      </c>
      <c r="F193" t="s">
        <v>1046</v>
      </c>
      <c r="G193" t="s">
        <v>1047</v>
      </c>
      <c r="H193" t="s">
        <v>1047</v>
      </c>
      <c r="I193" t="s">
        <v>1048</v>
      </c>
      <c r="J193" t="s">
        <v>1049</v>
      </c>
      <c r="K193" t="s">
        <v>1050</v>
      </c>
      <c r="L193" t="s">
        <v>1062</v>
      </c>
      <c r="M193" t="s">
        <v>1063</v>
      </c>
      <c r="N193" t="s">
        <v>107</v>
      </c>
      <c r="O193" t="s">
        <v>1047</v>
      </c>
      <c r="P193" t="s">
        <v>4782</v>
      </c>
      <c r="Q193" t="s">
        <v>1048</v>
      </c>
      <c r="R193" t="s">
        <v>1049</v>
      </c>
      <c r="S193" t="s">
        <v>1050</v>
      </c>
      <c r="T193" t="s">
        <v>4796</v>
      </c>
      <c r="U193" t="s">
        <v>4805</v>
      </c>
      <c r="V193" t="s">
        <v>4806</v>
      </c>
      <c r="W193" t="s">
        <v>4786</v>
      </c>
      <c r="X193" t="s">
        <v>4828</v>
      </c>
      <c r="Y193" t="s">
        <v>4800</v>
      </c>
      <c r="Z193" t="s">
        <v>5493</v>
      </c>
      <c r="AA193" t="s">
        <v>5494</v>
      </c>
      <c r="AB193" t="s">
        <v>4831</v>
      </c>
      <c r="AC193" t="s">
        <v>66</v>
      </c>
      <c r="AD193" t="s">
        <v>66</v>
      </c>
      <c r="AE193" t="s">
        <v>66</v>
      </c>
      <c r="AF193" t="s">
        <v>1224</v>
      </c>
      <c r="AG193" t="s">
        <v>5495</v>
      </c>
      <c r="AH193" t="s">
        <v>1224</v>
      </c>
      <c r="AI193" t="s">
        <v>5495</v>
      </c>
      <c r="AJ193" t="s">
        <v>1224</v>
      </c>
      <c r="AK193" t="s">
        <v>5495</v>
      </c>
      <c r="AL193" t="s">
        <v>4792</v>
      </c>
    </row>
    <row r="194" customHeight="1" spans="1:38">
      <c r="A194" t="s">
        <v>22</v>
      </c>
      <c r="B194" t="s">
        <v>49</v>
      </c>
      <c r="C194" t="s">
        <v>51</v>
      </c>
      <c r="D194" t="s">
        <v>22</v>
      </c>
      <c r="E194" t="s">
        <v>1061</v>
      </c>
      <c r="F194" t="s">
        <v>1046</v>
      </c>
      <c r="G194" t="s">
        <v>1047</v>
      </c>
      <c r="H194" t="s">
        <v>1047</v>
      </c>
      <c r="I194" t="s">
        <v>1048</v>
      </c>
      <c r="J194" t="s">
        <v>1049</v>
      </c>
      <c r="K194" t="s">
        <v>1050</v>
      </c>
      <c r="L194" t="s">
        <v>1062</v>
      </c>
      <c r="M194" t="s">
        <v>1063</v>
      </c>
      <c r="N194" t="s">
        <v>107</v>
      </c>
      <c r="O194" t="s">
        <v>1047</v>
      </c>
      <c r="P194" t="s">
        <v>4782</v>
      </c>
      <c r="Q194" t="s">
        <v>1048</v>
      </c>
      <c r="R194" t="s">
        <v>1049</v>
      </c>
      <c r="S194" t="s">
        <v>1050</v>
      </c>
      <c r="T194" t="s">
        <v>4796</v>
      </c>
      <c r="U194" t="s">
        <v>4797</v>
      </c>
      <c r="V194" t="s">
        <v>4814</v>
      </c>
      <c r="W194" t="s">
        <v>4786</v>
      </c>
      <c r="X194" t="s">
        <v>4807</v>
      </c>
      <c r="Y194" t="s">
        <v>4800</v>
      </c>
      <c r="Z194" t="s">
        <v>5496</v>
      </c>
      <c r="AA194" t="s">
        <v>4843</v>
      </c>
      <c r="AB194" t="s">
        <v>4814</v>
      </c>
      <c r="AC194" t="s">
        <v>66</v>
      </c>
      <c r="AD194" t="s">
        <v>66</v>
      </c>
      <c r="AE194" t="s">
        <v>66</v>
      </c>
      <c r="AF194" t="s">
        <v>1224</v>
      </c>
      <c r="AG194" t="s">
        <v>5497</v>
      </c>
      <c r="AH194" t="s">
        <v>1224</v>
      </c>
      <c r="AI194" t="s">
        <v>5497</v>
      </c>
      <c r="AJ194" t="s">
        <v>1224</v>
      </c>
      <c r="AK194" t="s">
        <v>5497</v>
      </c>
      <c r="AL194" t="s">
        <v>4792</v>
      </c>
    </row>
    <row r="195" customHeight="1" spans="1:38">
      <c r="A195" t="s">
        <v>22</v>
      </c>
      <c r="B195" t="s">
        <v>49</v>
      </c>
      <c r="C195" t="s">
        <v>51</v>
      </c>
      <c r="D195" t="s">
        <v>22</v>
      </c>
      <c r="E195" t="s">
        <v>5498</v>
      </c>
      <c r="F195" t="s">
        <v>1046</v>
      </c>
      <c r="G195" t="s">
        <v>1047</v>
      </c>
      <c r="H195" t="s">
        <v>1047</v>
      </c>
      <c r="I195" t="s">
        <v>1048</v>
      </c>
      <c r="J195" t="s">
        <v>1049</v>
      </c>
      <c r="K195" t="s">
        <v>1050</v>
      </c>
      <c r="L195" t="s">
        <v>1062</v>
      </c>
      <c r="M195" t="s">
        <v>1879</v>
      </c>
      <c r="N195" t="s">
        <v>107</v>
      </c>
      <c r="O195" t="s">
        <v>1047</v>
      </c>
      <c r="P195" t="s">
        <v>4782</v>
      </c>
      <c r="Q195" t="s">
        <v>1048</v>
      </c>
      <c r="R195" t="s">
        <v>1049</v>
      </c>
      <c r="S195" t="s">
        <v>1050</v>
      </c>
      <c r="T195" t="s">
        <v>4796</v>
      </c>
      <c r="U195" t="s">
        <v>4797</v>
      </c>
      <c r="V195" t="s">
        <v>4814</v>
      </c>
      <c r="W195" t="s">
        <v>4786</v>
      </c>
      <c r="X195" t="s">
        <v>4807</v>
      </c>
      <c r="Y195" t="s">
        <v>4800</v>
      </c>
      <c r="Z195" t="s">
        <v>1067</v>
      </c>
      <c r="AA195" t="s">
        <v>5499</v>
      </c>
      <c r="AB195" t="s">
        <v>4814</v>
      </c>
      <c r="AC195" t="s">
        <v>66</v>
      </c>
      <c r="AD195" t="s">
        <v>66</v>
      </c>
      <c r="AE195" t="s">
        <v>66</v>
      </c>
      <c r="AF195" t="s">
        <v>5500</v>
      </c>
      <c r="AG195" t="s">
        <v>5501</v>
      </c>
      <c r="AH195" t="s">
        <v>5500</v>
      </c>
      <c r="AI195" t="s">
        <v>5501</v>
      </c>
      <c r="AJ195" t="s">
        <v>5500</v>
      </c>
      <c r="AK195" t="s">
        <v>5501</v>
      </c>
      <c r="AL195" t="s">
        <v>4792</v>
      </c>
    </row>
    <row r="196" customHeight="1" spans="1:38">
      <c r="A196" t="s">
        <v>22</v>
      </c>
      <c r="B196" t="s">
        <v>49</v>
      </c>
      <c r="C196" t="s">
        <v>51</v>
      </c>
      <c r="D196" t="s">
        <v>22</v>
      </c>
      <c r="E196" t="s">
        <v>5498</v>
      </c>
      <c r="F196" t="s">
        <v>1046</v>
      </c>
      <c r="G196" t="s">
        <v>1047</v>
      </c>
      <c r="H196" t="s">
        <v>1047</v>
      </c>
      <c r="I196" t="s">
        <v>1048</v>
      </c>
      <c r="J196" t="s">
        <v>1049</v>
      </c>
      <c r="K196" t="s">
        <v>1050</v>
      </c>
      <c r="L196" t="s">
        <v>1062</v>
      </c>
      <c r="M196" t="s">
        <v>1879</v>
      </c>
      <c r="N196" t="s">
        <v>107</v>
      </c>
      <c r="O196" t="s">
        <v>1047</v>
      </c>
      <c r="P196" t="s">
        <v>4782</v>
      </c>
      <c r="Q196" t="s">
        <v>1048</v>
      </c>
      <c r="R196" t="s">
        <v>1049</v>
      </c>
      <c r="S196" t="s">
        <v>1050</v>
      </c>
      <c r="T196" t="s">
        <v>4796</v>
      </c>
      <c r="U196" t="s">
        <v>4805</v>
      </c>
      <c r="V196" t="s">
        <v>4806</v>
      </c>
      <c r="W196" t="s">
        <v>4786</v>
      </c>
      <c r="X196" t="s">
        <v>4807</v>
      </c>
      <c r="Y196" t="s">
        <v>4800</v>
      </c>
      <c r="Z196" t="s">
        <v>4836</v>
      </c>
      <c r="AA196" t="s">
        <v>4837</v>
      </c>
      <c r="AB196" t="s">
        <v>4838</v>
      </c>
      <c r="AC196" t="s">
        <v>66</v>
      </c>
      <c r="AD196" t="s">
        <v>66</v>
      </c>
      <c r="AE196" t="s">
        <v>66</v>
      </c>
      <c r="AF196" t="s">
        <v>5500</v>
      </c>
      <c r="AG196" t="s">
        <v>5502</v>
      </c>
      <c r="AH196" t="s">
        <v>5500</v>
      </c>
      <c r="AI196" t="s">
        <v>5502</v>
      </c>
      <c r="AJ196" t="s">
        <v>5500</v>
      </c>
      <c r="AK196" t="s">
        <v>5502</v>
      </c>
      <c r="AL196" t="s">
        <v>4792</v>
      </c>
    </row>
    <row r="197" customHeight="1" spans="1:38">
      <c r="A197" t="s">
        <v>22</v>
      </c>
      <c r="B197" t="s">
        <v>49</v>
      </c>
      <c r="C197" t="s">
        <v>51</v>
      </c>
      <c r="D197" t="s">
        <v>22</v>
      </c>
      <c r="E197" t="s">
        <v>5503</v>
      </c>
      <c r="F197" t="s">
        <v>1046</v>
      </c>
      <c r="G197" t="s">
        <v>1047</v>
      </c>
      <c r="H197" t="s">
        <v>1047</v>
      </c>
      <c r="I197" t="s">
        <v>1048</v>
      </c>
      <c r="J197" t="s">
        <v>1049</v>
      </c>
      <c r="K197" t="s">
        <v>1050</v>
      </c>
      <c r="L197" t="s">
        <v>5504</v>
      </c>
      <c r="M197" t="s">
        <v>3694</v>
      </c>
      <c r="N197" t="s">
        <v>107</v>
      </c>
      <c r="O197" t="s">
        <v>1047</v>
      </c>
      <c r="P197" t="s">
        <v>4782</v>
      </c>
      <c r="Q197" t="s">
        <v>1048</v>
      </c>
      <c r="R197" t="s">
        <v>1049</v>
      </c>
      <c r="S197" t="s">
        <v>1050</v>
      </c>
      <c r="T197" t="s">
        <v>4796</v>
      </c>
      <c r="U197" t="s">
        <v>4797</v>
      </c>
      <c r="V197" t="s">
        <v>4798</v>
      </c>
      <c r="W197" t="s">
        <v>4786</v>
      </c>
      <c r="X197" t="s">
        <v>4807</v>
      </c>
      <c r="Y197" t="s">
        <v>4800</v>
      </c>
      <c r="Z197" t="s">
        <v>4847</v>
      </c>
      <c r="AA197" t="s">
        <v>4848</v>
      </c>
      <c r="AB197" t="s">
        <v>4798</v>
      </c>
      <c r="AC197" t="s">
        <v>66</v>
      </c>
      <c r="AD197" t="s">
        <v>66</v>
      </c>
      <c r="AE197" t="s">
        <v>66</v>
      </c>
      <c r="AF197" t="s">
        <v>4839</v>
      </c>
      <c r="AG197" t="s">
        <v>5505</v>
      </c>
      <c r="AH197" t="s">
        <v>4839</v>
      </c>
      <c r="AI197" t="s">
        <v>5505</v>
      </c>
      <c r="AJ197" t="s">
        <v>4839</v>
      </c>
      <c r="AK197" t="s">
        <v>5505</v>
      </c>
      <c r="AL197" t="s">
        <v>4792</v>
      </c>
    </row>
    <row r="198" customHeight="1" spans="1:38">
      <c r="A198" t="s">
        <v>22</v>
      </c>
      <c r="B198" t="s">
        <v>49</v>
      </c>
      <c r="C198" t="s">
        <v>51</v>
      </c>
      <c r="D198" t="s">
        <v>22</v>
      </c>
      <c r="E198" t="s">
        <v>5503</v>
      </c>
      <c r="F198" t="s">
        <v>1046</v>
      </c>
      <c r="G198" t="s">
        <v>1047</v>
      </c>
      <c r="H198" t="s">
        <v>1047</v>
      </c>
      <c r="I198" t="s">
        <v>1048</v>
      </c>
      <c r="J198" t="s">
        <v>1049</v>
      </c>
      <c r="K198" t="s">
        <v>1050</v>
      </c>
      <c r="L198" t="s">
        <v>5504</v>
      </c>
      <c r="M198" t="s">
        <v>3694</v>
      </c>
      <c r="N198" t="s">
        <v>107</v>
      </c>
      <c r="O198" t="s">
        <v>1047</v>
      </c>
      <c r="P198" t="s">
        <v>4782</v>
      </c>
      <c r="Q198" t="s">
        <v>1048</v>
      </c>
      <c r="R198" t="s">
        <v>1049</v>
      </c>
      <c r="S198" t="s">
        <v>1050</v>
      </c>
      <c r="T198" t="s">
        <v>4796</v>
      </c>
      <c r="U198" t="s">
        <v>4805</v>
      </c>
      <c r="V198" t="s">
        <v>4806</v>
      </c>
      <c r="W198" t="s">
        <v>4786</v>
      </c>
      <c r="X198" t="s">
        <v>4807</v>
      </c>
      <c r="Y198" t="s">
        <v>4800</v>
      </c>
      <c r="Z198" t="s">
        <v>4836</v>
      </c>
      <c r="AA198" t="s">
        <v>4837</v>
      </c>
      <c r="AB198" t="s">
        <v>4838</v>
      </c>
      <c r="AC198" t="s">
        <v>66</v>
      </c>
      <c r="AD198" t="s">
        <v>66</v>
      </c>
      <c r="AE198" t="s">
        <v>66</v>
      </c>
      <c r="AF198" t="s">
        <v>4839</v>
      </c>
      <c r="AG198" t="s">
        <v>5506</v>
      </c>
      <c r="AH198" t="s">
        <v>4839</v>
      </c>
      <c r="AI198" t="s">
        <v>5506</v>
      </c>
      <c r="AJ198" t="s">
        <v>4839</v>
      </c>
      <c r="AK198" t="s">
        <v>5506</v>
      </c>
      <c r="AL198" t="s">
        <v>4792</v>
      </c>
    </row>
    <row r="199" customHeight="1" spans="1:38">
      <c r="A199" t="s">
        <v>22</v>
      </c>
      <c r="B199" t="s">
        <v>49</v>
      </c>
      <c r="C199" t="s">
        <v>51</v>
      </c>
      <c r="D199" t="s">
        <v>22</v>
      </c>
      <c r="E199" t="s">
        <v>5507</v>
      </c>
      <c r="F199" t="s">
        <v>1046</v>
      </c>
      <c r="G199" t="s">
        <v>1047</v>
      </c>
      <c r="H199" t="s">
        <v>1047</v>
      </c>
      <c r="I199" t="s">
        <v>1048</v>
      </c>
      <c r="J199" t="s">
        <v>1049</v>
      </c>
      <c r="K199" t="s">
        <v>1050</v>
      </c>
      <c r="L199" t="s">
        <v>5504</v>
      </c>
      <c r="M199" t="s">
        <v>1817</v>
      </c>
      <c r="N199" t="s">
        <v>107</v>
      </c>
      <c r="O199" t="s">
        <v>1047</v>
      </c>
      <c r="P199" t="s">
        <v>4782</v>
      </c>
      <c r="Q199" t="s">
        <v>1048</v>
      </c>
      <c r="R199" t="s">
        <v>1049</v>
      </c>
      <c r="S199" t="s">
        <v>1050</v>
      </c>
      <c r="T199" t="s">
        <v>4796</v>
      </c>
      <c r="U199" t="s">
        <v>4805</v>
      </c>
      <c r="V199" t="s">
        <v>4806</v>
      </c>
      <c r="W199" t="s">
        <v>4786</v>
      </c>
      <c r="X199" t="s">
        <v>4807</v>
      </c>
      <c r="Y199" t="s">
        <v>4800</v>
      </c>
      <c r="Z199" t="s">
        <v>3714</v>
      </c>
      <c r="AA199" t="s">
        <v>5508</v>
      </c>
      <c r="AB199" t="s">
        <v>5509</v>
      </c>
      <c r="AC199" t="s">
        <v>66</v>
      </c>
      <c r="AD199" t="s">
        <v>66</v>
      </c>
      <c r="AE199" t="s">
        <v>66</v>
      </c>
      <c r="AF199" t="s">
        <v>5510</v>
      </c>
      <c r="AG199" t="s">
        <v>5511</v>
      </c>
      <c r="AH199" t="s">
        <v>5510</v>
      </c>
      <c r="AI199" t="s">
        <v>5511</v>
      </c>
      <c r="AJ199" t="s">
        <v>5510</v>
      </c>
      <c r="AK199" t="s">
        <v>5511</v>
      </c>
      <c r="AL199" t="s">
        <v>4792</v>
      </c>
    </row>
    <row r="200" customHeight="1" spans="1:38">
      <c r="A200" t="s">
        <v>22</v>
      </c>
      <c r="B200" t="s">
        <v>49</v>
      </c>
      <c r="C200" t="s">
        <v>51</v>
      </c>
      <c r="D200" t="s">
        <v>22</v>
      </c>
      <c r="E200" t="s">
        <v>5507</v>
      </c>
      <c r="F200" t="s">
        <v>1046</v>
      </c>
      <c r="G200" t="s">
        <v>1047</v>
      </c>
      <c r="H200" t="s">
        <v>1047</v>
      </c>
      <c r="I200" t="s">
        <v>1048</v>
      </c>
      <c r="J200" t="s">
        <v>1049</v>
      </c>
      <c r="K200" t="s">
        <v>1050</v>
      </c>
      <c r="L200" t="s">
        <v>5504</v>
      </c>
      <c r="M200" t="s">
        <v>1817</v>
      </c>
      <c r="N200" t="s">
        <v>107</v>
      </c>
      <c r="O200" t="s">
        <v>1047</v>
      </c>
      <c r="P200" t="s">
        <v>4782</v>
      </c>
      <c r="Q200" t="s">
        <v>1048</v>
      </c>
      <c r="R200" t="s">
        <v>1049</v>
      </c>
      <c r="S200" t="s">
        <v>1050</v>
      </c>
      <c r="T200" t="s">
        <v>4796</v>
      </c>
      <c r="U200" t="s">
        <v>4797</v>
      </c>
      <c r="V200" t="s">
        <v>4798</v>
      </c>
      <c r="W200" t="s">
        <v>4786</v>
      </c>
      <c r="X200" t="s">
        <v>4807</v>
      </c>
      <c r="Y200" t="s">
        <v>4800</v>
      </c>
      <c r="Z200" t="s">
        <v>4847</v>
      </c>
      <c r="AA200" t="s">
        <v>4848</v>
      </c>
      <c r="AB200" t="s">
        <v>4798</v>
      </c>
      <c r="AC200" t="s">
        <v>66</v>
      </c>
      <c r="AD200" t="s">
        <v>66</v>
      </c>
      <c r="AE200" t="s">
        <v>66</v>
      </c>
      <c r="AF200" t="s">
        <v>4857</v>
      </c>
      <c r="AG200" t="s">
        <v>5512</v>
      </c>
      <c r="AH200" t="s">
        <v>4857</v>
      </c>
      <c r="AI200" t="s">
        <v>5512</v>
      </c>
      <c r="AJ200" t="s">
        <v>4857</v>
      </c>
      <c r="AK200" t="s">
        <v>5512</v>
      </c>
      <c r="AL200" t="s">
        <v>4792</v>
      </c>
    </row>
    <row r="201" customHeight="1" spans="1:38">
      <c r="A201" t="s">
        <v>22</v>
      </c>
      <c r="B201" t="s">
        <v>49</v>
      </c>
      <c r="C201" t="s">
        <v>51</v>
      </c>
      <c r="D201" t="s">
        <v>22</v>
      </c>
      <c r="E201" t="s">
        <v>5513</v>
      </c>
      <c r="F201" t="s">
        <v>1070</v>
      </c>
      <c r="G201" t="s">
        <v>1047</v>
      </c>
      <c r="H201" t="s">
        <v>1047</v>
      </c>
      <c r="I201" t="s">
        <v>1048</v>
      </c>
      <c r="J201" t="s">
        <v>1049</v>
      </c>
      <c r="K201" t="s">
        <v>1050</v>
      </c>
      <c r="L201" t="s">
        <v>5514</v>
      </c>
      <c r="M201" t="s">
        <v>1148</v>
      </c>
      <c r="N201" t="s">
        <v>107</v>
      </c>
      <c r="O201" t="s">
        <v>1047</v>
      </c>
      <c r="P201" t="s">
        <v>4782</v>
      </c>
      <c r="Q201" t="s">
        <v>1048</v>
      </c>
      <c r="R201" t="s">
        <v>1049</v>
      </c>
      <c r="S201" t="s">
        <v>1050</v>
      </c>
      <c r="T201" t="s">
        <v>4796</v>
      </c>
      <c r="U201" t="s">
        <v>4797</v>
      </c>
      <c r="V201" t="s">
        <v>4841</v>
      </c>
      <c r="W201" t="s">
        <v>4786</v>
      </c>
      <c r="X201" t="s">
        <v>4807</v>
      </c>
      <c r="Y201" t="s">
        <v>4800</v>
      </c>
      <c r="Z201" t="s">
        <v>4847</v>
      </c>
      <c r="AA201" t="s">
        <v>4848</v>
      </c>
      <c r="AB201" t="s">
        <v>4841</v>
      </c>
      <c r="AC201" t="s">
        <v>66</v>
      </c>
      <c r="AD201" t="s">
        <v>19</v>
      </c>
      <c r="AE201" t="s">
        <v>19</v>
      </c>
      <c r="AF201" t="s">
        <v>5033</v>
      </c>
      <c r="AG201" t="s">
        <v>5515</v>
      </c>
      <c r="AH201" t="s">
        <v>22</v>
      </c>
      <c r="AI201" t="s">
        <v>22</v>
      </c>
      <c r="AJ201" t="s">
        <v>22</v>
      </c>
      <c r="AK201" t="s">
        <v>22</v>
      </c>
      <c r="AL201" t="s">
        <v>4792</v>
      </c>
    </row>
    <row r="202" customHeight="1" spans="1:38">
      <c r="A202" t="s">
        <v>22</v>
      </c>
      <c r="B202" t="s">
        <v>49</v>
      </c>
      <c r="C202" t="s">
        <v>51</v>
      </c>
      <c r="D202" t="s">
        <v>22</v>
      </c>
      <c r="E202" t="s">
        <v>5513</v>
      </c>
      <c r="F202" t="s">
        <v>1070</v>
      </c>
      <c r="G202" t="s">
        <v>1047</v>
      </c>
      <c r="H202" t="s">
        <v>1047</v>
      </c>
      <c r="I202" t="s">
        <v>1048</v>
      </c>
      <c r="J202" t="s">
        <v>1049</v>
      </c>
      <c r="K202" t="s">
        <v>1050</v>
      </c>
      <c r="L202" t="s">
        <v>5514</v>
      </c>
      <c r="M202" t="s">
        <v>1148</v>
      </c>
      <c r="N202" t="s">
        <v>107</v>
      </c>
      <c r="O202" t="s">
        <v>1047</v>
      </c>
      <c r="P202" t="s">
        <v>4782</v>
      </c>
      <c r="Q202" t="s">
        <v>1048</v>
      </c>
      <c r="R202" t="s">
        <v>1049</v>
      </c>
      <c r="S202" t="s">
        <v>1050</v>
      </c>
      <c r="T202" t="s">
        <v>4796</v>
      </c>
      <c r="U202" t="s">
        <v>4805</v>
      </c>
      <c r="V202" t="s">
        <v>4806</v>
      </c>
      <c r="W202" t="s">
        <v>4786</v>
      </c>
      <c r="X202" t="s">
        <v>4807</v>
      </c>
      <c r="Y202" t="s">
        <v>4800</v>
      </c>
      <c r="Z202" t="s">
        <v>4836</v>
      </c>
      <c r="AA202" t="s">
        <v>4837</v>
      </c>
      <c r="AB202" t="s">
        <v>4838</v>
      </c>
      <c r="AC202" t="s">
        <v>66</v>
      </c>
      <c r="AD202" t="s">
        <v>19</v>
      </c>
      <c r="AE202" t="s">
        <v>19</v>
      </c>
      <c r="AF202" t="s">
        <v>5033</v>
      </c>
      <c r="AG202" t="s">
        <v>5516</v>
      </c>
      <c r="AH202" t="s">
        <v>22</v>
      </c>
      <c r="AI202" t="s">
        <v>22</v>
      </c>
      <c r="AJ202" t="s">
        <v>22</v>
      </c>
      <c r="AK202" t="s">
        <v>22</v>
      </c>
      <c r="AL202" t="s">
        <v>4792</v>
      </c>
    </row>
    <row r="203" customHeight="1" spans="1:38">
      <c r="A203" t="s">
        <v>22</v>
      </c>
      <c r="B203" t="s">
        <v>49</v>
      </c>
      <c r="C203" t="s">
        <v>51</v>
      </c>
      <c r="D203" t="s">
        <v>22</v>
      </c>
      <c r="E203" t="s">
        <v>5517</v>
      </c>
      <c r="F203" t="s">
        <v>1046</v>
      </c>
      <c r="G203" t="s">
        <v>1047</v>
      </c>
      <c r="H203" t="s">
        <v>1047</v>
      </c>
      <c r="I203" t="s">
        <v>1048</v>
      </c>
      <c r="J203" t="s">
        <v>1049</v>
      </c>
      <c r="K203" t="s">
        <v>1050</v>
      </c>
      <c r="L203" t="s">
        <v>5518</v>
      </c>
      <c r="M203" t="s">
        <v>5519</v>
      </c>
      <c r="N203" t="s">
        <v>107</v>
      </c>
      <c r="O203" t="s">
        <v>1047</v>
      </c>
      <c r="P203" t="s">
        <v>4782</v>
      </c>
      <c r="Q203" t="s">
        <v>1048</v>
      </c>
      <c r="R203" t="s">
        <v>1049</v>
      </c>
      <c r="S203" t="s">
        <v>1050</v>
      </c>
      <c r="T203" t="s">
        <v>4796</v>
      </c>
      <c r="U203" t="s">
        <v>4797</v>
      </c>
      <c r="V203" t="s">
        <v>4798</v>
      </c>
      <c r="W203" t="s">
        <v>4786</v>
      </c>
      <c r="X203" t="s">
        <v>4807</v>
      </c>
      <c r="Y203" t="s">
        <v>4800</v>
      </c>
      <c r="Z203" t="s">
        <v>5520</v>
      </c>
      <c r="AA203" t="s">
        <v>4856</v>
      </c>
      <c r="AB203" t="s">
        <v>4798</v>
      </c>
      <c r="AC203" t="s">
        <v>66</v>
      </c>
      <c r="AD203" t="s">
        <v>66</v>
      </c>
      <c r="AE203" t="s">
        <v>66</v>
      </c>
      <c r="AF203" t="s">
        <v>5521</v>
      </c>
      <c r="AG203" t="s">
        <v>5522</v>
      </c>
      <c r="AH203" t="s">
        <v>5521</v>
      </c>
      <c r="AI203" t="s">
        <v>5522</v>
      </c>
      <c r="AJ203" t="s">
        <v>5521</v>
      </c>
      <c r="AK203" t="s">
        <v>5522</v>
      </c>
      <c r="AL203" t="s">
        <v>4792</v>
      </c>
    </row>
    <row r="204" customHeight="1" spans="1:38">
      <c r="A204" t="s">
        <v>22</v>
      </c>
      <c r="B204" t="s">
        <v>49</v>
      </c>
      <c r="C204" t="s">
        <v>51</v>
      </c>
      <c r="D204" t="s">
        <v>22</v>
      </c>
      <c r="E204" t="s">
        <v>5517</v>
      </c>
      <c r="F204" t="s">
        <v>1046</v>
      </c>
      <c r="G204" t="s">
        <v>1047</v>
      </c>
      <c r="H204" t="s">
        <v>1047</v>
      </c>
      <c r="I204" t="s">
        <v>1048</v>
      </c>
      <c r="J204" t="s">
        <v>1049</v>
      </c>
      <c r="K204" t="s">
        <v>1050</v>
      </c>
      <c r="L204" t="s">
        <v>5518</v>
      </c>
      <c r="M204" t="s">
        <v>5519</v>
      </c>
      <c r="N204" t="s">
        <v>107</v>
      </c>
      <c r="O204" t="s">
        <v>1047</v>
      </c>
      <c r="P204" t="s">
        <v>4782</v>
      </c>
      <c r="Q204" t="s">
        <v>1048</v>
      </c>
      <c r="R204" t="s">
        <v>1049</v>
      </c>
      <c r="S204" t="s">
        <v>1050</v>
      </c>
      <c r="T204" t="s">
        <v>4796</v>
      </c>
      <c r="U204" t="s">
        <v>4805</v>
      </c>
      <c r="V204" t="s">
        <v>4806</v>
      </c>
      <c r="W204" t="s">
        <v>4786</v>
      </c>
      <c r="X204" t="s">
        <v>4807</v>
      </c>
      <c r="Y204" t="s">
        <v>4800</v>
      </c>
      <c r="Z204" t="s">
        <v>4836</v>
      </c>
      <c r="AA204" t="s">
        <v>4837</v>
      </c>
      <c r="AB204" t="s">
        <v>4838</v>
      </c>
      <c r="AC204" t="s">
        <v>66</v>
      </c>
      <c r="AD204" t="s">
        <v>66</v>
      </c>
      <c r="AE204" t="s">
        <v>66</v>
      </c>
      <c r="AF204" t="s">
        <v>5521</v>
      </c>
      <c r="AG204" t="s">
        <v>5523</v>
      </c>
      <c r="AH204" t="s">
        <v>5521</v>
      </c>
      <c r="AI204" t="s">
        <v>5523</v>
      </c>
      <c r="AJ204" t="s">
        <v>5521</v>
      </c>
      <c r="AK204" t="s">
        <v>5523</v>
      </c>
      <c r="AL204" t="s">
        <v>4792</v>
      </c>
    </row>
    <row r="205" customHeight="1" spans="1:38">
      <c r="A205" t="s">
        <v>22</v>
      </c>
      <c r="B205" t="s">
        <v>49</v>
      </c>
      <c r="C205" t="s">
        <v>51</v>
      </c>
      <c r="D205" t="s">
        <v>22</v>
      </c>
      <c r="E205" t="s">
        <v>5524</v>
      </c>
      <c r="F205" t="s">
        <v>1046</v>
      </c>
      <c r="G205" t="s">
        <v>1047</v>
      </c>
      <c r="H205" t="s">
        <v>1047</v>
      </c>
      <c r="I205" t="s">
        <v>1048</v>
      </c>
      <c r="J205" t="s">
        <v>1049</v>
      </c>
      <c r="K205" t="s">
        <v>1050</v>
      </c>
      <c r="L205" t="s">
        <v>5525</v>
      </c>
      <c r="M205" t="s">
        <v>147</v>
      </c>
      <c r="N205" t="s">
        <v>107</v>
      </c>
      <c r="O205" t="s">
        <v>1047</v>
      </c>
      <c r="P205" t="s">
        <v>4782</v>
      </c>
      <c r="Q205" t="s">
        <v>1048</v>
      </c>
      <c r="R205" t="s">
        <v>1049</v>
      </c>
      <c r="S205" t="s">
        <v>1050</v>
      </c>
      <c r="T205" t="s">
        <v>4796</v>
      </c>
      <c r="U205" t="s">
        <v>4805</v>
      </c>
      <c r="V205" t="s">
        <v>4806</v>
      </c>
      <c r="W205" t="s">
        <v>4786</v>
      </c>
      <c r="X205" t="s">
        <v>4820</v>
      </c>
      <c r="Y205" t="s">
        <v>4800</v>
      </c>
      <c r="Z205" t="s">
        <v>1865</v>
      </c>
      <c r="AA205" t="s">
        <v>5526</v>
      </c>
      <c r="AB205" t="s">
        <v>5527</v>
      </c>
      <c r="AC205" t="s">
        <v>66</v>
      </c>
      <c r="AD205" t="s">
        <v>66</v>
      </c>
      <c r="AE205" t="s">
        <v>66</v>
      </c>
      <c r="AF205" t="s">
        <v>5143</v>
      </c>
      <c r="AG205" t="s">
        <v>5528</v>
      </c>
      <c r="AH205" t="s">
        <v>5143</v>
      </c>
      <c r="AI205" t="s">
        <v>5528</v>
      </c>
      <c r="AJ205" t="s">
        <v>5143</v>
      </c>
      <c r="AK205" t="s">
        <v>5528</v>
      </c>
      <c r="AL205" t="s">
        <v>4792</v>
      </c>
    </row>
    <row r="206" customHeight="1" spans="1:38">
      <c r="A206" t="s">
        <v>22</v>
      </c>
      <c r="B206" t="s">
        <v>49</v>
      </c>
      <c r="C206" t="s">
        <v>51</v>
      </c>
      <c r="D206" t="s">
        <v>22</v>
      </c>
      <c r="E206" t="s">
        <v>5524</v>
      </c>
      <c r="F206" t="s">
        <v>1046</v>
      </c>
      <c r="G206" t="s">
        <v>1047</v>
      </c>
      <c r="H206" t="s">
        <v>1047</v>
      </c>
      <c r="I206" t="s">
        <v>1048</v>
      </c>
      <c r="J206" t="s">
        <v>1049</v>
      </c>
      <c r="K206" t="s">
        <v>1050</v>
      </c>
      <c r="L206" t="s">
        <v>5525</v>
      </c>
      <c r="M206" t="s">
        <v>147</v>
      </c>
      <c r="N206" t="s">
        <v>107</v>
      </c>
      <c r="O206" t="s">
        <v>1047</v>
      </c>
      <c r="P206" t="s">
        <v>4782</v>
      </c>
      <c r="Q206" t="s">
        <v>1048</v>
      </c>
      <c r="R206" t="s">
        <v>1049</v>
      </c>
      <c r="S206" t="s">
        <v>1050</v>
      </c>
      <c r="T206" t="s">
        <v>4796</v>
      </c>
      <c r="U206" t="s">
        <v>4797</v>
      </c>
      <c r="V206" t="s">
        <v>4798</v>
      </c>
      <c r="W206" t="s">
        <v>4786</v>
      </c>
      <c r="X206" t="s">
        <v>4807</v>
      </c>
      <c r="Y206" t="s">
        <v>4800</v>
      </c>
      <c r="Z206" t="s">
        <v>5529</v>
      </c>
      <c r="AA206" t="s">
        <v>4864</v>
      </c>
      <c r="AB206" t="s">
        <v>4798</v>
      </c>
      <c r="AC206" t="s">
        <v>66</v>
      </c>
      <c r="AD206" t="s">
        <v>66</v>
      </c>
      <c r="AE206" t="s">
        <v>66</v>
      </c>
      <c r="AF206" t="s">
        <v>5325</v>
      </c>
      <c r="AG206" t="s">
        <v>5530</v>
      </c>
      <c r="AH206" t="s">
        <v>5436</v>
      </c>
      <c r="AI206" t="s">
        <v>5530</v>
      </c>
      <c r="AJ206" t="s">
        <v>5436</v>
      </c>
      <c r="AK206" t="s">
        <v>5530</v>
      </c>
      <c r="AL206" t="s">
        <v>4792</v>
      </c>
    </row>
    <row r="207" customHeight="1" spans="1:38">
      <c r="A207" t="s">
        <v>22</v>
      </c>
      <c r="B207" t="s">
        <v>49</v>
      </c>
      <c r="C207" t="s">
        <v>51</v>
      </c>
      <c r="D207" t="s">
        <v>22</v>
      </c>
      <c r="E207" t="s">
        <v>5531</v>
      </c>
      <c r="F207" t="s">
        <v>1046</v>
      </c>
      <c r="G207" t="s">
        <v>1047</v>
      </c>
      <c r="H207" t="s">
        <v>1047</v>
      </c>
      <c r="I207" t="s">
        <v>1048</v>
      </c>
      <c r="J207" t="s">
        <v>1049</v>
      </c>
      <c r="K207" t="s">
        <v>1050</v>
      </c>
      <c r="L207" t="s">
        <v>5532</v>
      </c>
      <c r="M207" t="s">
        <v>5533</v>
      </c>
      <c r="N207" t="s">
        <v>107</v>
      </c>
      <c r="O207" t="s">
        <v>1047</v>
      </c>
      <c r="P207" t="s">
        <v>4782</v>
      </c>
      <c r="Q207" t="s">
        <v>1048</v>
      </c>
      <c r="R207" t="s">
        <v>1049</v>
      </c>
      <c r="S207" t="s">
        <v>1050</v>
      </c>
      <c r="T207" t="s">
        <v>4796</v>
      </c>
      <c r="U207" t="s">
        <v>4797</v>
      </c>
      <c r="V207" t="s">
        <v>5172</v>
      </c>
      <c r="W207" t="s">
        <v>4786</v>
      </c>
      <c r="X207" t="s">
        <v>4807</v>
      </c>
      <c r="Y207" t="s">
        <v>4800</v>
      </c>
      <c r="Z207" t="s">
        <v>5534</v>
      </c>
      <c r="AA207" t="s">
        <v>4864</v>
      </c>
      <c r="AB207" t="s">
        <v>5172</v>
      </c>
      <c r="AC207" t="s">
        <v>66</v>
      </c>
      <c r="AD207" t="s">
        <v>66</v>
      </c>
      <c r="AE207" t="s">
        <v>66</v>
      </c>
      <c r="AF207" t="s">
        <v>5535</v>
      </c>
      <c r="AG207" t="s">
        <v>5536</v>
      </c>
      <c r="AH207" t="s">
        <v>5535</v>
      </c>
      <c r="AI207" t="s">
        <v>5536</v>
      </c>
      <c r="AJ207" t="s">
        <v>5535</v>
      </c>
      <c r="AK207" t="s">
        <v>5536</v>
      </c>
      <c r="AL207" t="s">
        <v>4792</v>
      </c>
    </row>
    <row r="208" customHeight="1" spans="1:38">
      <c r="A208" t="s">
        <v>22</v>
      </c>
      <c r="B208" t="s">
        <v>49</v>
      </c>
      <c r="C208" t="s">
        <v>51</v>
      </c>
      <c r="D208" t="s">
        <v>22</v>
      </c>
      <c r="E208" t="s">
        <v>5531</v>
      </c>
      <c r="F208" t="s">
        <v>1046</v>
      </c>
      <c r="G208" t="s">
        <v>1047</v>
      </c>
      <c r="H208" t="s">
        <v>1047</v>
      </c>
      <c r="I208" t="s">
        <v>1048</v>
      </c>
      <c r="J208" t="s">
        <v>1049</v>
      </c>
      <c r="K208" t="s">
        <v>1050</v>
      </c>
      <c r="L208" t="s">
        <v>5532</v>
      </c>
      <c r="M208" t="s">
        <v>5533</v>
      </c>
      <c r="N208" t="s">
        <v>107</v>
      </c>
      <c r="O208" t="s">
        <v>1047</v>
      </c>
      <c r="P208" t="s">
        <v>4782</v>
      </c>
      <c r="Q208" t="s">
        <v>1048</v>
      </c>
      <c r="R208" t="s">
        <v>1049</v>
      </c>
      <c r="S208" t="s">
        <v>1050</v>
      </c>
      <c r="T208" t="s">
        <v>4796</v>
      </c>
      <c r="U208" t="s">
        <v>4805</v>
      </c>
      <c r="V208" t="s">
        <v>4806</v>
      </c>
      <c r="W208" t="s">
        <v>4786</v>
      </c>
      <c r="X208" t="s">
        <v>4828</v>
      </c>
      <c r="Y208" t="s">
        <v>4800</v>
      </c>
      <c r="Z208" t="s">
        <v>5537</v>
      </c>
      <c r="AA208" t="s">
        <v>5538</v>
      </c>
      <c r="AB208" t="s">
        <v>4831</v>
      </c>
      <c r="AC208" t="s">
        <v>66</v>
      </c>
      <c r="AD208" t="s">
        <v>66</v>
      </c>
      <c r="AE208" t="s">
        <v>66</v>
      </c>
      <c r="AF208" t="s">
        <v>5535</v>
      </c>
      <c r="AG208" t="s">
        <v>5539</v>
      </c>
      <c r="AH208" t="s">
        <v>5535</v>
      </c>
      <c r="AI208" t="s">
        <v>5539</v>
      </c>
      <c r="AJ208" t="s">
        <v>5535</v>
      </c>
      <c r="AK208" t="s">
        <v>5539</v>
      </c>
      <c r="AL208" t="s">
        <v>4792</v>
      </c>
    </row>
    <row r="209" customHeight="1" spans="1:38">
      <c r="A209" t="s">
        <v>22</v>
      </c>
      <c r="B209" t="s">
        <v>49</v>
      </c>
      <c r="C209" t="s">
        <v>51</v>
      </c>
      <c r="D209" t="s">
        <v>22</v>
      </c>
      <c r="E209" t="s">
        <v>5540</v>
      </c>
      <c r="F209" t="s">
        <v>1070</v>
      </c>
      <c r="G209" t="s">
        <v>1047</v>
      </c>
      <c r="H209" t="s">
        <v>1047</v>
      </c>
      <c r="I209" t="s">
        <v>1048</v>
      </c>
      <c r="J209" t="s">
        <v>1049</v>
      </c>
      <c r="K209" t="s">
        <v>1050</v>
      </c>
      <c r="L209" t="s">
        <v>5541</v>
      </c>
      <c r="M209" t="s">
        <v>5542</v>
      </c>
      <c r="N209" t="s">
        <v>107</v>
      </c>
      <c r="O209" t="s">
        <v>1047</v>
      </c>
      <c r="P209" t="s">
        <v>4782</v>
      </c>
      <c r="Q209" t="s">
        <v>1048</v>
      </c>
      <c r="R209" t="s">
        <v>1049</v>
      </c>
      <c r="S209" t="s">
        <v>1050</v>
      </c>
      <c r="T209" t="s">
        <v>4796</v>
      </c>
      <c r="U209" t="s">
        <v>4797</v>
      </c>
      <c r="V209" t="s">
        <v>4841</v>
      </c>
      <c r="W209" t="s">
        <v>4786</v>
      </c>
      <c r="X209" t="s">
        <v>4807</v>
      </c>
      <c r="Y209" t="s">
        <v>4800</v>
      </c>
      <c r="Z209" t="s">
        <v>4847</v>
      </c>
      <c r="AA209" t="s">
        <v>4848</v>
      </c>
      <c r="AB209" t="s">
        <v>4841</v>
      </c>
      <c r="AC209" t="s">
        <v>66</v>
      </c>
      <c r="AD209" t="s">
        <v>19</v>
      </c>
      <c r="AE209" t="s">
        <v>19</v>
      </c>
      <c r="AF209" t="s">
        <v>5136</v>
      </c>
      <c r="AG209" t="s">
        <v>5543</v>
      </c>
      <c r="AH209" t="s">
        <v>22</v>
      </c>
      <c r="AI209" t="s">
        <v>22</v>
      </c>
      <c r="AJ209" t="s">
        <v>22</v>
      </c>
      <c r="AK209" t="s">
        <v>22</v>
      </c>
      <c r="AL209" t="s">
        <v>4792</v>
      </c>
    </row>
    <row r="210" customHeight="1" spans="1:38">
      <c r="A210" t="s">
        <v>22</v>
      </c>
      <c r="B210" t="s">
        <v>49</v>
      </c>
      <c r="C210" t="s">
        <v>51</v>
      </c>
      <c r="D210" t="s">
        <v>22</v>
      </c>
      <c r="E210" t="s">
        <v>5540</v>
      </c>
      <c r="F210" t="s">
        <v>1070</v>
      </c>
      <c r="G210" t="s">
        <v>1047</v>
      </c>
      <c r="H210" t="s">
        <v>1047</v>
      </c>
      <c r="I210" t="s">
        <v>1048</v>
      </c>
      <c r="J210" t="s">
        <v>1049</v>
      </c>
      <c r="K210" t="s">
        <v>1050</v>
      </c>
      <c r="L210" t="s">
        <v>5541</v>
      </c>
      <c r="M210" t="s">
        <v>5542</v>
      </c>
      <c r="N210" t="s">
        <v>107</v>
      </c>
      <c r="O210" t="s">
        <v>1047</v>
      </c>
      <c r="P210" t="s">
        <v>4782</v>
      </c>
      <c r="Q210" t="s">
        <v>1048</v>
      </c>
      <c r="R210" t="s">
        <v>1049</v>
      </c>
      <c r="S210" t="s">
        <v>1050</v>
      </c>
      <c r="T210" t="s">
        <v>4796</v>
      </c>
      <c r="U210" t="s">
        <v>4805</v>
      </c>
      <c r="V210" t="s">
        <v>4806</v>
      </c>
      <c r="W210" t="s">
        <v>4786</v>
      </c>
      <c r="X210" t="s">
        <v>4807</v>
      </c>
      <c r="Y210" t="s">
        <v>4800</v>
      </c>
      <c r="Z210" t="s">
        <v>4836</v>
      </c>
      <c r="AA210" t="s">
        <v>4837</v>
      </c>
      <c r="AB210" t="s">
        <v>4838</v>
      </c>
      <c r="AC210" t="s">
        <v>66</v>
      </c>
      <c r="AD210" t="s">
        <v>19</v>
      </c>
      <c r="AE210" t="s">
        <v>19</v>
      </c>
      <c r="AF210" t="s">
        <v>5136</v>
      </c>
      <c r="AG210" t="s">
        <v>5543</v>
      </c>
      <c r="AH210" t="s">
        <v>22</v>
      </c>
      <c r="AI210" t="s">
        <v>22</v>
      </c>
      <c r="AJ210" t="s">
        <v>22</v>
      </c>
      <c r="AK210" t="s">
        <v>22</v>
      </c>
      <c r="AL210" t="s">
        <v>4792</v>
      </c>
    </row>
    <row r="211" customHeight="1" spans="1:38">
      <c r="A211" t="s">
        <v>22</v>
      </c>
      <c r="B211" t="s">
        <v>49</v>
      </c>
      <c r="C211" t="s">
        <v>51</v>
      </c>
      <c r="D211" t="s">
        <v>22</v>
      </c>
      <c r="E211" t="s">
        <v>5544</v>
      </c>
      <c r="F211" t="s">
        <v>1070</v>
      </c>
      <c r="G211" t="s">
        <v>1047</v>
      </c>
      <c r="H211" t="s">
        <v>1047</v>
      </c>
      <c r="I211" t="s">
        <v>1048</v>
      </c>
      <c r="J211" t="s">
        <v>1049</v>
      </c>
      <c r="K211" t="s">
        <v>1050</v>
      </c>
      <c r="L211" t="s">
        <v>5541</v>
      </c>
      <c r="M211" t="s">
        <v>5545</v>
      </c>
      <c r="N211" t="s">
        <v>107</v>
      </c>
      <c r="O211" t="s">
        <v>1047</v>
      </c>
      <c r="P211" t="s">
        <v>4782</v>
      </c>
      <c r="Q211" t="s">
        <v>1048</v>
      </c>
      <c r="R211" t="s">
        <v>1049</v>
      </c>
      <c r="S211" t="s">
        <v>1050</v>
      </c>
      <c r="T211" t="s">
        <v>4796</v>
      </c>
      <c r="U211" t="s">
        <v>4797</v>
      </c>
      <c r="V211" t="s">
        <v>4841</v>
      </c>
      <c r="W211" t="s">
        <v>4786</v>
      </c>
      <c r="X211" t="s">
        <v>4807</v>
      </c>
      <c r="Y211" t="s">
        <v>4800</v>
      </c>
      <c r="Z211" t="s">
        <v>5546</v>
      </c>
      <c r="AA211" t="s">
        <v>4856</v>
      </c>
      <c r="AB211" t="s">
        <v>4841</v>
      </c>
      <c r="AC211" t="s">
        <v>66</v>
      </c>
      <c r="AD211" t="s">
        <v>19</v>
      </c>
      <c r="AE211" t="s">
        <v>19</v>
      </c>
      <c r="AF211" t="s">
        <v>5547</v>
      </c>
      <c r="AG211" t="s">
        <v>5548</v>
      </c>
      <c r="AH211" t="s">
        <v>22</v>
      </c>
      <c r="AI211" t="s">
        <v>22</v>
      </c>
      <c r="AJ211" t="s">
        <v>22</v>
      </c>
      <c r="AK211" t="s">
        <v>22</v>
      </c>
      <c r="AL211" t="s">
        <v>4792</v>
      </c>
    </row>
    <row r="212" customHeight="1" spans="1:38">
      <c r="A212" t="s">
        <v>22</v>
      </c>
      <c r="B212" t="s">
        <v>49</v>
      </c>
      <c r="C212" t="s">
        <v>51</v>
      </c>
      <c r="D212" t="s">
        <v>22</v>
      </c>
      <c r="E212" t="s">
        <v>5549</v>
      </c>
      <c r="F212" t="s">
        <v>1046</v>
      </c>
      <c r="G212" t="s">
        <v>1047</v>
      </c>
      <c r="H212" t="s">
        <v>1047</v>
      </c>
      <c r="I212" t="s">
        <v>1048</v>
      </c>
      <c r="J212" t="s">
        <v>1049</v>
      </c>
      <c r="K212" t="s">
        <v>1050</v>
      </c>
      <c r="L212" t="s">
        <v>5550</v>
      </c>
      <c r="M212" t="s">
        <v>5551</v>
      </c>
      <c r="N212" t="s">
        <v>107</v>
      </c>
      <c r="O212" t="s">
        <v>1047</v>
      </c>
      <c r="P212" t="s">
        <v>4782</v>
      </c>
      <c r="Q212" t="s">
        <v>1048</v>
      </c>
      <c r="R212" t="s">
        <v>1049</v>
      </c>
      <c r="S212" t="s">
        <v>1050</v>
      </c>
      <c r="T212" t="s">
        <v>4796</v>
      </c>
      <c r="U212" t="s">
        <v>4797</v>
      </c>
      <c r="V212" t="s">
        <v>4814</v>
      </c>
      <c r="W212" t="s">
        <v>4786</v>
      </c>
      <c r="X212" t="s">
        <v>4807</v>
      </c>
      <c r="Y212" t="s">
        <v>4800</v>
      </c>
      <c r="Z212" t="s">
        <v>5552</v>
      </c>
      <c r="AA212" t="s">
        <v>4970</v>
      </c>
      <c r="AB212" t="s">
        <v>4814</v>
      </c>
      <c r="AC212" t="s">
        <v>66</v>
      </c>
      <c r="AD212" t="s">
        <v>66</v>
      </c>
      <c r="AE212" t="s">
        <v>66</v>
      </c>
      <c r="AF212" t="s">
        <v>5553</v>
      </c>
      <c r="AG212" t="s">
        <v>5554</v>
      </c>
      <c r="AH212" t="s">
        <v>5553</v>
      </c>
      <c r="AI212" t="s">
        <v>5554</v>
      </c>
      <c r="AJ212" t="s">
        <v>5553</v>
      </c>
      <c r="AK212" t="s">
        <v>5554</v>
      </c>
      <c r="AL212" t="s">
        <v>4792</v>
      </c>
    </row>
    <row r="213" customHeight="1" spans="1:38">
      <c r="A213" t="s">
        <v>22</v>
      </c>
      <c r="B213" t="s">
        <v>49</v>
      </c>
      <c r="C213" t="s">
        <v>51</v>
      </c>
      <c r="D213" t="s">
        <v>22</v>
      </c>
      <c r="E213" t="s">
        <v>5549</v>
      </c>
      <c r="F213" t="s">
        <v>1046</v>
      </c>
      <c r="G213" t="s">
        <v>1047</v>
      </c>
      <c r="H213" t="s">
        <v>1047</v>
      </c>
      <c r="I213" t="s">
        <v>1048</v>
      </c>
      <c r="J213" t="s">
        <v>1049</v>
      </c>
      <c r="K213" t="s">
        <v>1050</v>
      </c>
      <c r="L213" t="s">
        <v>5550</v>
      </c>
      <c r="M213" t="s">
        <v>5551</v>
      </c>
      <c r="N213" t="s">
        <v>107</v>
      </c>
      <c r="O213" t="s">
        <v>1047</v>
      </c>
      <c r="P213" t="s">
        <v>4782</v>
      </c>
      <c r="Q213" t="s">
        <v>1048</v>
      </c>
      <c r="R213" t="s">
        <v>1049</v>
      </c>
      <c r="S213" t="s">
        <v>1050</v>
      </c>
      <c r="T213" t="s">
        <v>4796</v>
      </c>
      <c r="U213" t="s">
        <v>4805</v>
      </c>
      <c r="V213" t="s">
        <v>4806</v>
      </c>
      <c r="W213" t="s">
        <v>4786</v>
      </c>
      <c r="X213" t="s">
        <v>4828</v>
      </c>
      <c r="Y213" t="s">
        <v>4800</v>
      </c>
      <c r="Z213" t="s">
        <v>5555</v>
      </c>
      <c r="AA213" t="s">
        <v>5556</v>
      </c>
      <c r="AB213" t="s">
        <v>4831</v>
      </c>
      <c r="AC213" t="s">
        <v>66</v>
      </c>
      <c r="AD213" t="s">
        <v>66</v>
      </c>
      <c r="AE213" t="s">
        <v>66</v>
      </c>
      <c r="AF213" t="s">
        <v>5553</v>
      </c>
      <c r="AG213" t="s">
        <v>5557</v>
      </c>
      <c r="AH213" t="s">
        <v>5553</v>
      </c>
      <c r="AI213" t="s">
        <v>5557</v>
      </c>
      <c r="AJ213" t="s">
        <v>5553</v>
      </c>
      <c r="AK213" t="s">
        <v>5557</v>
      </c>
      <c r="AL213" t="s">
        <v>4792</v>
      </c>
    </row>
    <row r="214" customHeight="1" spans="1:38">
      <c r="A214" t="s">
        <v>22</v>
      </c>
      <c r="B214" t="s">
        <v>49</v>
      </c>
      <c r="C214" t="s">
        <v>51</v>
      </c>
      <c r="D214" t="s">
        <v>22</v>
      </c>
      <c r="E214" t="s">
        <v>5558</v>
      </c>
      <c r="F214" t="s">
        <v>1046</v>
      </c>
      <c r="G214" t="s">
        <v>1047</v>
      </c>
      <c r="H214" t="s">
        <v>1047</v>
      </c>
      <c r="I214" t="s">
        <v>1048</v>
      </c>
      <c r="J214" t="s">
        <v>1049</v>
      </c>
      <c r="K214" t="s">
        <v>1050</v>
      </c>
      <c r="L214" t="s">
        <v>5559</v>
      </c>
      <c r="M214" t="s">
        <v>3550</v>
      </c>
      <c r="N214" t="s">
        <v>107</v>
      </c>
      <c r="O214" t="s">
        <v>1047</v>
      </c>
      <c r="P214" t="s">
        <v>4782</v>
      </c>
      <c r="Q214" t="s">
        <v>1048</v>
      </c>
      <c r="R214" t="s">
        <v>1049</v>
      </c>
      <c r="S214" t="s">
        <v>1050</v>
      </c>
      <c r="T214" t="s">
        <v>4796</v>
      </c>
      <c r="U214" t="s">
        <v>4797</v>
      </c>
      <c r="V214" t="s">
        <v>4798</v>
      </c>
      <c r="W214" t="s">
        <v>4786</v>
      </c>
      <c r="X214" t="s">
        <v>4807</v>
      </c>
      <c r="Y214" t="s">
        <v>4800</v>
      </c>
      <c r="Z214" t="s">
        <v>4847</v>
      </c>
      <c r="AA214" t="s">
        <v>4848</v>
      </c>
      <c r="AB214" t="s">
        <v>4798</v>
      </c>
      <c r="AC214" t="s">
        <v>66</v>
      </c>
      <c r="AD214" t="s">
        <v>66</v>
      </c>
      <c r="AE214" t="s">
        <v>66</v>
      </c>
      <c r="AF214" t="s">
        <v>5560</v>
      </c>
      <c r="AG214" t="s">
        <v>5561</v>
      </c>
      <c r="AH214" t="s">
        <v>5560</v>
      </c>
      <c r="AI214" t="s">
        <v>5561</v>
      </c>
      <c r="AJ214" t="s">
        <v>5560</v>
      </c>
      <c r="AK214" t="s">
        <v>5561</v>
      </c>
      <c r="AL214" t="s">
        <v>4792</v>
      </c>
    </row>
    <row r="215" customHeight="1" spans="1:38">
      <c r="A215" t="s">
        <v>22</v>
      </c>
      <c r="B215" t="s">
        <v>49</v>
      </c>
      <c r="C215" t="s">
        <v>51</v>
      </c>
      <c r="D215" t="s">
        <v>22</v>
      </c>
      <c r="E215" t="s">
        <v>5562</v>
      </c>
      <c r="F215" t="s">
        <v>1046</v>
      </c>
      <c r="G215" t="s">
        <v>1047</v>
      </c>
      <c r="H215" t="s">
        <v>1047</v>
      </c>
      <c r="I215" t="s">
        <v>1048</v>
      </c>
      <c r="J215" t="s">
        <v>1049</v>
      </c>
      <c r="K215" t="s">
        <v>1050</v>
      </c>
      <c r="L215" t="s">
        <v>5563</v>
      </c>
      <c r="M215" t="s">
        <v>5564</v>
      </c>
      <c r="N215" t="s">
        <v>107</v>
      </c>
      <c r="O215" t="s">
        <v>1047</v>
      </c>
      <c r="P215" t="s">
        <v>4782</v>
      </c>
      <c r="Q215" t="s">
        <v>1048</v>
      </c>
      <c r="R215" t="s">
        <v>1049</v>
      </c>
      <c r="S215" t="s">
        <v>1050</v>
      </c>
      <c r="T215" t="s">
        <v>4796</v>
      </c>
      <c r="U215" t="s">
        <v>4805</v>
      </c>
      <c r="V215" t="s">
        <v>4806</v>
      </c>
      <c r="W215" t="s">
        <v>4786</v>
      </c>
      <c r="X215" t="s">
        <v>4828</v>
      </c>
      <c r="Y215" t="s">
        <v>4800</v>
      </c>
      <c r="Z215" t="s">
        <v>5565</v>
      </c>
      <c r="AA215" t="s">
        <v>4966</v>
      </c>
      <c r="AB215" t="s">
        <v>4831</v>
      </c>
      <c r="AC215" t="s">
        <v>66</v>
      </c>
      <c r="AD215" t="s">
        <v>66</v>
      </c>
      <c r="AE215" t="s">
        <v>66</v>
      </c>
      <c r="AF215" t="s">
        <v>4816</v>
      </c>
      <c r="AG215" t="s">
        <v>5566</v>
      </c>
      <c r="AH215" t="s">
        <v>4816</v>
      </c>
      <c r="AI215" t="s">
        <v>5566</v>
      </c>
      <c r="AJ215" t="s">
        <v>4816</v>
      </c>
      <c r="AK215" t="s">
        <v>5566</v>
      </c>
      <c r="AL215" t="s">
        <v>4792</v>
      </c>
    </row>
    <row r="216" customHeight="1" spans="1:38">
      <c r="A216" t="s">
        <v>22</v>
      </c>
      <c r="B216" t="s">
        <v>49</v>
      </c>
      <c r="C216" t="s">
        <v>51</v>
      </c>
      <c r="D216" t="s">
        <v>22</v>
      </c>
      <c r="E216" t="s">
        <v>5562</v>
      </c>
      <c r="F216" t="s">
        <v>1046</v>
      </c>
      <c r="G216" t="s">
        <v>1047</v>
      </c>
      <c r="H216" t="s">
        <v>1047</v>
      </c>
      <c r="I216" t="s">
        <v>1048</v>
      </c>
      <c r="J216" t="s">
        <v>1049</v>
      </c>
      <c r="K216" t="s">
        <v>1050</v>
      </c>
      <c r="L216" t="s">
        <v>5563</v>
      </c>
      <c r="M216" t="s">
        <v>5564</v>
      </c>
      <c r="N216" t="s">
        <v>107</v>
      </c>
      <c r="O216" t="s">
        <v>1047</v>
      </c>
      <c r="P216" t="s">
        <v>4782</v>
      </c>
      <c r="Q216" t="s">
        <v>1048</v>
      </c>
      <c r="R216" t="s">
        <v>1049</v>
      </c>
      <c r="S216" t="s">
        <v>1050</v>
      </c>
      <c r="T216" t="s">
        <v>4796</v>
      </c>
      <c r="U216" t="s">
        <v>4797</v>
      </c>
      <c r="V216" t="s">
        <v>5172</v>
      </c>
      <c r="W216" t="s">
        <v>4786</v>
      </c>
      <c r="X216" t="s">
        <v>4807</v>
      </c>
      <c r="Y216" t="s">
        <v>4800</v>
      </c>
      <c r="Z216" t="s">
        <v>5567</v>
      </c>
      <c r="AA216" t="s">
        <v>4889</v>
      </c>
      <c r="AB216" t="s">
        <v>5172</v>
      </c>
      <c r="AC216" t="s">
        <v>66</v>
      </c>
      <c r="AD216" t="s">
        <v>66</v>
      </c>
      <c r="AE216" t="s">
        <v>66</v>
      </c>
      <c r="AF216" t="s">
        <v>4816</v>
      </c>
      <c r="AG216" t="s">
        <v>5568</v>
      </c>
      <c r="AH216" t="s">
        <v>4816</v>
      </c>
      <c r="AI216" t="s">
        <v>5568</v>
      </c>
      <c r="AJ216" t="s">
        <v>4816</v>
      </c>
      <c r="AK216" t="s">
        <v>5568</v>
      </c>
      <c r="AL216" t="s">
        <v>4792</v>
      </c>
    </row>
    <row r="217" customHeight="1" spans="1:38">
      <c r="A217" t="s">
        <v>22</v>
      </c>
      <c r="B217" t="s">
        <v>49</v>
      </c>
      <c r="C217" t="s">
        <v>51</v>
      </c>
      <c r="D217" t="s">
        <v>22</v>
      </c>
      <c r="E217" t="s">
        <v>5569</v>
      </c>
      <c r="F217" t="s">
        <v>1046</v>
      </c>
      <c r="G217" t="s">
        <v>1047</v>
      </c>
      <c r="H217" t="s">
        <v>1047</v>
      </c>
      <c r="I217" t="s">
        <v>1048</v>
      </c>
      <c r="J217" t="s">
        <v>1049</v>
      </c>
      <c r="K217" t="s">
        <v>1050</v>
      </c>
      <c r="L217" t="s">
        <v>5563</v>
      </c>
      <c r="M217" t="s">
        <v>5570</v>
      </c>
      <c r="N217" t="s">
        <v>107</v>
      </c>
      <c r="O217" t="s">
        <v>1047</v>
      </c>
      <c r="P217" t="s">
        <v>4782</v>
      </c>
      <c r="Q217" t="s">
        <v>1048</v>
      </c>
      <c r="R217" t="s">
        <v>1049</v>
      </c>
      <c r="S217" t="s">
        <v>1050</v>
      </c>
      <c r="T217" t="s">
        <v>4796</v>
      </c>
      <c r="U217" t="s">
        <v>4797</v>
      </c>
      <c r="V217" t="s">
        <v>5172</v>
      </c>
      <c r="W217" t="s">
        <v>4786</v>
      </c>
      <c r="X217" t="s">
        <v>4807</v>
      </c>
      <c r="Y217" t="s">
        <v>4800</v>
      </c>
      <c r="Z217" t="s">
        <v>5571</v>
      </c>
      <c r="AA217" t="s">
        <v>5210</v>
      </c>
      <c r="AB217" t="s">
        <v>5172</v>
      </c>
      <c r="AC217" t="s">
        <v>66</v>
      </c>
      <c r="AD217" t="s">
        <v>66</v>
      </c>
      <c r="AE217" t="s">
        <v>66</v>
      </c>
      <c r="AF217" t="s">
        <v>5136</v>
      </c>
      <c r="AG217" t="s">
        <v>5572</v>
      </c>
      <c r="AH217" t="s">
        <v>5136</v>
      </c>
      <c r="AI217" t="s">
        <v>5572</v>
      </c>
      <c r="AJ217" t="s">
        <v>5136</v>
      </c>
      <c r="AK217" t="s">
        <v>5572</v>
      </c>
      <c r="AL217" t="s">
        <v>4792</v>
      </c>
    </row>
    <row r="218" customHeight="1" spans="1:38">
      <c r="A218" t="s">
        <v>22</v>
      </c>
      <c r="B218" t="s">
        <v>49</v>
      </c>
      <c r="C218" t="s">
        <v>51</v>
      </c>
      <c r="D218" t="s">
        <v>22</v>
      </c>
      <c r="E218" t="s">
        <v>5569</v>
      </c>
      <c r="F218" t="s">
        <v>1046</v>
      </c>
      <c r="G218" t="s">
        <v>1047</v>
      </c>
      <c r="H218" t="s">
        <v>1047</v>
      </c>
      <c r="I218" t="s">
        <v>1048</v>
      </c>
      <c r="J218" t="s">
        <v>1049</v>
      </c>
      <c r="K218" t="s">
        <v>1050</v>
      </c>
      <c r="L218" t="s">
        <v>5563</v>
      </c>
      <c r="M218" t="s">
        <v>5570</v>
      </c>
      <c r="N218" t="s">
        <v>107</v>
      </c>
      <c r="O218" t="s">
        <v>1047</v>
      </c>
      <c r="P218" t="s">
        <v>4782</v>
      </c>
      <c r="Q218" t="s">
        <v>1048</v>
      </c>
      <c r="R218" t="s">
        <v>1049</v>
      </c>
      <c r="S218" t="s">
        <v>1050</v>
      </c>
      <c r="T218" t="s">
        <v>4796</v>
      </c>
      <c r="U218" t="s">
        <v>4805</v>
      </c>
      <c r="V218" t="s">
        <v>4806</v>
      </c>
      <c r="W218" t="s">
        <v>4786</v>
      </c>
      <c r="X218" t="s">
        <v>4828</v>
      </c>
      <c r="Y218" t="s">
        <v>4800</v>
      </c>
      <c r="Z218" t="s">
        <v>5573</v>
      </c>
      <c r="AA218" t="s">
        <v>5383</v>
      </c>
      <c r="AB218" t="s">
        <v>4831</v>
      </c>
      <c r="AC218" t="s">
        <v>66</v>
      </c>
      <c r="AD218" t="s">
        <v>66</v>
      </c>
      <c r="AE218" t="s">
        <v>66</v>
      </c>
      <c r="AF218" t="s">
        <v>5136</v>
      </c>
      <c r="AG218" t="s">
        <v>5574</v>
      </c>
      <c r="AH218" t="s">
        <v>5136</v>
      </c>
      <c r="AI218" t="s">
        <v>5574</v>
      </c>
      <c r="AJ218" t="s">
        <v>5136</v>
      </c>
      <c r="AK218" t="s">
        <v>5574</v>
      </c>
      <c r="AL218" t="s">
        <v>4792</v>
      </c>
    </row>
    <row r="219" customHeight="1" spans="1:38">
      <c r="A219" t="s">
        <v>22</v>
      </c>
      <c r="B219" t="s">
        <v>49</v>
      </c>
      <c r="C219" t="s">
        <v>51</v>
      </c>
      <c r="D219" t="s">
        <v>22</v>
      </c>
      <c r="E219" t="s">
        <v>5575</v>
      </c>
      <c r="F219" t="s">
        <v>1070</v>
      </c>
      <c r="G219" t="s">
        <v>1047</v>
      </c>
      <c r="H219" t="s">
        <v>1047</v>
      </c>
      <c r="I219" t="s">
        <v>1048</v>
      </c>
      <c r="J219" t="s">
        <v>1049</v>
      </c>
      <c r="K219" t="s">
        <v>1050</v>
      </c>
      <c r="L219" t="s">
        <v>5576</v>
      </c>
      <c r="M219" t="s">
        <v>1100</v>
      </c>
      <c r="N219" t="s">
        <v>107</v>
      </c>
      <c r="O219" t="s">
        <v>1047</v>
      </c>
      <c r="P219" t="s">
        <v>4782</v>
      </c>
      <c r="Q219" t="s">
        <v>1048</v>
      </c>
      <c r="R219" t="s">
        <v>1049</v>
      </c>
      <c r="S219" t="s">
        <v>1050</v>
      </c>
      <c r="T219" t="s">
        <v>4796</v>
      </c>
      <c r="U219" t="s">
        <v>4805</v>
      </c>
      <c r="V219" t="s">
        <v>4806</v>
      </c>
      <c r="W219" t="s">
        <v>4786</v>
      </c>
      <c r="X219" t="s">
        <v>4828</v>
      </c>
      <c r="Y219" t="s">
        <v>4800</v>
      </c>
      <c r="Z219" t="s">
        <v>5577</v>
      </c>
      <c r="AA219" t="s">
        <v>5197</v>
      </c>
      <c r="AB219" t="s">
        <v>5147</v>
      </c>
      <c r="AC219" t="s">
        <v>66</v>
      </c>
      <c r="AD219" t="s">
        <v>19</v>
      </c>
      <c r="AE219" t="s">
        <v>19</v>
      </c>
      <c r="AF219" t="s">
        <v>5578</v>
      </c>
      <c r="AG219" t="s">
        <v>5579</v>
      </c>
      <c r="AH219" t="s">
        <v>22</v>
      </c>
      <c r="AI219" t="s">
        <v>22</v>
      </c>
      <c r="AJ219" t="s">
        <v>22</v>
      </c>
      <c r="AK219" t="s">
        <v>22</v>
      </c>
      <c r="AL219" t="s">
        <v>4792</v>
      </c>
    </row>
    <row r="220" customHeight="1" spans="1:38">
      <c r="A220" t="s">
        <v>22</v>
      </c>
      <c r="B220" t="s">
        <v>49</v>
      </c>
      <c r="C220" t="s">
        <v>51</v>
      </c>
      <c r="D220" t="s">
        <v>22</v>
      </c>
      <c r="E220" t="s">
        <v>5575</v>
      </c>
      <c r="F220" t="s">
        <v>1070</v>
      </c>
      <c r="G220" t="s">
        <v>1047</v>
      </c>
      <c r="H220" t="s">
        <v>1047</v>
      </c>
      <c r="I220" t="s">
        <v>1048</v>
      </c>
      <c r="J220" t="s">
        <v>1049</v>
      </c>
      <c r="K220" t="s">
        <v>1050</v>
      </c>
      <c r="L220" t="s">
        <v>5576</v>
      </c>
      <c r="M220" t="s">
        <v>1100</v>
      </c>
      <c r="N220" t="s">
        <v>107</v>
      </c>
      <c r="O220" t="s">
        <v>1047</v>
      </c>
      <c r="P220" t="s">
        <v>4782</v>
      </c>
      <c r="Q220" t="s">
        <v>1048</v>
      </c>
      <c r="R220" t="s">
        <v>1049</v>
      </c>
      <c r="S220" t="s">
        <v>1050</v>
      </c>
      <c r="T220" t="s">
        <v>4796</v>
      </c>
      <c r="U220" t="s">
        <v>4797</v>
      </c>
      <c r="V220" t="s">
        <v>4841</v>
      </c>
      <c r="W220" t="s">
        <v>4786</v>
      </c>
      <c r="X220" t="s">
        <v>4807</v>
      </c>
      <c r="Y220" t="s">
        <v>4800</v>
      </c>
      <c r="Z220" t="s">
        <v>5580</v>
      </c>
      <c r="AA220" t="s">
        <v>5581</v>
      </c>
      <c r="AB220" t="s">
        <v>4841</v>
      </c>
      <c r="AC220" t="s">
        <v>66</v>
      </c>
      <c r="AD220" t="s">
        <v>19</v>
      </c>
      <c r="AE220" t="s">
        <v>19</v>
      </c>
      <c r="AF220" t="s">
        <v>5578</v>
      </c>
      <c r="AG220" t="s">
        <v>5579</v>
      </c>
      <c r="AH220" t="s">
        <v>22</v>
      </c>
      <c r="AI220" t="s">
        <v>22</v>
      </c>
      <c r="AJ220" t="s">
        <v>22</v>
      </c>
      <c r="AK220" t="s">
        <v>22</v>
      </c>
      <c r="AL220" t="s">
        <v>4792</v>
      </c>
    </row>
    <row r="221" customHeight="1" spans="1:38">
      <c r="A221" t="s">
        <v>22</v>
      </c>
      <c r="B221" t="s">
        <v>49</v>
      </c>
      <c r="C221" t="s">
        <v>51</v>
      </c>
      <c r="D221" t="s">
        <v>22</v>
      </c>
      <c r="E221" t="s">
        <v>5582</v>
      </c>
      <c r="F221" t="s">
        <v>1046</v>
      </c>
      <c r="G221" t="s">
        <v>1047</v>
      </c>
      <c r="H221" t="s">
        <v>1047</v>
      </c>
      <c r="I221" t="s">
        <v>1048</v>
      </c>
      <c r="J221" t="s">
        <v>1049</v>
      </c>
      <c r="K221" t="s">
        <v>1050</v>
      </c>
      <c r="L221" t="s">
        <v>5583</v>
      </c>
      <c r="M221" t="s">
        <v>107</v>
      </c>
      <c r="N221" t="s">
        <v>107</v>
      </c>
      <c r="O221" t="s">
        <v>1047</v>
      </c>
      <c r="P221" t="s">
        <v>4782</v>
      </c>
      <c r="Q221" t="s">
        <v>1048</v>
      </c>
      <c r="R221" t="s">
        <v>1049</v>
      </c>
      <c r="S221" t="s">
        <v>1050</v>
      </c>
      <c r="T221" t="s">
        <v>4796</v>
      </c>
      <c r="U221" t="s">
        <v>4797</v>
      </c>
      <c r="V221" t="s">
        <v>4798</v>
      </c>
      <c r="W221" t="s">
        <v>4786</v>
      </c>
      <c r="X221" t="s">
        <v>4807</v>
      </c>
      <c r="Y221" t="s">
        <v>4800</v>
      </c>
      <c r="Z221" t="s">
        <v>4847</v>
      </c>
      <c r="AA221" t="s">
        <v>4848</v>
      </c>
      <c r="AB221" t="s">
        <v>4798</v>
      </c>
      <c r="AC221" t="s">
        <v>66</v>
      </c>
      <c r="AD221" t="s">
        <v>66</v>
      </c>
      <c r="AE221" t="s">
        <v>66</v>
      </c>
      <c r="AF221" t="s">
        <v>4857</v>
      </c>
      <c r="AG221" t="s">
        <v>5584</v>
      </c>
      <c r="AH221" t="s">
        <v>4857</v>
      </c>
      <c r="AI221" t="s">
        <v>5584</v>
      </c>
      <c r="AJ221" t="s">
        <v>4857</v>
      </c>
      <c r="AK221" t="s">
        <v>5584</v>
      </c>
      <c r="AL221" t="s">
        <v>4792</v>
      </c>
    </row>
    <row r="222" customHeight="1" spans="1:38">
      <c r="A222" t="s">
        <v>22</v>
      </c>
      <c r="B222" t="s">
        <v>49</v>
      </c>
      <c r="C222" t="s">
        <v>51</v>
      </c>
      <c r="D222" t="s">
        <v>22</v>
      </c>
      <c r="E222" t="s">
        <v>5582</v>
      </c>
      <c r="F222" t="s">
        <v>1046</v>
      </c>
      <c r="G222" t="s">
        <v>1047</v>
      </c>
      <c r="H222" t="s">
        <v>1047</v>
      </c>
      <c r="I222" t="s">
        <v>1048</v>
      </c>
      <c r="J222" t="s">
        <v>1049</v>
      </c>
      <c r="K222" t="s">
        <v>1050</v>
      </c>
      <c r="L222" t="s">
        <v>5583</v>
      </c>
      <c r="M222" t="s">
        <v>107</v>
      </c>
      <c r="N222" t="s">
        <v>107</v>
      </c>
      <c r="O222" t="s">
        <v>1047</v>
      </c>
      <c r="P222" t="s">
        <v>4782</v>
      </c>
      <c r="Q222" t="s">
        <v>1048</v>
      </c>
      <c r="R222" t="s">
        <v>1049</v>
      </c>
      <c r="S222" t="s">
        <v>1050</v>
      </c>
      <c r="T222" t="s">
        <v>4796</v>
      </c>
      <c r="U222" t="s">
        <v>4805</v>
      </c>
      <c r="V222" t="s">
        <v>4806</v>
      </c>
      <c r="W222" t="s">
        <v>4786</v>
      </c>
      <c r="X222" t="s">
        <v>4807</v>
      </c>
      <c r="Y222" t="s">
        <v>4800</v>
      </c>
      <c r="Z222" t="s">
        <v>4836</v>
      </c>
      <c r="AA222" t="s">
        <v>4837</v>
      </c>
      <c r="AB222" t="s">
        <v>4838</v>
      </c>
      <c r="AC222" t="s">
        <v>66</v>
      </c>
      <c r="AD222" t="s">
        <v>66</v>
      </c>
      <c r="AE222" t="s">
        <v>66</v>
      </c>
      <c r="AF222" t="s">
        <v>4857</v>
      </c>
      <c r="AG222" t="s">
        <v>5584</v>
      </c>
      <c r="AH222" t="s">
        <v>4857</v>
      </c>
      <c r="AI222" t="s">
        <v>5584</v>
      </c>
      <c r="AJ222" t="s">
        <v>4857</v>
      </c>
      <c r="AK222" t="s">
        <v>5584</v>
      </c>
      <c r="AL222" t="s">
        <v>4792</v>
      </c>
    </row>
    <row r="223" customHeight="1" spans="1:38">
      <c r="A223" t="s">
        <v>22</v>
      </c>
      <c r="B223" t="s">
        <v>49</v>
      </c>
      <c r="C223" t="s">
        <v>51</v>
      </c>
      <c r="D223" t="s">
        <v>22</v>
      </c>
      <c r="E223" t="s">
        <v>5585</v>
      </c>
      <c r="F223" t="s">
        <v>1046</v>
      </c>
      <c r="G223" t="s">
        <v>1047</v>
      </c>
      <c r="H223" t="s">
        <v>1047</v>
      </c>
      <c r="I223" t="s">
        <v>1048</v>
      </c>
      <c r="J223" t="s">
        <v>1049</v>
      </c>
      <c r="K223" t="s">
        <v>1050</v>
      </c>
      <c r="L223" t="s">
        <v>5586</v>
      </c>
      <c r="M223" t="s">
        <v>5587</v>
      </c>
      <c r="N223" t="s">
        <v>107</v>
      </c>
      <c r="O223" t="s">
        <v>1047</v>
      </c>
      <c r="P223" t="s">
        <v>4782</v>
      </c>
      <c r="Q223" t="s">
        <v>1048</v>
      </c>
      <c r="R223" t="s">
        <v>1049</v>
      </c>
      <c r="S223" t="s">
        <v>1050</v>
      </c>
      <c r="T223" t="s">
        <v>4796</v>
      </c>
      <c r="U223" t="s">
        <v>4797</v>
      </c>
      <c r="V223" t="s">
        <v>4798</v>
      </c>
      <c r="W223" t="s">
        <v>4786</v>
      </c>
      <c r="X223" t="s">
        <v>4807</v>
      </c>
      <c r="Y223" t="s">
        <v>4800</v>
      </c>
      <c r="Z223" t="s">
        <v>5588</v>
      </c>
      <c r="AA223" t="s">
        <v>5589</v>
      </c>
      <c r="AB223" t="s">
        <v>4798</v>
      </c>
      <c r="AC223" t="s">
        <v>66</v>
      </c>
      <c r="AD223" t="s">
        <v>66</v>
      </c>
      <c r="AE223" t="s">
        <v>66</v>
      </c>
      <c r="AF223" t="s">
        <v>5211</v>
      </c>
      <c r="AG223" t="s">
        <v>5590</v>
      </c>
      <c r="AH223" t="s">
        <v>5211</v>
      </c>
      <c r="AI223" t="s">
        <v>5590</v>
      </c>
      <c r="AJ223" t="s">
        <v>5211</v>
      </c>
      <c r="AK223" t="s">
        <v>5590</v>
      </c>
      <c r="AL223" t="s">
        <v>4792</v>
      </c>
    </row>
    <row r="224" customHeight="1" spans="1:38">
      <c r="A224" t="s">
        <v>22</v>
      </c>
      <c r="B224" t="s">
        <v>49</v>
      </c>
      <c r="C224" t="s">
        <v>51</v>
      </c>
      <c r="D224" t="s">
        <v>22</v>
      </c>
      <c r="E224" t="s">
        <v>5585</v>
      </c>
      <c r="F224" t="s">
        <v>1046</v>
      </c>
      <c r="G224" t="s">
        <v>1047</v>
      </c>
      <c r="H224" t="s">
        <v>1047</v>
      </c>
      <c r="I224" t="s">
        <v>1048</v>
      </c>
      <c r="J224" t="s">
        <v>1049</v>
      </c>
      <c r="K224" t="s">
        <v>1050</v>
      </c>
      <c r="L224" t="s">
        <v>5586</v>
      </c>
      <c r="M224" t="s">
        <v>5587</v>
      </c>
      <c r="N224" t="s">
        <v>107</v>
      </c>
      <c r="O224" t="s">
        <v>1047</v>
      </c>
      <c r="P224" t="s">
        <v>4782</v>
      </c>
      <c r="Q224" t="s">
        <v>1048</v>
      </c>
      <c r="R224" t="s">
        <v>1049</v>
      </c>
      <c r="S224" t="s">
        <v>1050</v>
      </c>
      <c r="T224" t="s">
        <v>4796</v>
      </c>
      <c r="U224" t="s">
        <v>4805</v>
      </c>
      <c r="V224" t="s">
        <v>4806</v>
      </c>
      <c r="W224" t="s">
        <v>4786</v>
      </c>
      <c r="X224" t="s">
        <v>4828</v>
      </c>
      <c r="Y224" t="s">
        <v>4800</v>
      </c>
      <c r="Z224" t="s">
        <v>5591</v>
      </c>
      <c r="AA224" t="s">
        <v>5592</v>
      </c>
      <c r="AB224" t="s">
        <v>4936</v>
      </c>
      <c r="AC224" t="s">
        <v>66</v>
      </c>
      <c r="AD224" t="s">
        <v>66</v>
      </c>
      <c r="AE224" t="s">
        <v>66</v>
      </c>
      <c r="AF224" t="s">
        <v>5211</v>
      </c>
      <c r="AG224" t="s">
        <v>5593</v>
      </c>
      <c r="AH224" t="s">
        <v>5211</v>
      </c>
      <c r="AI224" t="s">
        <v>5593</v>
      </c>
      <c r="AJ224" t="s">
        <v>5211</v>
      </c>
      <c r="AK224" t="s">
        <v>5593</v>
      </c>
      <c r="AL224" t="s">
        <v>4792</v>
      </c>
    </row>
    <row r="225" customHeight="1" spans="1:38">
      <c r="A225" t="s">
        <v>22</v>
      </c>
      <c r="B225" t="s">
        <v>49</v>
      </c>
      <c r="C225" t="s">
        <v>51</v>
      </c>
      <c r="D225" t="s">
        <v>22</v>
      </c>
      <c r="E225" t="s">
        <v>5594</v>
      </c>
      <c r="F225" t="s">
        <v>1046</v>
      </c>
      <c r="G225" t="s">
        <v>1047</v>
      </c>
      <c r="H225" t="s">
        <v>1047</v>
      </c>
      <c r="I225" t="s">
        <v>1048</v>
      </c>
      <c r="J225" t="s">
        <v>1049</v>
      </c>
      <c r="K225" t="s">
        <v>1050</v>
      </c>
      <c r="L225" t="s">
        <v>5595</v>
      </c>
      <c r="M225" t="s">
        <v>1152</v>
      </c>
      <c r="N225" t="s">
        <v>107</v>
      </c>
      <c r="O225" t="s">
        <v>1047</v>
      </c>
      <c r="P225" t="s">
        <v>4782</v>
      </c>
      <c r="Q225" t="s">
        <v>1048</v>
      </c>
      <c r="R225" t="s">
        <v>1049</v>
      </c>
      <c r="S225" t="s">
        <v>1050</v>
      </c>
      <c r="T225" t="s">
        <v>4796</v>
      </c>
      <c r="U225" t="s">
        <v>4797</v>
      </c>
      <c r="V225" t="s">
        <v>5172</v>
      </c>
      <c r="W225" t="s">
        <v>4786</v>
      </c>
      <c r="X225" t="s">
        <v>4807</v>
      </c>
      <c r="Y225" t="s">
        <v>4800</v>
      </c>
      <c r="Z225" t="s">
        <v>4847</v>
      </c>
      <c r="AA225" t="s">
        <v>4848</v>
      </c>
      <c r="AB225" t="s">
        <v>5172</v>
      </c>
      <c r="AC225" t="s">
        <v>66</v>
      </c>
      <c r="AD225" t="s">
        <v>66</v>
      </c>
      <c r="AE225" t="s">
        <v>66</v>
      </c>
      <c r="AF225" t="s">
        <v>4849</v>
      </c>
      <c r="AG225" t="s">
        <v>5596</v>
      </c>
      <c r="AH225" t="s">
        <v>5597</v>
      </c>
      <c r="AI225" t="s">
        <v>5596</v>
      </c>
      <c r="AJ225" t="s">
        <v>5597</v>
      </c>
      <c r="AK225" t="s">
        <v>5596</v>
      </c>
      <c r="AL225" t="s">
        <v>4792</v>
      </c>
    </row>
    <row r="226" customHeight="1" spans="1:38">
      <c r="A226" t="s">
        <v>22</v>
      </c>
      <c r="B226" t="s">
        <v>49</v>
      </c>
      <c r="C226" t="s">
        <v>51</v>
      </c>
      <c r="D226" t="s">
        <v>22</v>
      </c>
      <c r="E226" t="s">
        <v>5594</v>
      </c>
      <c r="F226" t="s">
        <v>1046</v>
      </c>
      <c r="G226" t="s">
        <v>1047</v>
      </c>
      <c r="H226" t="s">
        <v>1047</v>
      </c>
      <c r="I226" t="s">
        <v>1048</v>
      </c>
      <c r="J226" t="s">
        <v>1049</v>
      </c>
      <c r="K226" t="s">
        <v>1050</v>
      </c>
      <c r="L226" t="s">
        <v>5595</v>
      </c>
      <c r="M226" t="s">
        <v>1152</v>
      </c>
      <c r="N226" t="s">
        <v>107</v>
      </c>
      <c r="O226" t="s">
        <v>1047</v>
      </c>
      <c r="P226" t="s">
        <v>4782</v>
      </c>
      <c r="Q226" t="s">
        <v>1048</v>
      </c>
      <c r="R226" t="s">
        <v>1049</v>
      </c>
      <c r="S226" t="s">
        <v>1050</v>
      </c>
      <c r="T226" t="s">
        <v>4796</v>
      </c>
      <c r="U226" t="s">
        <v>4805</v>
      </c>
      <c r="V226" t="s">
        <v>4806</v>
      </c>
      <c r="W226" t="s">
        <v>4786</v>
      </c>
      <c r="X226" t="s">
        <v>4820</v>
      </c>
      <c r="Y226" t="s">
        <v>4800</v>
      </c>
      <c r="Z226" t="s">
        <v>3773</v>
      </c>
      <c r="AA226" t="s">
        <v>5598</v>
      </c>
      <c r="AB226" t="s">
        <v>5599</v>
      </c>
      <c r="AC226" t="s">
        <v>66</v>
      </c>
      <c r="AD226" t="s">
        <v>66</v>
      </c>
      <c r="AE226" t="s">
        <v>66</v>
      </c>
      <c r="AF226" t="s">
        <v>4849</v>
      </c>
      <c r="AG226" t="s">
        <v>5600</v>
      </c>
      <c r="AH226" t="s">
        <v>5597</v>
      </c>
      <c r="AI226" t="s">
        <v>5600</v>
      </c>
      <c r="AJ226" t="s">
        <v>5597</v>
      </c>
      <c r="AK226" t="s">
        <v>5600</v>
      </c>
      <c r="AL226" t="s">
        <v>4792</v>
      </c>
    </row>
    <row r="227" customHeight="1" spans="1:38">
      <c r="A227" t="s">
        <v>22</v>
      </c>
      <c r="B227" t="s">
        <v>49</v>
      </c>
      <c r="C227" t="s">
        <v>51</v>
      </c>
      <c r="D227" t="s">
        <v>22</v>
      </c>
      <c r="E227" t="s">
        <v>5601</v>
      </c>
      <c r="F227" t="s">
        <v>1046</v>
      </c>
      <c r="G227" t="s">
        <v>1047</v>
      </c>
      <c r="H227" t="s">
        <v>1047</v>
      </c>
      <c r="I227" t="s">
        <v>1048</v>
      </c>
      <c r="J227" t="s">
        <v>1049</v>
      </c>
      <c r="K227" t="s">
        <v>1050</v>
      </c>
      <c r="L227" t="s">
        <v>5602</v>
      </c>
      <c r="M227" t="s">
        <v>1131</v>
      </c>
      <c r="N227" t="s">
        <v>107</v>
      </c>
      <c r="O227" t="s">
        <v>1047</v>
      </c>
      <c r="P227" t="s">
        <v>4782</v>
      </c>
      <c r="Q227" t="s">
        <v>1048</v>
      </c>
      <c r="R227" t="s">
        <v>1049</v>
      </c>
      <c r="S227" t="s">
        <v>1050</v>
      </c>
      <c r="T227" t="s">
        <v>4796</v>
      </c>
      <c r="U227" t="s">
        <v>4805</v>
      </c>
      <c r="V227" t="s">
        <v>4806</v>
      </c>
      <c r="W227" t="s">
        <v>4786</v>
      </c>
      <c r="X227" t="s">
        <v>4807</v>
      </c>
      <c r="Y227" t="s">
        <v>4800</v>
      </c>
      <c r="Z227" t="s">
        <v>4836</v>
      </c>
      <c r="AA227" t="s">
        <v>4837</v>
      </c>
      <c r="AB227" t="s">
        <v>4838</v>
      </c>
      <c r="AC227" t="s">
        <v>66</v>
      </c>
      <c r="AD227" t="s">
        <v>66</v>
      </c>
      <c r="AE227" t="s">
        <v>66</v>
      </c>
      <c r="AF227" t="s">
        <v>5603</v>
      </c>
      <c r="AG227" t="s">
        <v>5604</v>
      </c>
      <c r="AH227" t="s">
        <v>5603</v>
      </c>
      <c r="AI227" t="s">
        <v>5604</v>
      </c>
      <c r="AJ227" t="s">
        <v>5603</v>
      </c>
      <c r="AK227" t="s">
        <v>5604</v>
      </c>
      <c r="AL227" t="s">
        <v>4792</v>
      </c>
    </row>
    <row r="228" customHeight="1" spans="1:38">
      <c r="A228" t="s">
        <v>22</v>
      </c>
      <c r="B228" t="s">
        <v>49</v>
      </c>
      <c r="C228" t="s">
        <v>51</v>
      </c>
      <c r="D228" t="s">
        <v>22</v>
      </c>
      <c r="E228" t="s">
        <v>5601</v>
      </c>
      <c r="F228" t="s">
        <v>1046</v>
      </c>
      <c r="G228" t="s">
        <v>1047</v>
      </c>
      <c r="H228" t="s">
        <v>1047</v>
      </c>
      <c r="I228" t="s">
        <v>1048</v>
      </c>
      <c r="J228" t="s">
        <v>1049</v>
      </c>
      <c r="K228" t="s">
        <v>1050</v>
      </c>
      <c r="L228" t="s">
        <v>5602</v>
      </c>
      <c r="M228" t="s">
        <v>1131</v>
      </c>
      <c r="N228" t="s">
        <v>107</v>
      </c>
      <c r="O228" t="s">
        <v>1047</v>
      </c>
      <c r="P228" t="s">
        <v>4782</v>
      </c>
      <c r="Q228" t="s">
        <v>1048</v>
      </c>
      <c r="R228" t="s">
        <v>1049</v>
      </c>
      <c r="S228" t="s">
        <v>1050</v>
      </c>
      <c r="T228" t="s">
        <v>4796</v>
      </c>
      <c r="U228" t="s">
        <v>4797</v>
      </c>
      <c r="V228" t="s">
        <v>5054</v>
      </c>
      <c r="W228" t="s">
        <v>4786</v>
      </c>
      <c r="X228" t="s">
        <v>4807</v>
      </c>
      <c r="Y228" t="s">
        <v>4800</v>
      </c>
      <c r="Z228" t="s">
        <v>5605</v>
      </c>
      <c r="AA228" t="s">
        <v>5606</v>
      </c>
      <c r="AB228" t="s">
        <v>5054</v>
      </c>
      <c r="AC228" t="s">
        <v>66</v>
      </c>
      <c r="AD228" t="s">
        <v>66</v>
      </c>
      <c r="AE228" t="s">
        <v>66</v>
      </c>
      <c r="AF228" t="s">
        <v>5603</v>
      </c>
      <c r="AG228" t="s">
        <v>5604</v>
      </c>
      <c r="AH228" t="s">
        <v>5603</v>
      </c>
      <c r="AI228" t="s">
        <v>5604</v>
      </c>
      <c r="AJ228" t="s">
        <v>5603</v>
      </c>
      <c r="AK228" t="s">
        <v>5604</v>
      </c>
      <c r="AL228" t="s">
        <v>4792</v>
      </c>
    </row>
    <row r="229" customHeight="1" spans="1:38">
      <c r="A229" t="s">
        <v>22</v>
      </c>
      <c r="B229" t="s">
        <v>49</v>
      </c>
      <c r="C229" t="s">
        <v>51</v>
      </c>
      <c r="D229" t="s">
        <v>22</v>
      </c>
      <c r="E229" t="s">
        <v>5607</v>
      </c>
      <c r="F229" t="s">
        <v>1046</v>
      </c>
      <c r="G229" t="s">
        <v>1047</v>
      </c>
      <c r="H229" t="s">
        <v>1047</v>
      </c>
      <c r="I229" t="s">
        <v>1048</v>
      </c>
      <c r="J229" t="s">
        <v>1049</v>
      </c>
      <c r="K229" t="s">
        <v>1050</v>
      </c>
      <c r="L229" t="s">
        <v>5608</v>
      </c>
      <c r="M229" t="s">
        <v>5609</v>
      </c>
      <c r="N229" t="s">
        <v>107</v>
      </c>
      <c r="O229" t="s">
        <v>1047</v>
      </c>
      <c r="P229" t="s">
        <v>4782</v>
      </c>
      <c r="Q229" t="s">
        <v>1048</v>
      </c>
      <c r="R229" t="s">
        <v>1049</v>
      </c>
      <c r="S229" t="s">
        <v>1050</v>
      </c>
      <c r="T229" t="s">
        <v>4796</v>
      </c>
      <c r="U229" t="s">
        <v>4797</v>
      </c>
      <c r="V229" t="s">
        <v>4798</v>
      </c>
      <c r="W229" t="s">
        <v>4786</v>
      </c>
      <c r="X229" t="s">
        <v>4807</v>
      </c>
      <c r="Y229" t="s">
        <v>4800</v>
      </c>
      <c r="Z229" t="s">
        <v>5610</v>
      </c>
      <c r="AA229" t="s">
        <v>5161</v>
      </c>
      <c r="AB229" t="s">
        <v>4798</v>
      </c>
      <c r="AC229" t="s">
        <v>66</v>
      </c>
      <c r="AD229" t="s">
        <v>66</v>
      </c>
      <c r="AE229" t="s">
        <v>66</v>
      </c>
      <c r="AF229" t="s">
        <v>5211</v>
      </c>
      <c r="AG229" t="s">
        <v>5611</v>
      </c>
      <c r="AH229" t="s">
        <v>5211</v>
      </c>
      <c r="AI229" t="s">
        <v>5611</v>
      </c>
      <c r="AJ229" t="s">
        <v>5211</v>
      </c>
      <c r="AK229" t="s">
        <v>5611</v>
      </c>
      <c r="AL229" t="s">
        <v>4792</v>
      </c>
    </row>
    <row r="230" customHeight="1" spans="1:38">
      <c r="A230" t="s">
        <v>22</v>
      </c>
      <c r="B230" t="s">
        <v>49</v>
      </c>
      <c r="C230" t="s">
        <v>51</v>
      </c>
      <c r="D230" t="s">
        <v>22</v>
      </c>
      <c r="E230" t="s">
        <v>5607</v>
      </c>
      <c r="F230" t="s">
        <v>1046</v>
      </c>
      <c r="G230" t="s">
        <v>1047</v>
      </c>
      <c r="H230" t="s">
        <v>1047</v>
      </c>
      <c r="I230" t="s">
        <v>1048</v>
      </c>
      <c r="J230" t="s">
        <v>1049</v>
      </c>
      <c r="K230" t="s">
        <v>1050</v>
      </c>
      <c r="L230" t="s">
        <v>5608</v>
      </c>
      <c r="M230" t="s">
        <v>5609</v>
      </c>
      <c r="N230" t="s">
        <v>107</v>
      </c>
      <c r="O230" t="s">
        <v>1047</v>
      </c>
      <c r="P230" t="s">
        <v>4782</v>
      </c>
      <c r="Q230" t="s">
        <v>1048</v>
      </c>
      <c r="R230" t="s">
        <v>1049</v>
      </c>
      <c r="S230" t="s">
        <v>1050</v>
      </c>
      <c r="T230" t="s">
        <v>4796</v>
      </c>
      <c r="U230" t="s">
        <v>4805</v>
      </c>
      <c r="V230" t="s">
        <v>4806</v>
      </c>
      <c r="W230" t="s">
        <v>4786</v>
      </c>
      <c r="X230" t="s">
        <v>4828</v>
      </c>
      <c r="Y230" t="s">
        <v>4800</v>
      </c>
      <c r="Z230" t="s">
        <v>5612</v>
      </c>
      <c r="AA230" t="s">
        <v>5370</v>
      </c>
      <c r="AB230" t="s">
        <v>4936</v>
      </c>
      <c r="AC230" t="s">
        <v>66</v>
      </c>
      <c r="AD230" t="s">
        <v>66</v>
      </c>
      <c r="AE230" t="s">
        <v>66</v>
      </c>
      <c r="AF230" t="s">
        <v>5211</v>
      </c>
      <c r="AG230" t="s">
        <v>5613</v>
      </c>
      <c r="AH230" t="s">
        <v>5211</v>
      </c>
      <c r="AI230" t="s">
        <v>5613</v>
      </c>
      <c r="AJ230" t="s">
        <v>5211</v>
      </c>
      <c r="AK230" t="s">
        <v>5613</v>
      </c>
      <c r="AL230" t="s">
        <v>4792</v>
      </c>
    </row>
    <row r="231" customHeight="1" spans="1:38">
      <c r="A231" t="s">
        <v>22</v>
      </c>
      <c r="B231" t="s">
        <v>49</v>
      </c>
      <c r="C231" t="s">
        <v>51</v>
      </c>
      <c r="D231" t="s">
        <v>22</v>
      </c>
      <c r="E231" t="s">
        <v>5614</v>
      </c>
      <c r="F231" t="s">
        <v>1046</v>
      </c>
      <c r="G231" t="s">
        <v>1047</v>
      </c>
      <c r="H231" t="s">
        <v>1047</v>
      </c>
      <c r="I231" t="s">
        <v>1048</v>
      </c>
      <c r="J231" t="s">
        <v>1049</v>
      </c>
      <c r="K231" t="s">
        <v>1050</v>
      </c>
      <c r="L231" t="s">
        <v>5615</v>
      </c>
      <c r="M231" t="s">
        <v>5616</v>
      </c>
      <c r="N231" t="s">
        <v>107</v>
      </c>
      <c r="O231" t="s">
        <v>1047</v>
      </c>
      <c r="P231" t="s">
        <v>4782</v>
      </c>
      <c r="Q231" t="s">
        <v>1048</v>
      </c>
      <c r="R231" t="s">
        <v>1049</v>
      </c>
      <c r="S231" t="s">
        <v>1050</v>
      </c>
      <c r="T231" t="s">
        <v>4796</v>
      </c>
      <c r="U231" t="s">
        <v>4797</v>
      </c>
      <c r="V231" t="s">
        <v>4814</v>
      </c>
      <c r="W231" t="s">
        <v>4786</v>
      </c>
      <c r="X231" t="s">
        <v>4807</v>
      </c>
      <c r="Y231" t="s">
        <v>4800</v>
      </c>
      <c r="Z231" t="s">
        <v>5617</v>
      </c>
      <c r="AA231" t="s">
        <v>5618</v>
      </c>
      <c r="AB231" t="s">
        <v>4814</v>
      </c>
      <c r="AC231" t="s">
        <v>66</v>
      </c>
      <c r="AD231" t="s">
        <v>66</v>
      </c>
      <c r="AE231" t="s">
        <v>66</v>
      </c>
      <c r="AF231" t="s">
        <v>5168</v>
      </c>
      <c r="AG231" t="s">
        <v>5619</v>
      </c>
      <c r="AH231" t="s">
        <v>5168</v>
      </c>
      <c r="AI231" t="s">
        <v>5619</v>
      </c>
      <c r="AJ231" t="s">
        <v>5168</v>
      </c>
      <c r="AK231" t="s">
        <v>5619</v>
      </c>
      <c r="AL231" t="s">
        <v>4792</v>
      </c>
    </row>
    <row r="232" customHeight="1" spans="1:38">
      <c r="A232" t="s">
        <v>22</v>
      </c>
      <c r="B232" t="s">
        <v>49</v>
      </c>
      <c r="C232" t="s">
        <v>51</v>
      </c>
      <c r="D232" t="s">
        <v>22</v>
      </c>
      <c r="E232" t="s">
        <v>5614</v>
      </c>
      <c r="F232" t="s">
        <v>1046</v>
      </c>
      <c r="G232" t="s">
        <v>1047</v>
      </c>
      <c r="H232" t="s">
        <v>1047</v>
      </c>
      <c r="I232" t="s">
        <v>1048</v>
      </c>
      <c r="J232" t="s">
        <v>1049</v>
      </c>
      <c r="K232" t="s">
        <v>1050</v>
      </c>
      <c r="L232" t="s">
        <v>5615</v>
      </c>
      <c r="M232" t="s">
        <v>5616</v>
      </c>
      <c r="N232" t="s">
        <v>107</v>
      </c>
      <c r="O232" t="s">
        <v>1047</v>
      </c>
      <c r="P232" t="s">
        <v>4782</v>
      </c>
      <c r="Q232" t="s">
        <v>1048</v>
      </c>
      <c r="R232" t="s">
        <v>1049</v>
      </c>
      <c r="S232" t="s">
        <v>1050</v>
      </c>
      <c r="T232" t="s">
        <v>4796</v>
      </c>
      <c r="U232" t="s">
        <v>4805</v>
      </c>
      <c r="V232" t="s">
        <v>4806</v>
      </c>
      <c r="W232" t="s">
        <v>4786</v>
      </c>
      <c r="X232" t="s">
        <v>4828</v>
      </c>
      <c r="Y232" t="s">
        <v>4800</v>
      </c>
      <c r="Z232" t="s">
        <v>5620</v>
      </c>
      <c r="AA232" t="s">
        <v>5621</v>
      </c>
      <c r="AB232" t="s">
        <v>4831</v>
      </c>
      <c r="AC232" t="s">
        <v>66</v>
      </c>
      <c r="AD232" t="s">
        <v>66</v>
      </c>
      <c r="AE232" t="s">
        <v>66</v>
      </c>
      <c r="AF232" t="s">
        <v>5168</v>
      </c>
      <c r="AG232" t="s">
        <v>5622</v>
      </c>
      <c r="AH232" t="s">
        <v>5168</v>
      </c>
      <c r="AI232" t="s">
        <v>5622</v>
      </c>
      <c r="AJ232" t="s">
        <v>5168</v>
      </c>
      <c r="AK232" t="s">
        <v>5622</v>
      </c>
      <c r="AL232" t="s">
        <v>4792</v>
      </c>
    </row>
    <row r="233" customHeight="1" spans="1:38">
      <c r="A233" t="s">
        <v>22</v>
      </c>
      <c r="B233" t="s">
        <v>49</v>
      </c>
      <c r="C233" t="s">
        <v>51</v>
      </c>
      <c r="D233" t="s">
        <v>22</v>
      </c>
      <c r="E233" t="s">
        <v>5623</v>
      </c>
      <c r="F233" t="s">
        <v>1046</v>
      </c>
      <c r="G233" t="s">
        <v>1047</v>
      </c>
      <c r="H233" t="s">
        <v>1047</v>
      </c>
      <c r="I233" t="s">
        <v>1048</v>
      </c>
      <c r="J233" t="s">
        <v>1049</v>
      </c>
      <c r="K233" t="s">
        <v>1050</v>
      </c>
      <c r="L233" t="s">
        <v>5624</v>
      </c>
      <c r="M233" t="s">
        <v>5625</v>
      </c>
      <c r="N233" t="s">
        <v>107</v>
      </c>
      <c r="O233" t="s">
        <v>1047</v>
      </c>
      <c r="P233" t="s">
        <v>4782</v>
      </c>
      <c r="Q233" t="s">
        <v>1048</v>
      </c>
      <c r="R233" t="s">
        <v>1049</v>
      </c>
      <c r="S233" t="s">
        <v>1050</v>
      </c>
      <c r="T233" t="s">
        <v>4796</v>
      </c>
      <c r="U233" t="s">
        <v>4805</v>
      </c>
      <c r="V233" t="s">
        <v>4806</v>
      </c>
      <c r="W233" t="s">
        <v>4786</v>
      </c>
      <c r="X233" t="s">
        <v>4820</v>
      </c>
      <c r="Y233" t="s">
        <v>4800</v>
      </c>
      <c r="Z233" t="s">
        <v>4212</v>
      </c>
      <c r="AA233" t="s">
        <v>5626</v>
      </c>
      <c r="AB233" t="s">
        <v>5627</v>
      </c>
      <c r="AC233" t="s">
        <v>66</v>
      </c>
      <c r="AD233" t="s">
        <v>66</v>
      </c>
      <c r="AE233" t="s">
        <v>66</v>
      </c>
      <c r="AF233" t="s">
        <v>4839</v>
      </c>
      <c r="AG233" t="s">
        <v>5628</v>
      </c>
      <c r="AH233" t="s">
        <v>4839</v>
      </c>
      <c r="AI233" t="s">
        <v>5628</v>
      </c>
      <c r="AJ233" t="s">
        <v>4839</v>
      </c>
      <c r="AK233" t="s">
        <v>5628</v>
      </c>
      <c r="AL233" t="s">
        <v>4792</v>
      </c>
    </row>
    <row r="234" customHeight="1" spans="1:38">
      <c r="A234" t="s">
        <v>22</v>
      </c>
      <c r="B234" t="s">
        <v>49</v>
      </c>
      <c r="C234" t="s">
        <v>51</v>
      </c>
      <c r="D234" t="s">
        <v>22</v>
      </c>
      <c r="E234" t="s">
        <v>5623</v>
      </c>
      <c r="F234" t="s">
        <v>1046</v>
      </c>
      <c r="G234" t="s">
        <v>1047</v>
      </c>
      <c r="H234" t="s">
        <v>1047</v>
      </c>
      <c r="I234" t="s">
        <v>1048</v>
      </c>
      <c r="J234" t="s">
        <v>1049</v>
      </c>
      <c r="K234" t="s">
        <v>1050</v>
      </c>
      <c r="L234" t="s">
        <v>5624</v>
      </c>
      <c r="M234" t="s">
        <v>5625</v>
      </c>
      <c r="N234" t="s">
        <v>107</v>
      </c>
      <c r="O234" t="s">
        <v>1047</v>
      </c>
      <c r="P234" t="s">
        <v>4782</v>
      </c>
      <c r="Q234" t="s">
        <v>1048</v>
      </c>
      <c r="R234" t="s">
        <v>1049</v>
      </c>
      <c r="S234" t="s">
        <v>1050</v>
      </c>
      <c r="T234" t="s">
        <v>4796</v>
      </c>
      <c r="U234" t="s">
        <v>4797</v>
      </c>
      <c r="V234" t="s">
        <v>4798</v>
      </c>
      <c r="W234" t="s">
        <v>4786</v>
      </c>
      <c r="X234" t="s">
        <v>4807</v>
      </c>
      <c r="Y234" t="s">
        <v>4800</v>
      </c>
      <c r="Z234" t="s">
        <v>5629</v>
      </c>
      <c r="AA234" t="s">
        <v>4843</v>
      </c>
      <c r="AB234" t="s">
        <v>4798</v>
      </c>
      <c r="AC234" t="s">
        <v>66</v>
      </c>
      <c r="AD234" t="s">
        <v>66</v>
      </c>
      <c r="AE234" t="s">
        <v>66</v>
      </c>
      <c r="AF234" t="s">
        <v>4839</v>
      </c>
      <c r="AG234" t="s">
        <v>5630</v>
      </c>
      <c r="AH234" t="s">
        <v>4839</v>
      </c>
      <c r="AI234" t="s">
        <v>5630</v>
      </c>
      <c r="AJ234" t="s">
        <v>4839</v>
      </c>
      <c r="AK234" t="s">
        <v>5630</v>
      </c>
      <c r="AL234" t="s">
        <v>4792</v>
      </c>
    </row>
    <row r="235" customHeight="1" spans="1:38">
      <c r="A235" t="s">
        <v>22</v>
      </c>
      <c r="B235" t="s">
        <v>49</v>
      </c>
      <c r="C235" t="s">
        <v>51</v>
      </c>
      <c r="D235" t="s">
        <v>22</v>
      </c>
      <c r="E235" t="s">
        <v>5631</v>
      </c>
      <c r="F235" t="s">
        <v>1046</v>
      </c>
      <c r="G235" t="s">
        <v>1047</v>
      </c>
      <c r="H235" t="s">
        <v>1047</v>
      </c>
      <c r="I235" t="s">
        <v>1048</v>
      </c>
      <c r="J235" t="s">
        <v>1049</v>
      </c>
      <c r="K235" t="s">
        <v>1050</v>
      </c>
      <c r="L235" t="s">
        <v>5632</v>
      </c>
      <c r="M235" t="s">
        <v>1121</v>
      </c>
      <c r="N235" t="s">
        <v>107</v>
      </c>
      <c r="O235" t="s">
        <v>1047</v>
      </c>
      <c r="P235" t="s">
        <v>4782</v>
      </c>
      <c r="Q235" t="s">
        <v>1048</v>
      </c>
      <c r="R235" t="s">
        <v>1049</v>
      </c>
      <c r="S235" t="s">
        <v>1050</v>
      </c>
      <c r="T235" t="s">
        <v>4796</v>
      </c>
      <c r="U235" t="s">
        <v>4797</v>
      </c>
      <c r="V235" t="s">
        <v>4798</v>
      </c>
      <c r="W235" t="s">
        <v>4786</v>
      </c>
      <c r="X235" t="s">
        <v>4807</v>
      </c>
      <c r="Y235" t="s">
        <v>4800</v>
      </c>
      <c r="Z235" t="s">
        <v>4847</v>
      </c>
      <c r="AA235" t="s">
        <v>4848</v>
      </c>
      <c r="AB235" t="s">
        <v>4798</v>
      </c>
      <c r="AC235" t="s">
        <v>66</v>
      </c>
      <c r="AD235" t="s">
        <v>66</v>
      </c>
      <c r="AE235" t="s">
        <v>66</v>
      </c>
      <c r="AF235" t="s">
        <v>5633</v>
      </c>
      <c r="AG235" t="s">
        <v>5634</v>
      </c>
      <c r="AH235" t="s">
        <v>5633</v>
      </c>
      <c r="AI235" t="s">
        <v>5634</v>
      </c>
      <c r="AJ235" t="s">
        <v>5633</v>
      </c>
      <c r="AK235" t="s">
        <v>5634</v>
      </c>
      <c r="AL235" t="s">
        <v>4792</v>
      </c>
    </row>
    <row r="236" customHeight="1" spans="1:38">
      <c r="A236" t="s">
        <v>22</v>
      </c>
      <c r="B236" t="s">
        <v>49</v>
      </c>
      <c r="C236" t="s">
        <v>51</v>
      </c>
      <c r="D236" t="s">
        <v>22</v>
      </c>
      <c r="E236" t="s">
        <v>5631</v>
      </c>
      <c r="F236" t="s">
        <v>1046</v>
      </c>
      <c r="G236" t="s">
        <v>1047</v>
      </c>
      <c r="H236" t="s">
        <v>1047</v>
      </c>
      <c r="I236" t="s">
        <v>1048</v>
      </c>
      <c r="J236" t="s">
        <v>1049</v>
      </c>
      <c r="K236" t="s">
        <v>1050</v>
      </c>
      <c r="L236" t="s">
        <v>5632</v>
      </c>
      <c r="M236" t="s">
        <v>1121</v>
      </c>
      <c r="N236" t="s">
        <v>107</v>
      </c>
      <c r="O236" t="s">
        <v>1047</v>
      </c>
      <c r="P236" t="s">
        <v>4782</v>
      </c>
      <c r="Q236" t="s">
        <v>1048</v>
      </c>
      <c r="R236" t="s">
        <v>1049</v>
      </c>
      <c r="S236" t="s">
        <v>1050</v>
      </c>
      <c r="T236" t="s">
        <v>4796</v>
      </c>
      <c r="U236" t="s">
        <v>4805</v>
      </c>
      <c r="V236" t="s">
        <v>4806</v>
      </c>
      <c r="W236" t="s">
        <v>4786</v>
      </c>
      <c r="X236" t="s">
        <v>4820</v>
      </c>
      <c r="Y236" t="s">
        <v>4800</v>
      </c>
      <c r="Z236" t="s">
        <v>109</v>
      </c>
      <c r="AA236" t="s">
        <v>5635</v>
      </c>
      <c r="AB236" t="s">
        <v>5636</v>
      </c>
      <c r="AC236" t="s">
        <v>66</v>
      </c>
      <c r="AD236" t="s">
        <v>66</v>
      </c>
      <c r="AE236" t="s">
        <v>66</v>
      </c>
      <c r="AF236" t="s">
        <v>4816</v>
      </c>
      <c r="AG236" t="s">
        <v>5637</v>
      </c>
      <c r="AH236" t="s">
        <v>4816</v>
      </c>
      <c r="AI236" t="s">
        <v>5637</v>
      </c>
      <c r="AJ236" t="s">
        <v>4816</v>
      </c>
      <c r="AK236" t="s">
        <v>5637</v>
      </c>
      <c r="AL236" t="s">
        <v>4792</v>
      </c>
    </row>
    <row r="237" customHeight="1" spans="1:38">
      <c r="A237" t="s">
        <v>22</v>
      </c>
      <c r="B237" t="s">
        <v>49</v>
      </c>
      <c r="C237" t="s">
        <v>51</v>
      </c>
      <c r="D237" t="s">
        <v>22</v>
      </c>
      <c r="E237" t="s">
        <v>5638</v>
      </c>
      <c r="F237" t="s">
        <v>1046</v>
      </c>
      <c r="G237" t="s">
        <v>1047</v>
      </c>
      <c r="H237" t="s">
        <v>1047</v>
      </c>
      <c r="I237" t="s">
        <v>1048</v>
      </c>
      <c r="J237" t="s">
        <v>1049</v>
      </c>
      <c r="K237" t="s">
        <v>1050</v>
      </c>
      <c r="L237" t="s">
        <v>5632</v>
      </c>
      <c r="M237" t="s">
        <v>5639</v>
      </c>
      <c r="N237" t="s">
        <v>107</v>
      </c>
      <c r="O237" t="s">
        <v>1047</v>
      </c>
      <c r="P237" t="s">
        <v>4782</v>
      </c>
      <c r="Q237" t="s">
        <v>1048</v>
      </c>
      <c r="R237" t="s">
        <v>1049</v>
      </c>
      <c r="S237" t="s">
        <v>1050</v>
      </c>
      <c r="T237" t="s">
        <v>4796</v>
      </c>
      <c r="U237" t="s">
        <v>4797</v>
      </c>
      <c r="V237" t="s">
        <v>4798</v>
      </c>
      <c r="W237" t="s">
        <v>4786</v>
      </c>
      <c r="X237" t="s">
        <v>4807</v>
      </c>
      <c r="Y237" t="s">
        <v>4800</v>
      </c>
      <c r="Z237" t="s">
        <v>5640</v>
      </c>
      <c r="AA237" t="s">
        <v>4921</v>
      </c>
      <c r="AB237" t="s">
        <v>4798</v>
      </c>
      <c r="AC237" t="s">
        <v>66</v>
      </c>
      <c r="AD237" t="s">
        <v>66</v>
      </c>
      <c r="AE237" t="s">
        <v>66</v>
      </c>
      <c r="AF237" t="s">
        <v>5033</v>
      </c>
      <c r="AG237" t="s">
        <v>5641</v>
      </c>
      <c r="AH237" t="s">
        <v>5033</v>
      </c>
      <c r="AI237" t="s">
        <v>5641</v>
      </c>
      <c r="AJ237" t="s">
        <v>5033</v>
      </c>
      <c r="AK237" t="s">
        <v>5641</v>
      </c>
      <c r="AL237" t="s">
        <v>4792</v>
      </c>
    </row>
    <row r="238" customHeight="1" spans="1:38">
      <c r="A238" t="s">
        <v>22</v>
      </c>
      <c r="B238" t="s">
        <v>49</v>
      </c>
      <c r="C238" t="s">
        <v>51</v>
      </c>
      <c r="D238" t="s">
        <v>22</v>
      </c>
      <c r="E238" t="s">
        <v>5642</v>
      </c>
      <c r="F238" t="s">
        <v>1046</v>
      </c>
      <c r="G238" t="s">
        <v>1047</v>
      </c>
      <c r="H238" t="s">
        <v>1047</v>
      </c>
      <c r="I238" t="s">
        <v>1048</v>
      </c>
      <c r="J238" t="s">
        <v>1049</v>
      </c>
      <c r="K238" t="s">
        <v>1050</v>
      </c>
      <c r="L238" t="s">
        <v>5643</v>
      </c>
      <c r="M238" t="s">
        <v>5644</v>
      </c>
      <c r="N238" t="s">
        <v>107</v>
      </c>
      <c r="O238" t="s">
        <v>1047</v>
      </c>
      <c r="P238" t="s">
        <v>4782</v>
      </c>
      <c r="Q238" t="s">
        <v>1048</v>
      </c>
      <c r="R238" t="s">
        <v>1049</v>
      </c>
      <c r="S238" t="s">
        <v>1050</v>
      </c>
      <c r="T238" t="s">
        <v>4796</v>
      </c>
      <c r="U238" t="s">
        <v>4797</v>
      </c>
      <c r="V238" t="s">
        <v>4814</v>
      </c>
      <c r="W238" t="s">
        <v>4786</v>
      </c>
      <c r="X238" t="s">
        <v>4807</v>
      </c>
      <c r="Y238" t="s">
        <v>4800</v>
      </c>
      <c r="Z238" t="s">
        <v>4847</v>
      </c>
      <c r="AA238" t="s">
        <v>4848</v>
      </c>
      <c r="AB238" t="s">
        <v>4814</v>
      </c>
      <c r="AC238" t="s">
        <v>66</v>
      </c>
      <c r="AD238" t="s">
        <v>66</v>
      </c>
      <c r="AE238" t="s">
        <v>66</v>
      </c>
      <c r="AF238" t="s">
        <v>5645</v>
      </c>
      <c r="AG238" t="s">
        <v>5646</v>
      </c>
      <c r="AH238" t="s">
        <v>5645</v>
      </c>
      <c r="AI238" t="s">
        <v>5646</v>
      </c>
      <c r="AJ238" t="s">
        <v>5645</v>
      </c>
      <c r="AK238" t="s">
        <v>5646</v>
      </c>
      <c r="AL238" t="s">
        <v>4792</v>
      </c>
    </row>
    <row r="239" customHeight="1" spans="1:38">
      <c r="A239" t="s">
        <v>22</v>
      </c>
      <c r="B239" t="s">
        <v>49</v>
      </c>
      <c r="C239" t="s">
        <v>51</v>
      </c>
      <c r="D239" t="s">
        <v>22</v>
      </c>
      <c r="E239" t="s">
        <v>5642</v>
      </c>
      <c r="F239" t="s">
        <v>1046</v>
      </c>
      <c r="G239" t="s">
        <v>1047</v>
      </c>
      <c r="H239" t="s">
        <v>1047</v>
      </c>
      <c r="I239" t="s">
        <v>1048</v>
      </c>
      <c r="J239" t="s">
        <v>1049</v>
      </c>
      <c r="K239" t="s">
        <v>1050</v>
      </c>
      <c r="L239" t="s">
        <v>5643</v>
      </c>
      <c r="M239" t="s">
        <v>5644</v>
      </c>
      <c r="N239" t="s">
        <v>107</v>
      </c>
      <c r="O239" t="s">
        <v>1047</v>
      </c>
      <c r="P239" t="s">
        <v>4782</v>
      </c>
      <c r="Q239" t="s">
        <v>1048</v>
      </c>
      <c r="R239" t="s">
        <v>1049</v>
      </c>
      <c r="S239" t="s">
        <v>1050</v>
      </c>
      <c r="T239" t="s">
        <v>4796</v>
      </c>
      <c r="U239" t="s">
        <v>4805</v>
      </c>
      <c r="V239" t="s">
        <v>4806</v>
      </c>
      <c r="W239" t="s">
        <v>4786</v>
      </c>
      <c r="X239" t="s">
        <v>4807</v>
      </c>
      <c r="Y239" t="s">
        <v>4800</v>
      </c>
      <c r="Z239" t="s">
        <v>3903</v>
      </c>
      <c r="AA239" t="s">
        <v>5647</v>
      </c>
      <c r="AB239" t="s">
        <v>5648</v>
      </c>
      <c r="AC239" t="s">
        <v>66</v>
      </c>
      <c r="AD239" t="s">
        <v>66</v>
      </c>
      <c r="AE239" t="s">
        <v>66</v>
      </c>
      <c r="AF239" t="s">
        <v>5645</v>
      </c>
      <c r="AG239" t="s">
        <v>5649</v>
      </c>
      <c r="AH239" t="s">
        <v>5645</v>
      </c>
      <c r="AI239" t="s">
        <v>5649</v>
      </c>
      <c r="AJ239" t="s">
        <v>5645</v>
      </c>
      <c r="AK239" t="s">
        <v>5649</v>
      </c>
      <c r="AL239" t="s">
        <v>4792</v>
      </c>
    </row>
    <row r="240" customHeight="1" spans="1:38">
      <c r="A240" t="s">
        <v>22</v>
      </c>
      <c r="B240" t="s">
        <v>49</v>
      </c>
      <c r="C240" t="s">
        <v>51</v>
      </c>
      <c r="D240" t="s">
        <v>22</v>
      </c>
      <c r="E240" t="s">
        <v>5650</v>
      </c>
      <c r="F240" t="s">
        <v>1046</v>
      </c>
      <c r="G240" t="s">
        <v>1047</v>
      </c>
      <c r="H240" t="s">
        <v>1047</v>
      </c>
      <c r="I240" t="s">
        <v>1048</v>
      </c>
      <c r="J240" t="s">
        <v>1049</v>
      </c>
      <c r="K240" t="s">
        <v>1050</v>
      </c>
      <c r="L240" t="s">
        <v>5651</v>
      </c>
      <c r="M240" t="s">
        <v>5652</v>
      </c>
      <c r="N240" t="s">
        <v>107</v>
      </c>
      <c r="O240" t="s">
        <v>1047</v>
      </c>
      <c r="P240" t="s">
        <v>4782</v>
      </c>
      <c r="Q240" t="s">
        <v>1048</v>
      </c>
      <c r="R240" t="s">
        <v>1049</v>
      </c>
      <c r="S240" t="s">
        <v>1050</v>
      </c>
      <c r="T240" t="s">
        <v>4796</v>
      </c>
      <c r="U240" t="s">
        <v>4797</v>
      </c>
      <c r="V240" t="s">
        <v>4798</v>
      </c>
      <c r="W240" t="s">
        <v>4786</v>
      </c>
      <c r="X240" t="s">
        <v>4807</v>
      </c>
      <c r="Y240" t="s">
        <v>4800</v>
      </c>
      <c r="Z240" t="s">
        <v>5653</v>
      </c>
      <c r="AA240" t="s">
        <v>4843</v>
      </c>
      <c r="AB240" t="s">
        <v>4798</v>
      </c>
      <c r="AC240" t="s">
        <v>66</v>
      </c>
      <c r="AD240" t="s">
        <v>66</v>
      </c>
      <c r="AE240" t="s">
        <v>66</v>
      </c>
      <c r="AF240" t="s">
        <v>5253</v>
      </c>
      <c r="AG240" t="s">
        <v>5654</v>
      </c>
      <c r="AH240" t="s">
        <v>5253</v>
      </c>
      <c r="AI240" t="s">
        <v>5654</v>
      </c>
      <c r="AJ240" t="s">
        <v>5253</v>
      </c>
      <c r="AK240" t="s">
        <v>5654</v>
      </c>
      <c r="AL240" t="s">
        <v>4792</v>
      </c>
    </row>
    <row r="241" customHeight="1" spans="1:38">
      <c r="A241" t="s">
        <v>22</v>
      </c>
      <c r="B241" t="s">
        <v>49</v>
      </c>
      <c r="C241" t="s">
        <v>51</v>
      </c>
      <c r="D241" t="s">
        <v>22</v>
      </c>
      <c r="E241" t="s">
        <v>5650</v>
      </c>
      <c r="F241" t="s">
        <v>1046</v>
      </c>
      <c r="G241" t="s">
        <v>1047</v>
      </c>
      <c r="H241" t="s">
        <v>1047</v>
      </c>
      <c r="I241" t="s">
        <v>1048</v>
      </c>
      <c r="J241" t="s">
        <v>1049</v>
      </c>
      <c r="K241" t="s">
        <v>1050</v>
      </c>
      <c r="L241" t="s">
        <v>5651</v>
      </c>
      <c r="M241" t="s">
        <v>5652</v>
      </c>
      <c r="N241" t="s">
        <v>107</v>
      </c>
      <c r="O241" t="s">
        <v>1047</v>
      </c>
      <c r="P241" t="s">
        <v>4782</v>
      </c>
      <c r="Q241" t="s">
        <v>1048</v>
      </c>
      <c r="R241" t="s">
        <v>1049</v>
      </c>
      <c r="S241" t="s">
        <v>1050</v>
      </c>
      <c r="T241" t="s">
        <v>4796</v>
      </c>
      <c r="U241" t="s">
        <v>4805</v>
      </c>
      <c r="V241" t="s">
        <v>4806</v>
      </c>
      <c r="W241" t="s">
        <v>4786</v>
      </c>
      <c r="X241" t="s">
        <v>4807</v>
      </c>
      <c r="Y241" t="s">
        <v>4800</v>
      </c>
      <c r="Z241" t="s">
        <v>4500</v>
      </c>
      <c r="AA241" t="s">
        <v>5655</v>
      </c>
      <c r="AB241" t="s">
        <v>5656</v>
      </c>
      <c r="AC241" t="s">
        <v>66</v>
      </c>
      <c r="AD241" t="s">
        <v>66</v>
      </c>
      <c r="AE241" t="s">
        <v>66</v>
      </c>
      <c r="AF241" t="s">
        <v>5253</v>
      </c>
      <c r="AG241" t="s">
        <v>5657</v>
      </c>
      <c r="AH241" t="s">
        <v>5253</v>
      </c>
      <c r="AI241" t="s">
        <v>5657</v>
      </c>
      <c r="AJ241" t="s">
        <v>5253</v>
      </c>
      <c r="AK241" t="s">
        <v>5657</v>
      </c>
      <c r="AL241" t="s">
        <v>4792</v>
      </c>
    </row>
    <row r="242" customHeight="1" spans="1:38">
      <c r="A242" t="s">
        <v>22</v>
      </c>
      <c r="B242" t="s">
        <v>49</v>
      </c>
      <c r="C242" t="s">
        <v>51</v>
      </c>
      <c r="D242" t="s">
        <v>22</v>
      </c>
      <c r="E242" t="s">
        <v>5658</v>
      </c>
      <c r="F242" t="s">
        <v>1046</v>
      </c>
      <c r="G242" t="s">
        <v>1047</v>
      </c>
      <c r="H242" t="s">
        <v>1047</v>
      </c>
      <c r="I242" t="s">
        <v>1048</v>
      </c>
      <c r="J242" t="s">
        <v>1049</v>
      </c>
      <c r="K242" t="s">
        <v>1050</v>
      </c>
      <c r="L242" t="s">
        <v>5651</v>
      </c>
      <c r="M242" t="s">
        <v>4097</v>
      </c>
      <c r="N242" t="s">
        <v>107</v>
      </c>
      <c r="O242" t="s">
        <v>1047</v>
      </c>
      <c r="P242" t="s">
        <v>4782</v>
      </c>
      <c r="Q242" t="s">
        <v>1048</v>
      </c>
      <c r="R242" t="s">
        <v>1049</v>
      </c>
      <c r="S242" t="s">
        <v>1050</v>
      </c>
      <c r="T242" t="s">
        <v>4796</v>
      </c>
      <c r="U242" t="s">
        <v>4797</v>
      </c>
      <c r="V242" t="s">
        <v>4798</v>
      </c>
      <c r="W242" t="s">
        <v>4786</v>
      </c>
      <c r="X242" t="s">
        <v>4807</v>
      </c>
      <c r="Y242" t="s">
        <v>4800</v>
      </c>
      <c r="Z242" t="s">
        <v>4847</v>
      </c>
      <c r="AA242" t="s">
        <v>4848</v>
      </c>
      <c r="AB242" t="s">
        <v>4798</v>
      </c>
      <c r="AC242" t="s">
        <v>66</v>
      </c>
      <c r="AD242" t="s">
        <v>66</v>
      </c>
      <c r="AE242" t="s">
        <v>66</v>
      </c>
      <c r="AF242" t="s">
        <v>4839</v>
      </c>
      <c r="AG242" t="s">
        <v>5659</v>
      </c>
      <c r="AH242" t="s">
        <v>4839</v>
      </c>
      <c r="AI242" t="s">
        <v>5659</v>
      </c>
      <c r="AJ242" t="s">
        <v>4839</v>
      </c>
      <c r="AK242" t="s">
        <v>5659</v>
      </c>
      <c r="AL242" t="s">
        <v>4792</v>
      </c>
    </row>
    <row r="243" customHeight="1" spans="1:38">
      <c r="A243" t="s">
        <v>22</v>
      </c>
      <c r="B243" t="s">
        <v>49</v>
      </c>
      <c r="C243" t="s">
        <v>51</v>
      </c>
      <c r="D243" t="s">
        <v>22</v>
      </c>
      <c r="E243" t="s">
        <v>5658</v>
      </c>
      <c r="F243" t="s">
        <v>1046</v>
      </c>
      <c r="G243" t="s">
        <v>1047</v>
      </c>
      <c r="H243" t="s">
        <v>1047</v>
      </c>
      <c r="I243" t="s">
        <v>1048</v>
      </c>
      <c r="J243" t="s">
        <v>1049</v>
      </c>
      <c r="K243" t="s">
        <v>1050</v>
      </c>
      <c r="L243" t="s">
        <v>5651</v>
      </c>
      <c r="M243" t="s">
        <v>4097</v>
      </c>
      <c r="N243" t="s">
        <v>107</v>
      </c>
      <c r="O243" t="s">
        <v>1047</v>
      </c>
      <c r="P243" t="s">
        <v>4782</v>
      </c>
      <c r="Q243" t="s">
        <v>1048</v>
      </c>
      <c r="R243" t="s">
        <v>1049</v>
      </c>
      <c r="S243" t="s">
        <v>1050</v>
      </c>
      <c r="T243" t="s">
        <v>4796</v>
      </c>
      <c r="U243" t="s">
        <v>4805</v>
      </c>
      <c r="V243" t="s">
        <v>4806</v>
      </c>
      <c r="W243" t="s">
        <v>4786</v>
      </c>
      <c r="X243" t="s">
        <v>4807</v>
      </c>
      <c r="Y243" t="s">
        <v>4800</v>
      </c>
      <c r="Z243" t="s">
        <v>4009</v>
      </c>
      <c r="AA243" t="s">
        <v>5457</v>
      </c>
      <c r="AB243" t="s">
        <v>5660</v>
      </c>
      <c r="AC243" t="s">
        <v>66</v>
      </c>
      <c r="AD243" t="s">
        <v>66</v>
      </c>
      <c r="AE243" t="s">
        <v>66</v>
      </c>
      <c r="AF243" t="s">
        <v>4839</v>
      </c>
      <c r="AG243" t="s">
        <v>5661</v>
      </c>
      <c r="AH243" t="s">
        <v>4839</v>
      </c>
      <c r="AI243" t="s">
        <v>5661</v>
      </c>
      <c r="AJ243" t="s">
        <v>4839</v>
      </c>
      <c r="AK243" t="s">
        <v>5661</v>
      </c>
      <c r="AL243" t="s">
        <v>4792</v>
      </c>
    </row>
    <row r="244" customHeight="1" spans="1:38">
      <c r="A244" t="s">
        <v>22</v>
      </c>
      <c r="B244" t="s">
        <v>49</v>
      </c>
      <c r="C244" t="s">
        <v>51</v>
      </c>
      <c r="D244" t="s">
        <v>22</v>
      </c>
      <c r="E244" t="s">
        <v>5662</v>
      </c>
      <c r="F244" t="s">
        <v>1046</v>
      </c>
      <c r="G244" t="s">
        <v>1047</v>
      </c>
      <c r="H244" t="s">
        <v>1047</v>
      </c>
      <c r="I244" t="s">
        <v>1048</v>
      </c>
      <c r="J244" t="s">
        <v>1049</v>
      </c>
      <c r="K244" t="s">
        <v>1050</v>
      </c>
      <c r="L244" t="s">
        <v>5663</v>
      </c>
      <c r="M244" t="s">
        <v>5664</v>
      </c>
      <c r="N244" t="s">
        <v>107</v>
      </c>
      <c r="O244" t="s">
        <v>1047</v>
      </c>
      <c r="P244" t="s">
        <v>4782</v>
      </c>
      <c r="Q244" t="s">
        <v>1048</v>
      </c>
      <c r="R244" t="s">
        <v>1049</v>
      </c>
      <c r="S244" t="s">
        <v>1050</v>
      </c>
      <c r="T244" t="s">
        <v>4796</v>
      </c>
      <c r="U244" t="s">
        <v>4805</v>
      </c>
      <c r="V244" t="s">
        <v>4806</v>
      </c>
      <c r="W244" t="s">
        <v>4786</v>
      </c>
      <c r="X244" t="s">
        <v>4828</v>
      </c>
      <c r="Y244" t="s">
        <v>4800</v>
      </c>
      <c r="Z244" t="s">
        <v>5665</v>
      </c>
      <c r="AA244" t="s">
        <v>5243</v>
      </c>
      <c r="AB244" t="s">
        <v>4936</v>
      </c>
      <c r="AC244" t="s">
        <v>66</v>
      </c>
      <c r="AD244" t="s">
        <v>66</v>
      </c>
      <c r="AE244" t="s">
        <v>66</v>
      </c>
      <c r="AF244" t="s">
        <v>4839</v>
      </c>
      <c r="AG244" t="s">
        <v>5666</v>
      </c>
      <c r="AH244" t="s">
        <v>4839</v>
      </c>
      <c r="AI244" t="s">
        <v>5666</v>
      </c>
      <c r="AJ244" t="s">
        <v>4839</v>
      </c>
      <c r="AK244" t="s">
        <v>5666</v>
      </c>
      <c r="AL244" t="s">
        <v>4792</v>
      </c>
    </row>
    <row r="245" customHeight="1" spans="1:38">
      <c r="A245" t="s">
        <v>22</v>
      </c>
      <c r="B245" t="s">
        <v>49</v>
      </c>
      <c r="C245" t="s">
        <v>51</v>
      </c>
      <c r="D245" t="s">
        <v>22</v>
      </c>
      <c r="E245" t="s">
        <v>5662</v>
      </c>
      <c r="F245" t="s">
        <v>1046</v>
      </c>
      <c r="G245" t="s">
        <v>1047</v>
      </c>
      <c r="H245" t="s">
        <v>1047</v>
      </c>
      <c r="I245" t="s">
        <v>1048</v>
      </c>
      <c r="J245" t="s">
        <v>1049</v>
      </c>
      <c r="K245" t="s">
        <v>1050</v>
      </c>
      <c r="L245" t="s">
        <v>5663</v>
      </c>
      <c r="M245" t="s">
        <v>5664</v>
      </c>
      <c r="N245" t="s">
        <v>107</v>
      </c>
      <c r="O245" t="s">
        <v>1047</v>
      </c>
      <c r="P245" t="s">
        <v>4782</v>
      </c>
      <c r="Q245" t="s">
        <v>1048</v>
      </c>
      <c r="R245" t="s">
        <v>1049</v>
      </c>
      <c r="S245" t="s">
        <v>1050</v>
      </c>
      <c r="T245" t="s">
        <v>4796</v>
      </c>
      <c r="U245" t="s">
        <v>4797</v>
      </c>
      <c r="V245" t="s">
        <v>4798</v>
      </c>
      <c r="W245" t="s">
        <v>4786</v>
      </c>
      <c r="X245" t="s">
        <v>4807</v>
      </c>
      <c r="Y245" t="s">
        <v>4800</v>
      </c>
      <c r="Z245" t="s">
        <v>5667</v>
      </c>
      <c r="AA245" t="s">
        <v>4856</v>
      </c>
      <c r="AB245" t="s">
        <v>4798</v>
      </c>
      <c r="AC245" t="s">
        <v>66</v>
      </c>
      <c r="AD245" t="s">
        <v>66</v>
      </c>
      <c r="AE245" t="s">
        <v>66</v>
      </c>
      <c r="AF245" t="s">
        <v>4839</v>
      </c>
      <c r="AG245" t="s">
        <v>5666</v>
      </c>
      <c r="AH245" t="s">
        <v>4839</v>
      </c>
      <c r="AI245" t="s">
        <v>5666</v>
      </c>
      <c r="AJ245" t="s">
        <v>4839</v>
      </c>
      <c r="AK245" t="s">
        <v>5666</v>
      </c>
      <c r="AL245" t="s">
        <v>4792</v>
      </c>
    </row>
    <row r="246" customHeight="1" spans="1:38">
      <c r="A246" t="s">
        <v>22</v>
      </c>
      <c r="B246" t="s">
        <v>49</v>
      </c>
      <c r="C246" t="s">
        <v>51</v>
      </c>
      <c r="D246" t="s">
        <v>22</v>
      </c>
      <c r="E246" t="s">
        <v>5668</v>
      </c>
      <c r="F246" t="s">
        <v>1046</v>
      </c>
      <c r="G246" t="s">
        <v>1047</v>
      </c>
      <c r="H246" t="s">
        <v>1047</v>
      </c>
      <c r="I246" t="s">
        <v>1048</v>
      </c>
      <c r="J246" t="s">
        <v>1049</v>
      </c>
      <c r="K246" t="s">
        <v>1050</v>
      </c>
      <c r="L246" t="s">
        <v>5669</v>
      </c>
      <c r="M246" t="s">
        <v>1131</v>
      </c>
      <c r="N246" t="s">
        <v>107</v>
      </c>
      <c r="O246" t="s">
        <v>1047</v>
      </c>
      <c r="P246" t="s">
        <v>4782</v>
      </c>
      <c r="Q246" t="s">
        <v>1048</v>
      </c>
      <c r="R246" t="s">
        <v>1049</v>
      </c>
      <c r="S246" t="s">
        <v>1050</v>
      </c>
      <c r="T246" t="s">
        <v>4796</v>
      </c>
      <c r="U246" t="s">
        <v>4797</v>
      </c>
      <c r="V246" t="s">
        <v>5172</v>
      </c>
      <c r="W246" t="s">
        <v>4786</v>
      </c>
      <c r="X246" t="s">
        <v>4807</v>
      </c>
      <c r="Y246" t="s">
        <v>4800</v>
      </c>
      <c r="Z246" t="s">
        <v>5670</v>
      </c>
      <c r="AA246" t="s">
        <v>5671</v>
      </c>
      <c r="AB246" t="s">
        <v>5172</v>
      </c>
      <c r="AC246" t="s">
        <v>66</v>
      </c>
      <c r="AD246" t="s">
        <v>66</v>
      </c>
      <c r="AE246" t="s">
        <v>66</v>
      </c>
      <c r="AF246" t="s">
        <v>5211</v>
      </c>
      <c r="AG246" t="s">
        <v>5672</v>
      </c>
      <c r="AH246" t="s">
        <v>5211</v>
      </c>
      <c r="AI246" t="s">
        <v>5672</v>
      </c>
      <c r="AJ246" t="s">
        <v>5211</v>
      </c>
      <c r="AK246" t="s">
        <v>5672</v>
      </c>
      <c r="AL246" t="s">
        <v>4792</v>
      </c>
    </row>
    <row r="247" customHeight="1" spans="1:38">
      <c r="A247" t="s">
        <v>22</v>
      </c>
      <c r="B247" t="s">
        <v>49</v>
      </c>
      <c r="C247" t="s">
        <v>51</v>
      </c>
      <c r="D247" t="s">
        <v>22</v>
      </c>
      <c r="E247" t="s">
        <v>5668</v>
      </c>
      <c r="F247" t="s">
        <v>1046</v>
      </c>
      <c r="G247" t="s">
        <v>1047</v>
      </c>
      <c r="H247" t="s">
        <v>1047</v>
      </c>
      <c r="I247" t="s">
        <v>1048</v>
      </c>
      <c r="J247" t="s">
        <v>1049</v>
      </c>
      <c r="K247" t="s">
        <v>1050</v>
      </c>
      <c r="L247" t="s">
        <v>5669</v>
      </c>
      <c r="M247" t="s">
        <v>1131</v>
      </c>
      <c r="N247" t="s">
        <v>107</v>
      </c>
      <c r="O247" t="s">
        <v>1047</v>
      </c>
      <c r="P247" t="s">
        <v>4782</v>
      </c>
      <c r="Q247" t="s">
        <v>1048</v>
      </c>
      <c r="R247" t="s">
        <v>1049</v>
      </c>
      <c r="S247" t="s">
        <v>1050</v>
      </c>
      <c r="T247" t="s">
        <v>4796</v>
      </c>
      <c r="U247" t="s">
        <v>4805</v>
      </c>
      <c r="V247" t="s">
        <v>4806</v>
      </c>
      <c r="W247" t="s">
        <v>4786</v>
      </c>
      <c r="X247" t="s">
        <v>4828</v>
      </c>
      <c r="Y247" t="s">
        <v>4800</v>
      </c>
      <c r="Z247" t="s">
        <v>5673</v>
      </c>
      <c r="AA247" t="s">
        <v>5050</v>
      </c>
      <c r="AB247" t="s">
        <v>4831</v>
      </c>
      <c r="AC247" t="s">
        <v>66</v>
      </c>
      <c r="AD247" t="s">
        <v>66</v>
      </c>
      <c r="AE247" t="s">
        <v>66</v>
      </c>
      <c r="AF247" t="s">
        <v>5211</v>
      </c>
      <c r="AG247" t="s">
        <v>5674</v>
      </c>
      <c r="AH247" t="s">
        <v>5211</v>
      </c>
      <c r="AI247" t="s">
        <v>5674</v>
      </c>
      <c r="AJ247" t="s">
        <v>5211</v>
      </c>
      <c r="AK247" t="s">
        <v>5674</v>
      </c>
      <c r="AL247" t="s">
        <v>4792</v>
      </c>
    </row>
    <row r="248" customHeight="1" spans="1:38">
      <c r="A248" t="s">
        <v>22</v>
      </c>
      <c r="B248" t="s">
        <v>49</v>
      </c>
      <c r="C248" t="s">
        <v>51</v>
      </c>
      <c r="D248" t="s">
        <v>22</v>
      </c>
      <c r="E248" t="s">
        <v>5675</v>
      </c>
      <c r="F248" t="s">
        <v>1046</v>
      </c>
      <c r="G248" t="s">
        <v>1047</v>
      </c>
      <c r="H248" t="s">
        <v>1047</v>
      </c>
      <c r="I248" t="s">
        <v>1048</v>
      </c>
      <c r="J248" t="s">
        <v>1049</v>
      </c>
      <c r="K248" t="s">
        <v>1050</v>
      </c>
      <c r="L248" t="s">
        <v>5676</v>
      </c>
      <c r="M248" t="s">
        <v>3767</v>
      </c>
      <c r="N248" t="s">
        <v>107</v>
      </c>
      <c r="O248" t="s">
        <v>1047</v>
      </c>
      <c r="P248" t="s">
        <v>4782</v>
      </c>
      <c r="Q248" t="s">
        <v>1048</v>
      </c>
      <c r="R248" t="s">
        <v>1049</v>
      </c>
      <c r="S248" t="s">
        <v>1050</v>
      </c>
      <c r="T248" t="s">
        <v>4796</v>
      </c>
      <c r="U248" t="s">
        <v>4805</v>
      </c>
      <c r="V248" t="s">
        <v>4806</v>
      </c>
      <c r="W248" t="s">
        <v>4786</v>
      </c>
      <c r="X248" t="s">
        <v>4828</v>
      </c>
      <c r="Y248" t="s">
        <v>4800</v>
      </c>
      <c r="Z248" t="s">
        <v>5677</v>
      </c>
      <c r="AA248" t="s">
        <v>5626</v>
      </c>
      <c r="AB248" t="s">
        <v>4936</v>
      </c>
      <c r="AC248" t="s">
        <v>66</v>
      </c>
      <c r="AD248" t="s">
        <v>66</v>
      </c>
      <c r="AE248" t="s">
        <v>66</v>
      </c>
      <c r="AF248" t="s">
        <v>5678</v>
      </c>
      <c r="AG248" t="s">
        <v>5679</v>
      </c>
      <c r="AH248" t="s">
        <v>5678</v>
      </c>
      <c r="AI248" t="s">
        <v>5679</v>
      </c>
      <c r="AJ248" t="s">
        <v>5678</v>
      </c>
      <c r="AK248" t="s">
        <v>5679</v>
      </c>
      <c r="AL248" t="s">
        <v>4792</v>
      </c>
    </row>
    <row r="249" customHeight="1" spans="1:38">
      <c r="A249" t="s">
        <v>22</v>
      </c>
      <c r="B249" t="s">
        <v>49</v>
      </c>
      <c r="C249" t="s">
        <v>51</v>
      </c>
      <c r="D249" t="s">
        <v>22</v>
      </c>
      <c r="E249" t="s">
        <v>5675</v>
      </c>
      <c r="F249" t="s">
        <v>1046</v>
      </c>
      <c r="G249" t="s">
        <v>1047</v>
      </c>
      <c r="H249" t="s">
        <v>1047</v>
      </c>
      <c r="I249" t="s">
        <v>1048</v>
      </c>
      <c r="J249" t="s">
        <v>1049</v>
      </c>
      <c r="K249" t="s">
        <v>1050</v>
      </c>
      <c r="L249" t="s">
        <v>5676</v>
      </c>
      <c r="M249" t="s">
        <v>3767</v>
      </c>
      <c r="N249" t="s">
        <v>107</v>
      </c>
      <c r="O249" t="s">
        <v>1047</v>
      </c>
      <c r="P249" t="s">
        <v>4782</v>
      </c>
      <c r="Q249" t="s">
        <v>1048</v>
      </c>
      <c r="R249" t="s">
        <v>1049</v>
      </c>
      <c r="S249" t="s">
        <v>1050</v>
      </c>
      <c r="T249" t="s">
        <v>4796</v>
      </c>
      <c r="U249" t="s">
        <v>4797</v>
      </c>
      <c r="V249" t="s">
        <v>4798</v>
      </c>
      <c r="W249" t="s">
        <v>4786</v>
      </c>
      <c r="X249" t="s">
        <v>4807</v>
      </c>
      <c r="Y249" t="s">
        <v>4800</v>
      </c>
      <c r="Z249" t="s">
        <v>5680</v>
      </c>
      <c r="AA249" t="s">
        <v>4864</v>
      </c>
      <c r="AB249" t="s">
        <v>4798</v>
      </c>
      <c r="AC249" t="s">
        <v>66</v>
      </c>
      <c r="AD249" t="s">
        <v>66</v>
      </c>
      <c r="AE249" t="s">
        <v>66</v>
      </c>
      <c r="AF249" t="s">
        <v>5678</v>
      </c>
      <c r="AG249" t="s">
        <v>5681</v>
      </c>
      <c r="AH249" t="s">
        <v>5678</v>
      </c>
      <c r="AI249" t="s">
        <v>5681</v>
      </c>
      <c r="AJ249" t="s">
        <v>5678</v>
      </c>
      <c r="AK249" t="s">
        <v>5681</v>
      </c>
      <c r="AL249" t="s">
        <v>4792</v>
      </c>
    </row>
    <row r="250" customHeight="1" spans="1:38">
      <c r="A250" t="s">
        <v>22</v>
      </c>
      <c r="B250" t="s">
        <v>49</v>
      </c>
      <c r="C250" t="s">
        <v>51</v>
      </c>
      <c r="D250" t="s">
        <v>22</v>
      </c>
      <c r="E250" t="s">
        <v>5682</v>
      </c>
      <c r="F250" t="s">
        <v>1046</v>
      </c>
      <c r="G250" t="s">
        <v>1047</v>
      </c>
      <c r="H250" t="s">
        <v>1047</v>
      </c>
      <c r="I250" t="s">
        <v>1048</v>
      </c>
      <c r="J250" t="s">
        <v>1049</v>
      </c>
      <c r="K250" t="s">
        <v>1050</v>
      </c>
      <c r="L250" t="s">
        <v>5683</v>
      </c>
      <c r="M250" t="s">
        <v>1100</v>
      </c>
      <c r="N250" t="s">
        <v>107</v>
      </c>
      <c r="O250" t="s">
        <v>1047</v>
      </c>
      <c r="P250" t="s">
        <v>4782</v>
      </c>
      <c r="Q250" t="s">
        <v>1048</v>
      </c>
      <c r="R250" t="s">
        <v>1049</v>
      </c>
      <c r="S250" t="s">
        <v>1050</v>
      </c>
      <c r="T250" t="s">
        <v>4796</v>
      </c>
      <c r="U250" t="s">
        <v>4797</v>
      </c>
      <c r="V250" t="s">
        <v>4798</v>
      </c>
      <c r="W250" t="s">
        <v>4786</v>
      </c>
      <c r="X250" t="s">
        <v>4807</v>
      </c>
      <c r="Y250" t="s">
        <v>4800</v>
      </c>
      <c r="Z250" t="s">
        <v>4847</v>
      </c>
      <c r="AA250" t="s">
        <v>4848</v>
      </c>
      <c r="AB250" t="s">
        <v>4798</v>
      </c>
      <c r="AC250" t="s">
        <v>66</v>
      </c>
      <c r="AD250" t="s">
        <v>66</v>
      </c>
      <c r="AE250" t="s">
        <v>66</v>
      </c>
      <c r="AF250" t="s">
        <v>5684</v>
      </c>
      <c r="AG250" t="s">
        <v>5685</v>
      </c>
      <c r="AH250" t="s">
        <v>5684</v>
      </c>
      <c r="AI250" t="s">
        <v>5685</v>
      </c>
      <c r="AJ250" t="s">
        <v>5684</v>
      </c>
      <c r="AK250" t="s">
        <v>5685</v>
      </c>
      <c r="AL250" t="s">
        <v>4792</v>
      </c>
    </row>
    <row r="251" customHeight="1" spans="1:38">
      <c r="A251" t="s">
        <v>22</v>
      </c>
      <c r="B251" t="s">
        <v>49</v>
      </c>
      <c r="C251" t="s">
        <v>51</v>
      </c>
      <c r="D251" t="s">
        <v>22</v>
      </c>
      <c r="E251" t="s">
        <v>5682</v>
      </c>
      <c r="F251" t="s">
        <v>1046</v>
      </c>
      <c r="G251" t="s">
        <v>1047</v>
      </c>
      <c r="H251" t="s">
        <v>1047</v>
      </c>
      <c r="I251" t="s">
        <v>1048</v>
      </c>
      <c r="J251" t="s">
        <v>1049</v>
      </c>
      <c r="K251" t="s">
        <v>1050</v>
      </c>
      <c r="L251" t="s">
        <v>5683</v>
      </c>
      <c r="M251" t="s">
        <v>1100</v>
      </c>
      <c r="N251" t="s">
        <v>107</v>
      </c>
      <c r="O251" t="s">
        <v>1047</v>
      </c>
      <c r="P251" t="s">
        <v>4782</v>
      </c>
      <c r="Q251" t="s">
        <v>1048</v>
      </c>
      <c r="R251" t="s">
        <v>1049</v>
      </c>
      <c r="S251" t="s">
        <v>1050</v>
      </c>
      <c r="T251" t="s">
        <v>4796</v>
      </c>
      <c r="U251" t="s">
        <v>4805</v>
      </c>
      <c r="V251" t="s">
        <v>4806</v>
      </c>
      <c r="W251" t="s">
        <v>4786</v>
      </c>
      <c r="X251" t="s">
        <v>4807</v>
      </c>
      <c r="Y251" t="s">
        <v>4800</v>
      </c>
      <c r="Z251" t="s">
        <v>5686</v>
      </c>
      <c r="AA251" t="s">
        <v>5687</v>
      </c>
      <c r="AB251" t="s">
        <v>5688</v>
      </c>
      <c r="AC251" t="s">
        <v>66</v>
      </c>
      <c r="AD251" t="s">
        <v>66</v>
      </c>
      <c r="AE251" t="s">
        <v>66</v>
      </c>
      <c r="AF251" t="s">
        <v>5331</v>
      </c>
      <c r="AG251" t="s">
        <v>5689</v>
      </c>
      <c r="AH251" t="s">
        <v>5331</v>
      </c>
      <c r="AI251" t="s">
        <v>5689</v>
      </c>
      <c r="AJ251" t="s">
        <v>5331</v>
      </c>
      <c r="AK251" t="s">
        <v>5689</v>
      </c>
      <c r="AL251" t="s">
        <v>4792</v>
      </c>
    </row>
    <row r="252" customHeight="1" spans="1:38">
      <c r="A252" t="s">
        <v>22</v>
      </c>
      <c r="B252" t="s">
        <v>49</v>
      </c>
      <c r="C252" t="s">
        <v>51</v>
      </c>
      <c r="D252" t="s">
        <v>22</v>
      </c>
      <c r="E252" t="s">
        <v>5690</v>
      </c>
      <c r="F252" t="s">
        <v>1046</v>
      </c>
      <c r="G252" t="s">
        <v>1047</v>
      </c>
      <c r="H252" t="s">
        <v>1047</v>
      </c>
      <c r="I252" t="s">
        <v>1048</v>
      </c>
      <c r="J252" t="s">
        <v>1049</v>
      </c>
      <c r="K252" t="s">
        <v>1050</v>
      </c>
      <c r="L252" t="s">
        <v>5691</v>
      </c>
      <c r="M252" t="s">
        <v>1161</v>
      </c>
      <c r="N252" t="s">
        <v>107</v>
      </c>
      <c r="O252" t="s">
        <v>1047</v>
      </c>
      <c r="P252" t="s">
        <v>4782</v>
      </c>
      <c r="Q252" t="s">
        <v>1048</v>
      </c>
      <c r="R252" t="s">
        <v>1049</v>
      </c>
      <c r="S252" t="s">
        <v>1050</v>
      </c>
      <c r="T252" t="s">
        <v>4796</v>
      </c>
      <c r="U252" t="s">
        <v>4805</v>
      </c>
      <c r="V252" t="s">
        <v>4806</v>
      </c>
      <c r="W252" t="s">
        <v>4786</v>
      </c>
      <c r="X252" t="s">
        <v>4820</v>
      </c>
      <c r="Y252" t="s">
        <v>4800</v>
      </c>
      <c r="Z252" t="s">
        <v>3941</v>
      </c>
      <c r="AA252" t="s">
        <v>5081</v>
      </c>
      <c r="AB252" t="s">
        <v>5692</v>
      </c>
      <c r="AC252" t="s">
        <v>66</v>
      </c>
      <c r="AD252" t="s">
        <v>66</v>
      </c>
      <c r="AE252" t="s">
        <v>66</v>
      </c>
      <c r="AF252" t="s">
        <v>5331</v>
      </c>
      <c r="AG252" t="s">
        <v>5693</v>
      </c>
      <c r="AH252" t="s">
        <v>5331</v>
      </c>
      <c r="AI252" t="s">
        <v>5693</v>
      </c>
      <c r="AJ252" t="s">
        <v>5331</v>
      </c>
      <c r="AK252" t="s">
        <v>5693</v>
      </c>
      <c r="AL252" t="s">
        <v>4792</v>
      </c>
    </row>
    <row r="253" customHeight="1" spans="1:38">
      <c r="A253" t="s">
        <v>22</v>
      </c>
      <c r="B253" t="s">
        <v>49</v>
      </c>
      <c r="C253" t="s">
        <v>51</v>
      </c>
      <c r="D253" t="s">
        <v>22</v>
      </c>
      <c r="E253" t="s">
        <v>5690</v>
      </c>
      <c r="F253" t="s">
        <v>1046</v>
      </c>
      <c r="G253" t="s">
        <v>1047</v>
      </c>
      <c r="H253" t="s">
        <v>1047</v>
      </c>
      <c r="I253" t="s">
        <v>1048</v>
      </c>
      <c r="J253" t="s">
        <v>1049</v>
      </c>
      <c r="K253" t="s">
        <v>1050</v>
      </c>
      <c r="L253" t="s">
        <v>5691</v>
      </c>
      <c r="M253" t="s">
        <v>1161</v>
      </c>
      <c r="N253" t="s">
        <v>107</v>
      </c>
      <c r="O253" t="s">
        <v>1047</v>
      </c>
      <c r="P253" t="s">
        <v>4782</v>
      </c>
      <c r="Q253" t="s">
        <v>1048</v>
      </c>
      <c r="R253" t="s">
        <v>1049</v>
      </c>
      <c r="S253" t="s">
        <v>1050</v>
      </c>
      <c r="T253" t="s">
        <v>4796</v>
      </c>
      <c r="U253" t="s">
        <v>4797</v>
      </c>
      <c r="V253" t="s">
        <v>4798</v>
      </c>
      <c r="W253" t="s">
        <v>4786</v>
      </c>
      <c r="X253" t="s">
        <v>4807</v>
      </c>
      <c r="Y253" t="s">
        <v>4800</v>
      </c>
      <c r="Z253" t="s">
        <v>4847</v>
      </c>
      <c r="AA253" t="s">
        <v>4848</v>
      </c>
      <c r="AB253" t="s">
        <v>4798</v>
      </c>
      <c r="AC253" t="s">
        <v>66</v>
      </c>
      <c r="AD253" t="s">
        <v>66</v>
      </c>
      <c r="AE253" t="s">
        <v>66</v>
      </c>
      <c r="AF253" t="s">
        <v>5694</v>
      </c>
      <c r="AG253" t="s">
        <v>5695</v>
      </c>
      <c r="AH253" t="s">
        <v>5696</v>
      </c>
      <c r="AI253" t="s">
        <v>5695</v>
      </c>
      <c r="AJ253" t="s">
        <v>5696</v>
      </c>
      <c r="AK253" t="s">
        <v>5695</v>
      </c>
      <c r="AL253" t="s">
        <v>4792</v>
      </c>
    </row>
    <row r="254" customHeight="1" spans="1:38">
      <c r="A254" t="s">
        <v>22</v>
      </c>
      <c r="B254" t="s">
        <v>49</v>
      </c>
      <c r="C254" t="s">
        <v>51</v>
      </c>
      <c r="D254" t="s">
        <v>22</v>
      </c>
      <c r="E254" t="s">
        <v>5697</v>
      </c>
      <c r="F254" t="s">
        <v>1046</v>
      </c>
      <c r="G254" t="s">
        <v>1047</v>
      </c>
      <c r="H254" t="s">
        <v>1047</v>
      </c>
      <c r="I254" t="s">
        <v>1048</v>
      </c>
      <c r="J254" t="s">
        <v>1049</v>
      </c>
      <c r="K254" t="s">
        <v>1050</v>
      </c>
      <c r="L254" t="s">
        <v>5698</v>
      </c>
      <c r="M254" t="s">
        <v>5699</v>
      </c>
      <c r="N254" t="s">
        <v>107</v>
      </c>
      <c r="O254" t="s">
        <v>1047</v>
      </c>
      <c r="P254" t="s">
        <v>4782</v>
      </c>
      <c r="Q254" t="s">
        <v>1048</v>
      </c>
      <c r="R254" t="s">
        <v>1049</v>
      </c>
      <c r="S254" t="s">
        <v>1050</v>
      </c>
      <c r="T254" t="s">
        <v>4796</v>
      </c>
      <c r="U254" t="s">
        <v>4797</v>
      </c>
      <c r="V254" t="s">
        <v>4841</v>
      </c>
      <c r="W254" t="s">
        <v>4786</v>
      </c>
      <c r="X254" t="s">
        <v>4807</v>
      </c>
      <c r="Y254" t="s">
        <v>4800</v>
      </c>
      <c r="Z254" t="s">
        <v>5700</v>
      </c>
      <c r="AA254" t="s">
        <v>4856</v>
      </c>
      <c r="AB254" t="s">
        <v>4841</v>
      </c>
      <c r="AC254" t="s">
        <v>66</v>
      </c>
      <c r="AD254" t="s">
        <v>66</v>
      </c>
      <c r="AE254" t="s">
        <v>66</v>
      </c>
      <c r="AF254" t="s">
        <v>5701</v>
      </c>
      <c r="AG254" t="s">
        <v>5702</v>
      </c>
      <c r="AH254" t="s">
        <v>5701</v>
      </c>
      <c r="AI254" t="s">
        <v>5702</v>
      </c>
      <c r="AJ254" t="s">
        <v>5701</v>
      </c>
      <c r="AK254" t="s">
        <v>5702</v>
      </c>
      <c r="AL254" t="s">
        <v>4792</v>
      </c>
    </row>
    <row r="255" customHeight="1" spans="1:38">
      <c r="A255" t="s">
        <v>22</v>
      </c>
      <c r="B255" t="s">
        <v>49</v>
      </c>
      <c r="C255" t="s">
        <v>51</v>
      </c>
      <c r="D255" t="s">
        <v>22</v>
      </c>
      <c r="E255" t="s">
        <v>5697</v>
      </c>
      <c r="F255" t="s">
        <v>1046</v>
      </c>
      <c r="G255" t="s">
        <v>1047</v>
      </c>
      <c r="H255" t="s">
        <v>1047</v>
      </c>
      <c r="I255" t="s">
        <v>1048</v>
      </c>
      <c r="J255" t="s">
        <v>1049</v>
      </c>
      <c r="K255" t="s">
        <v>1050</v>
      </c>
      <c r="L255" t="s">
        <v>5698</v>
      </c>
      <c r="M255" t="s">
        <v>5699</v>
      </c>
      <c r="N255" t="s">
        <v>107</v>
      </c>
      <c r="O255" t="s">
        <v>1047</v>
      </c>
      <c r="P255" t="s">
        <v>4782</v>
      </c>
      <c r="Q255" t="s">
        <v>1048</v>
      </c>
      <c r="R255" t="s">
        <v>1049</v>
      </c>
      <c r="S255" t="s">
        <v>1050</v>
      </c>
      <c r="T255" t="s">
        <v>4796</v>
      </c>
      <c r="U255" t="s">
        <v>4805</v>
      </c>
      <c r="V255" t="s">
        <v>4806</v>
      </c>
      <c r="W255" t="s">
        <v>4786</v>
      </c>
      <c r="X255" t="s">
        <v>4828</v>
      </c>
      <c r="Y255" t="s">
        <v>4800</v>
      </c>
      <c r="Z255" t="s">
        <v>5703</v>
      </c>
      <c r="AA255" t="s">
        <v>4944</v>
      </c>
      <c r="AB255" t="s">
        <v>5147</v>
      </c>
      <c r="AC255" t="s">
        <v>66</v>
      </c>
      <c r="AD255" t="s">
        <v>66</v>
      </c>
      <c r="AE255" t="s">
        <v>66</v>
      </c>
      <c r="AF255" t="s">
        <v>5701</v>
      </c>
      <c r="AG255" t="s">
        <v>5704</v>
      </c>
      <c r="AH255" t="s">
        <v>5701</v>
      </c>
      <c r="AI255" t="s">
        <v>5704</v>
      </c>
      <c r="AJ255" t="s">
        <v>5701</v>
      </c>
      <c r="AK255" t="s">
        <v>5704</v>
      </c>
      <c r="AL255" t="s">
        <v>4792</v>
      </c>
    </row>
    <row r="256" customHeight="1" spans="1:38">
      <c r="A256" t="s">
        <v>22</v>
      </c>
      <c r="B256" t="s">
        <v>49</v>
      </c>
      <c r="C256" t="s">
        <v>51</v>
      </c>
      <c r="D256" t="s">
        <v>22</v>
      </c>
      <c r="E256" t="s">
        <v>5705</v>
      </c>
      <c r="F256" t="s">
        <v>1046</v>
      </c>
      <c r="G256" t="s">
        <v>1047</v>
      </c>
      <c r="H256" t="s">
        <v>1047</v>
      </c>
      <c r="I256" t="s">
        <v>1048</v>
      </c>
      <c r="J256" t="s">
        <v>1049</v>
      </c>
      <c r="K256" t="s">
        <v>1050</v>
      </c>
      <c r="L256" t="s">
        <v>5706</v>
      </c>
      <c r="M256" t="s">
        <v>5707</v>
      </c>
      <c r="N256" t="s">
        <v>107</v>
      </c>
      <c r="O256" t="s">
        <v>1047</v>
      </c>
      <c r="P256" t="s">
        <v>4782</v>
      </c>
      <c r="Q256" t="s">
        <v>1048</v>
      </c>
      <c r="R256" t="s">
        <v>1049</v>
      </c>
      <c r="S256" t="s">
        <v>1050</v>
      </c>
      <c r="T256" t="s">
        <v>4796</v>
      </c>
      <c r="U256" t="s">
        <v>4797</v>
      </c>
      <c r="V256" t="s">
        <v>4814</v>
      </c>
      <c r="W256" t="s">
        <v>4786</v>
      </c>
      <c r="X256" t="s">
        <v>4807</v>
      </c>
      <c r="Y256" t="s">
        <v>4800</v>
      </c>
      <c r="Z256" t="s">
        <v>5708</v>
      </c>
      <c r="AA256" t="s">
        <v>4921</v>
      </c>
      <c r="AB256" t="s">
        <v>4814</v>
      </c>
      <c r="AC256" t="s">
        <v>66</v>
      </c>
      <c r="AD256" t="s">
        <v>66</v>
      </c>
      <c r="AE256" t="s">
        <v>66</v>
      </c>
      <c r="AF256" t="s">
        <v>5709</v>
      </c>
      <c r="AG256" t="s">
        <v>5710</v>
      </c>
      <c r="AH256" t="s">
        <v>5711</v>
      </c>
      <c r="AI256" t="s">
        <v>5710</v>
      </c>
      <c r="AJ256" t="s">
        <v>5711</v>
      </c>
      <c r="AK256" t="s">
        <v>5710</v>
      </c>
      <c r="AL256" t="s">
        <v>4792</v>
      </c>
    </row>
    <row r="257" customHeight="1" spans="1:38">
      <c r="A257" t="s">
        <v>22</v>
      </c>
      <c r="B257" t="s">
        <v>49</v>
      </c>
      <c r="C257" t="s">
        <v>51</v>
      </c>
      <c r="D257" t="s">
        <v>22</v>
      </c>
      <c r="E257" t="s">
        <v>5705</v>
      </c>
      <c r="F257" t="s">
        <v>1046</v>
      </c>
      <c r="G257" t="s">
        <v>1047</v>
      </c>
      <c r="H257" t="s">
        <v>1047</v>
      </c>
      <c r="I257" t="s">
        <v>1048</v>
      </c>
      <c r="J257" t="s">
        <v>1049</v>
      </c>
      <c r="K257" t="s">
        <v>1050</v>
      </c>
      <c r="L257" t="s">
        <v>5706</v>
      </c>
      <c r="M257" t="s">
        <v>5707</v>
      </c>
      <c r="N257" t="s">
        <v>107</v>
      </c>
      <c r="O257" t="s">
        <v>1047</v>
      </c>
      <c r="P257" t="s">
        <v>4782</v>
      </c>
      <c r="Q257" t="s">
        <v>1048</v>
      </c>
      <c r="R257" t="s">
        <v>1049</v>
      </c>
      <c r="S257" t="s">
        <v>1050</v>
      </c>
      <c r="T257" t="s">
        <v>4796</v>
      </c>
      <c r="U257" t="s">
        <v>4805</v>
      </c>
      <c r="V257" t="s">
        <v>4806</v>
      </c>
      <c r="W257" t="s">
        <v>4786</v>
      </c>
      <c r="X257" t="s">
        <v>4828</v>
      </c>
      <c r="Y257" t="s">
        <v>4800</v>
      </c>
      <c r="Z257" t="s">
        <v>5712</v>
      </c>
      <c r="AA257" t="s">
        <v>5282</v>
      </c>
      <c r="AB257" t="s">
        <v>4831</v>
      </c>
      <c r="AC257" t="s">
        <v>66</v>
      </c>
      <c r="AD257" t="s">
        <v>66</v>
      </c>
      <c r="AE257" t="s">
        <v>66</v>
      </c>
      <c r="AF257" t="s">
        <v>5709</v>
      </c>
      <c r="AG257" t="s">
        <v>5713</v>
      </c>
      <c r="AH257" t="s">
        <v>5711</v>
      </c>
      <c r="AI257" t="s">
        <v>5713</v>
      </c>
      <c r="AJ257" t="s">
        <v>5711</v>
      </c>
      <c r="AK257" t="s">
        <v>5713</v>
      </c>
      <c r="AL257" t="s">
        <v>4792</v>
      </c>
    </row>
    <row r="258" customHeight="1" spans="1:38">
      <c r="A258" t="s">
        <v>22</v>
      </c>
      <c r="B258" t="s">
        <v>49</v>
      </c>
      <c r="C258" t="s">
        <v>51</v>
      </c>
      <c r="D258" t="s">
        <v>22</v>
      </c>
      <c r="E258" t="s">
        <v>5714</v>
      </c>
      <c r="F258" t="s">
        <v>1070</v>
      </c>
      <c r="G258" t="s">
        <v>1047</v>
      </c>
      <c r="H258" t="s">
        <v>1047</v>
      </c>
      <c r="I258" t="s">
        <v>1048</v>
      </c>
      <c r="J258" t="s">
        <v>1049</v>
      </c>
      <c r="K258" t="s">
        <v>1050</v>
      </c>
      <c r="L258" t="s">
        <v>5715</v>
      </c>
      <c r="M258" t="s">
        <v>5716</v>
      </c>
      <c r="N258" t="s">
        <v>107</v>
      </c>
      <c r="O258" t="s">
        <v>1047</v>
      </c>
      <c r="P258" t="s">
        <v>4782</v>
      </c>
      <c r="Q258" t="s">
        <v>1048</v>
      </c>
      <c r="R258" t="s">
        <v>1049</v>
      </c>
      <c r="S258" t="s">
        <v>1050</v>
      </c>
      <c r="T258" t="s">
        <v>4796</v>
      </c>
      <c r="U258" t="s">
        <v>4805</v>
      </c>
      <c r="V258" t="s">
        <v>4806</v>
      </c>
      <c r="W258" t="s">
        <v>4786</v>
      </c>
      <c r="X258" t="s">
        <v>4828</v>
      </c>
      <c r="Y258" t="s">
        <v>4800</v>
      </c>
      <c r="Z258" t="s">
        <v>5717</v>
      </c>
      <c r="AA258" t="s">
        <v>5146</v>
      </c>
      <c r="AB258" t="s">
        <v>5147</v>
      </c>
      <c r="AC258" t="s">
        <v>66</v>
      </c>
      <c r="AD258" t="s">
        <v>19</v>
      </c>
      <c r="AE258" t="s">
        <v>19</v>
      </c>
      <c r="AF258" t="s">
        <v>5234</v>
      </c>
      <c r="AG258" t="s">
        <v>5718</v>
      </c>
      <c r="AH258" t="s">
        <v>22</v>
      </c>
      <c r="AI258" t="s">
        <v>22</v>
      </c>
      <c r="AJ258" t="s">
        <v>22</v>
      </c>
      <c r="AK258" t="s">
        <v>22</v>
      </c>
      <c r="AL258" t="s">
        <v>4792</v>
      </c>
    </row>
    <row r="259" customHeight="1" spans="1:38">
      <c r="A259" t="s">
        <v>22</v>
      </c>
      <c r="B259" t="s">
        <v>49</v>
      </c>
      <c r="C259" t="s">
        <v>51</v>
      </c>
      <c r="D259" t="s">
        <v>22</v>
      </c>
      <c r="E259" t="s">
        <v>5714</v>
      </c>
      <c r="F259" t="s">
        <v>1070</v>
      </c>
      <c r="G259" t="s">
        <v>1047</v>
      </c>
      <c r="H259" t="s">
        <v>1047</v>
      </c>
      <c r="I259" t="s">
        <v>1048</v>
      </c>
      <c r="J259" t="s">
        <v>1049</v>
      </c>
      <c r="K259" t="s">
        <v>1050</v>
      </c>
      <c r="L259" t="s">
        <v>5715</v>
      </c>
      <c r="M259" t="s">
        <v>5716</v>
      </c>
      <c r="N259" t="s">
        <v>107</v>
      </c>
      <c r="O259" t="s">
        <v>1047</v>
      </c>
      <c r="P259" t="s">
        <v>4782</v>
      </c>
      <c r="Q259" t="s">
        <v>1048</v>
      </c>
      <c r="R259" t="s">
        <v>1049</v>
      </c>
      <c r="S259" t="s">
        <v>1050</v>
      </c>
      <c r="T259" t="s">
        <v>4796</v>
      </c>
      <c r="U259" t="s">
        <v>4797</v>
      </c>
      <c r="V259" t="s">
        <v>4841</v>
      </c>
      <c r="W259" t="s">
        <v>4786</v>
      </c>
      <c r="X259" t="s">
        <v>4807</v>
      </c>
      <c r="Y259" t="s">
        <v>4800</v>
      </c>
      <c r="Z259" t="s">
        <v>5719</v>
      </c>
      <c r="AA259" t="s">
        <v>5720</v>
      </c>
      <c r="AB259" t="s">
        <v>4841</v>
      </c>
      <c r="AC259" t="s">
        <v>66</v>
      </c>
      <c r="AD259" t="s">
        <v>19</v>
      </c>
      <c r="AE259" t="s">
        <v>19</v>
      </c>
      <c r="AF259" t="s">
        <v>5234</v>
      </c>
      <c r="AG259" t="s">
        <v>5721</v>
      </c>
      <c r="AH259" t="s">
        <v>22</v>
      </c>
      <c r="AI259" t="s">
        <v>22</v>
      </c>
      <c r="AJ259" t="s">
        <v>22</v>
      </c>
      <c r="AK259" t="s">
        <v>22</v>
      </c>
      <c r="AL259" t="s">
        <v>4792</v>
      </c>
    </row>
    <row r="260" customHeight="1" spans="1:38">
      <c r="A260" t="s">
        <v>22</v>
      </c>
      <c r="B260" t="s">
        <v>49</v>
      </c>
      <c r="C260" t="s">
        <v>51</v>
      </c>
      <c r="D260" t="s">
        <v>22</v>
      </c>
      <c r="E260" t="s">
        <v>5722</v>
      </c>
      <c r="F260" t="s">
        <v>1046</v>
      </c>
      <c r="G260" t="s">
        <v>1047</v>
      </c>
      <c r="H260" t="s">
        <v>1047</v>
      </c>
      <c r="I260" t="s">
        <v>1048</v>
      </c>
      <c r="J260" t="s">
        <v>1049</v>
      </c>
      <c r="K260" t="s">
        <v>1050</v>
      </c>
      <c r="L260" t="s">
        <v>5723</v>
      </c>
      <c r="M260" t="s">
        <v>1142</v>
      </c>
      <c r="N260" t="s">
        <v>107</v>
      </c>
      <c r="O260" t="s">
        <v>1047</v>
      </c>
      <c r="P260" t="s">
        <v>4782</v>
      </c>
      <c r="Q260" t="s">
        <v>1048</v>
      </c>
      <c r="R260" t="s">
        <v>1049</v>
      </c>
      <c r="S260" t="s">
        <v>1050</v>
      </c>
      <c r="T260" t="s">
        <v>4796</v>
      </c>
      <c r="U260" t="s">
        <v>4805</v>
      </c>
      <c r="V260" t="s">
        <v>4806</v>
      </c>
      <c r="W260" t="s">
        <v>4786</v>
      </c>
      <c r="X260" t="s">
        <v>4828</v>
      </c>
      <c r="Y260" t="s">
        <v>4800</v>
      </c>
      <c r="Z260" t="s">
        <v>5724</v>
      </c>
      <c r="AA260" t="s">
        <v>4944</v>
      </c>
      <c r="AB260" t="s">
        <v>4936</v>
      </c>
      <c r="AC260" t="s">
        <v>66</v>
      </c>
      <c r="AD260" t="s">
        <v>66</v>
      </c>
      <c r="AE260" t="s">
        <v>66</v>
      </c>
      <c r="AF260" t="s">
        <v>4839</v>
      </c>
      <c r="AG260" t="s">
        <v>5725</v>
      </c>
      <c r="AH260" t="s">
        <v>4839</v>
      </c>
      <c r="AI260" t="s">
        <v>5725</v>
      </c>
      <c r="AJ260" t="s">
        <v>4839</v>
      </c>
      <c r="AK260" t="s">
        <v>5725</v>
      </c>
      <c r="AL260" t="s">
        <v>4792</v>
      </c>
    </row>
    <row r="261" customHeight="1" spans="1:38">
      <c r="A261" t="s">
        <v>22</v>
      </c>
      <c r="B261" t="s">
        <v>49</v>
      </c>
      <c r="C261" t="s">
        <v>51</v>
      </c>
      <c r="D261" t="s">
        <v>22</v>
      </c>
      <c r="E261" t="s">
        <v>5722</v>
      </c>
      <c r="F261" t="s">
        <v>1046</v>
      </c>
      <c r="G261" t="s">
        <v>1047</v>
      </c>
      <c r="H261" t="s">
        <v>1047</v>
      </c>
      <c r="I261" t="s">
        <v>1048</v>
      </c>
      <c r="J261" t="s">
        <v>1049</v>
      </c>
      <c r="K261" t="s">
        <v>1050</v>
      </c>
      <c r="L261" t="s">
        <v>5723</v>
      </c>
      <c r="M261" t="s">
        <v>1142</v>
      </c>
      <c r="N261" t="s">
        <v>107</v>
      </c>
      <c r="O261" t="s">
        <v>1047</v>
      </c>
      <c r="P261" t="s">
        <v>4782</v>
      </c>
      <c r="Q261" t="s">
        <v>1048</v>
      </c>
      <c r="R261" t="s">
        <v>1049</v>
      </c>
      <c r="S261" t="s">
        <v>1050</v>
      </c>
      <c r="T261" t="s">
        <v>4796</v>
      </c>
      <c r="U261" t="s">
        <v>4797</v>
      </c>
      <c r="V261" t="s">
        <v>4798</v>
      </c>
      <c r="W261" t="s">
        <v>4786</v>
      </c>
      <c r="X261" t="s">
        <v>4807</v>
      </c>
      <c r="Y261" t="s">
        <v>4800</v>
      </c>
      <c r="Z261" t="s">
        <v>5726</v>
      </c>
      <c r="AA261" t="s">
        <v>4864</v>
      </c>
      <c r="AB261" t="s">
        <v>4798</v>
      </c>
      <c r="AC261" t="s">
        <v>66</v>
      </c>
      <c r="AD261" t="s">
        <v>66</v>
      </c>
      <c r="AE261" t="s">
        <v>66</v>
      </c>
      <c r="AF261" t="s">
        <v>5226</v>
      </c>
      <c r="AG261" t="s">
        <v>5727</v>
      </c>
      <c r="AH261" t="s">
        <v>5226</v>
      </c>
      <c r="AI261" t="s">
        <v>5727</v>
      </c>
      <c r="AJ261" t="s">
        <v>5226</v>
      </c>
      <c r="AK261" t="s">
        <v>5727</v>
      </c>
      <c r="AL261" t="s">
        <v>4792</v>
      </c>
    </row>
    <row r="262" customHeight="1" spans="1:38">
      <c r="A262" t="s">
        <v>22</v>
      </c>
      <c r="B262" t="s">
        <v>49</v>
      </c>
      <c r="C262" t="s">
        <v>51</v>
      </c>
      <c r="D262" t="s">
        <v>22</v>
      </c>
      <c r="E262" t="s">
        <v>5728</v>
      </c>
      <c r="F262" t="s">
        <v>1046</v>
      </c>
      <c r="G262" t="s">
        <v>1047</v>
      </c>
      <c r="H262" t="s">
        <v>1047</v>
      </c>
      <c r="I262" t="s">
        <v>1048</v>
      </c>
      <c r="J262" t="s">
        <v>1049</v>
      </c>
      <c r="K262" t="s">
        <v>1050</v>
      </c>
      <c r="L262" t="s">
        <v>1066</v>
      </c>
      <c r="M262" t="s">
        <v>1180</v>
      </c>
      <c r="N262" t="s">
        <v>107</v>
      </c>
      <c r="O262" t="s">
        <v>1047</v>
      </c>
      <c r="P262" t="s">
        <v>4782</v>
      </c>
      <c r="Q262" t="s">
        <v>1048</v>
      </c>
      <c r="R262" t="s">
        <v>1049</v>
      </c>
      <c r="S262" t="s">
        <v>1050</v>
      </c>
      <c r="T262" t="s">
        <v>4796</v>
      </c>
      <c r="U262" t="s">
        <v>4797</v>
      </c>
      <c r="V262" t="s">
        <v>4798</v>
      </c>
      <c r="W262" t="s">
        <v>4786</v>
      </c>
      <c r="X262" t="s">
        <v>4807</v>
      </c>
      <c r="Y262" t="s">
        <v>4800</v>
      </c>
      <c r="Z262" t="s">
        <v>4847</v>
      </c>
      <c r="AA262" t="s">
        <v>4848</v>
      </c>
      <c r="AB262" t="s">
        <v>4798</v>
      </c>
      <c r="AC262" t="s">
        <v>66</v>
      </c>
      <c r="AD262" t="s">
        <v>66</v>
      </c>
      <c r="AE262" t="s">
        <v>66</v>
      </c>
      <c r="AF262" t="s">
        <v>5074</v>
      </c>
      <c r="AG262" t="s">
        <v>5729</v>
      </c>
      <c r="AH262" t="s">
        <v>5074</v>
      </c>
      <c r="AI262" t="s">
        <v>5729</v>
      </c>
      <c r="AJ262" t="s">
        <v>5074</v>
      </c>
      <c r="AK262" t="s">
        <v>5729</v>
      </c>
      <c r="AL262" t="s">
        <v>4792</v>
      </c>
    </row>
    <row r="263" customHeight="1" spans="1:38">
      <c r="A263" t="s">
        <v>22</v>
      </c>
      <c r="B263" t="s">
        <v>49</v>
      </c>
      <c r="C263" t="s">
        <v>51</v>
      </c>
      <c r="D263" t="s">
        <v>22</v>
      </c>
      <c r="E263" t="s">
        <v>5728</v>
      </c>
      <c r="F263" t="s">
        <v>1046</v>
      </c>
      <c r="G263" t="s">
        <v>1047</v>
      </c>
      <c r="H263" t="s">
        <v>1047</v>
      </c>
      <c r="I263" t="s">
        <v>1048</v>
      </c>
      <c r="J263" t="s">
        <v>1049</v>
      </c>
      <c r="K263" t="s">
        <v>1050</v>
      </c>
      <c r="L263" t="s">
        <v>1066</v>
      </c>
      <c r="M263" t="s">
        <v>1180</v>
      </c>
      <c r="N263" t="s">
        <v>107</v>
      </c>
      <c r="O263" t="s">
        <v>1047</v>
      </c>
      <c r="P263" t="s">
        <v>4782</v>
      </c>
      <c r="Q263" t="s">
        <v>1048</v>
      </c>
      <c r="R263" t="s">
        <v>1049</v>
      </c>
      <c r="S263" t="s">
        <v>1050</v>
      </c>
      <c r="T263" t="s">
        <v>4796</v>
      </c>
      <c r="U263" t="s">
        <v>4805</v>
      </c>
      <c r="V263" t="s">
        <v>4806</v>
      </c>
      <c r="W263" t="s">
        <v>4786</v>
      </c>
      <c r="X263" t="s">
        <v>4807</v>
      </c>
      <c r="Y263" t="s">
        <v>4800</v>
      </c>
      <c r="Z263" t="s">
        <v>4836</v>
      </c>
      <c r="AA263" t="s">
        <v>4837</v>
      </c>
      <c r="AB263" t="s">
        <v>4838</v>
      </c>
      <c r="AC263" t="s">
        <v>66</v>
      </c>
      <c r="AD263" t="s">
        <v>66</v>
      </c>
      <c r="AE263" t="s">
        <v>66</v>
      </c>
      <c r="AF263" t="s">
        <v>5074</v>
      </c>
      <c r="AG263" t="s">
        <v>5730</v>
      </c>
      <c r="AH263" t="s">
        <v>5074</v>
      </c>
      <c r="AI263" t="s">
        <v>5730</v>
      </c>
      <c r="AJ263" t="s">
        <v>5074</v>
      </c>
      <c r="AK263" t="s">
        <v>5730</v>
      </c>
      <c r="AL263" t="s">
        <v>4792</v>
      </c>
    </row>
    <row r="264" customHeight="1" spans="1:38">
      <c r="A264" t="s">
        <v>22</v>
      </c>
      <c r="B264" t="s">
        <v>49</v>
      </c>
      <c r="C264" t="s">
        <v>51</v>
      </c>
      <c r="D264" t="s">
        <v>22</v>
      </c>
      <c r="E264" t="s">
        <v>1065</v>
      </c>
      <c r="F264" t="s">
        <v>1046</v>
      </c>
      <c r="G264" t="s">
        <v>1047</v>
      </c>
      <c r="H264" t="s">
        <v>1047</v>
      </c>
      <c r="I264" t="s">
        <v>1048</v>
      </c>
      <c r="J264" t="s">
        <v>1049</v>
      </c>
      <c r="K264" t="s">
        <v>1050</v>
      </c>
      <c r="L264" t="s">
        <v>1066</v>
      </c>
      <c r="M264" t="s">
        <v>1067</v>
      </c>
      <c r="N264" t="s">
        <v>107</v>
      </c>
      <c r="O264" t="s">
        <v>1047</v>
      </c>
      <c r="P264" t="s">
        <v>4782</v>
      </c>
      <c r="Q264" t="s">
        <v>1048</v>
      </c>
      <c r="R264" t="s">
        <v>1049</v>
      </c>
      <c r="S264" t="s">
        <v>1050</v>
      </c>
      <c r="T264" t="s">
        <v>4796</v>
      </c>
      <c r="U264" t="s">
        <v>4797</v>
      </c>
      <c r="V264" t="s">
        <v>4798</v>
      </c>
      <c r="W264" t="s">
        <v>4786</v>
      </c>
      <c r="X264" t="s">
        <v>4807</v>
      </c>
      <c r="Y264" t="s">
        <v>4800</v>
      </c>
      <c r="Z264" t="s">
        <v>4847</v>
      </c>
      <c r="AA264" t="s">
        <v>4848</v>
      </c>
      <c r="AB264" t="s">
        <v>4798</v>
      </c>
      <c r="AC264" t="s">
        <v>66</v>
      </c>
      <c r="AD264" t="s">
        <v>66</v>
      </c>
      <c r="AE264" t="s">
        <v>66</v>
      </c>
      <c r="AF264" t="s">
        <v>5731</v>
      </c>
      <c r="AG264" t="s">
        <v>5732</v>
      </c>
      <c r="AH264" t="s">
        <v>5731</v>
      </c>
      <c r="AI264" t="s">
        <v>5732</v>
      </c>
      <c r="AJ264" t="s">
        <v>5731</v>
      </c>
      <c r="AK264" t="s">
        <v>5732</v>
      </c>
      <c r="AL264" t="s">
        <v>4792</v>
      </c>
    </row>
    <row r="265" customHeight="1" spans="1:38">
      <c r="A265" t="s">
        <v>22</v>
      </c>
      <c r="B265" t="s">
        <v>49</v>
      </c>
      <c r="C265" t="s">
        <v>51</v>
      </c>
      <c r="D265" t="s">
        <v>22</v>
      </c>
      <c r="E265" t="s">
        <v>1065</v>
      </c>
      <c r="F265" t="s">
        <v>1046</v>
      </c>
      <c r="G265" t="s">
        <v>1047</v>
      </c>
      <c r="H265" t="s">
        <v>1047</v>
      </c>
      <c r="I265" t="s">
        <v>1048</v>
      </c>
      <c r="J265" t="s">
        <v>1049</v>
      </c>
      <c r="K265" t="s">
        <v>1050</v>
      </c>
      <c r="L265" t="s">
        <v>1066</v>
      </c>
      <c r="M265" t="s">
        <v>1067</v>
      </c>
      <c r="N265" t="s">
        <v>107</v>
      </c>
      <c r="O265" t="s">
        <v>1047</v>
      </c>
      <c r="P265" t="s">
        <v>4782</v>
      </c>
      <c r="Q265" t="s">
        <v>1048</v>
      </c>
      <c r="R265" t="s">
        <v>1049</v>
      </c>
      <c r="S265" t="s">
        <v>1050</v>
      </c>
      <c r="T265" t="s">
        <v>4796</v>
      </c>
      <c r="U265" t="s">
        <v>4805</v>
      </c>
      <c r="V265" t="s">
        <v>4806</v>
      </c>
      <c r="W265" t="s">
        <v>4786</v>
      </c>
      <c r="X265" t="s">
        <v>4807</v>
      </c>
      <c r="Y265" t="s">
        <v>4800</v>
      </c>
      <c r="Z265" t="s">
        <v>4836</v>
      </c>
      <c r="AA265" t="s">
        <v>4837</v>
      </c>
      <c r="AB265" t="s">
        <v>4838</v>
      </c>
      <c r="AC265" t="s">
        <v>66</v>
      </c>
      <c r="AD265" t="s">
        <v>66</v>
      </c>
      <c r="AE265" t="s">
        <v>66</v>
      </c>
      <c r="AF265" t="s">
        <v>5731</v>
      </c>
      <c r="AG265" t="s">
        <v>5733</v>
      </c>
      <c r="AH265" t="s">
        <v>5731</v>
      </c>
      <c r="AI265" t="s">
        <v>5733</v>
      </c>
      <c r="AJ265" t="s">
        <v>5731</v>
      </c>
      <c r="AK265" t="s">
        <v>5733</v>
      </c>
      <c r="AL265" t="s">
        <v>4792</v>
      </c>
    </row>
    <row r="266" customHeight="1" spans="1:38">
      <c r="A266" t="s">
        <v>22</v>
      </c>
      <c r="B266" t="s">
        <v>49</v>
      </c>
      <c r="C266" t="s">
        <v>51</v>
      </c>
      <c r="D266" t="s">
        <v>22</v>
      </c>
      <c r="E266" t="s">
        <v>5734</v>
      </c>
      <c r="F266" t="s">
        <v>1046</v>
      </c>
      <c r="G266" t="s">
        <v>1047</v>
      </c>
      <c r="H266" t="s">
        <v>1047</v>
      </c>
      <c r="I266" t="s">
        <v>1048</v>
      </c>
      <c r="J266" t="s">
        <v>1049</v>
      </c>
      <c r="K266" t="s">
        <v>1050</v>
      </c>
      <c r="L266" t="s">
        <v>5735</v>
      </c>
      <c r="M266" t="s">
        <v>5736</v>
      </c>
      <c r="N266" t="s">
        <v>107</v>
      </c>
      <c r="O266" t="s">
        <v>1047</v>
      </c>
      <c r="P266" t="s">
        <v>4782</v>
      </c>
      <c r="Q266" t="s">
        <v>1048</v>
      </c>
      <c r="R266" t="s">
        <v>1049</v>
      </c>
      <c r="S266" t="s">
        <v>1050</v>
      </c>
      <c r="T266" t="s">
        <v>4796</v>
      </c>
      <c r="U266" t="s">
        <v>4805</v>
      </c>
      <c r="V266" t="s">
        <v>4806</v>
      </c>
      <c r="W266" t="s">
        <v>4786</v>
      </c>
      <c r="X266" t="s">
        <v>4828</v>
      </c>
      <c r="Y266" t="s">
        <v>4800</v>
      </c>
      <c r="Z266" t="s">
        <v>5737</v>
      </c>
      <c r="AA266" t="s">
        <v>5050</v>
      </c>
      <c r="AB266" t="s">
        <v>4831</v>
      </c>
      <c r="AC266" t="s">
        <v>66</v>
      </c>
      <c r="AD266" t="s">
        <v>66</v>
      </c>
      <c r="AE266" t="s">
        <v>66</v>
      </c>
      <c r="AF266" t="s">
        <v>891</v>
      </c>
      <c r="AG266" t="s">
        <v>5738</v>
      </c>
      <c r="AH266" t="s">
        <v>891</v>
      </c>
      <c r="AI266" t="s">
        <v>5738</v>
      </c>
      <c r="AJ266" t="s">
        <v>891</v>
      </c>
      <c r="AK266" t="s">
        <v>5738</v>
      </c>
      <c r="AL266" t="s">
        <v>4792</v>
      </c>
    </row>
    <row r="267" customHeight="1" spans="1:38">
      <c r="A267" t="s">
        <v>22</v>
      </c>
      <c r="B267" t="s">
        <v>49</v>
      </c>
      <c r="C267" t="s">
        <v>51</v>
      </c>
      <c r="D267" t="s">
        <v>22</v>
      </c>
      <c r="E267" t="s">
        <v>5734</v>
      </c>
      <c r="F267" t="s">
        <v>1046</v>
      </c>
      <c r="G267" t="s">
        <v>1047</v>
      </c>
      <c r="H267" t="s">
        <v>1047</v>
      </c>
      <c r="I267" t="s">
        <v>1048</v>
      </c>
      <c r="J267" t="s">
        <v>1049</v>
      </c>
      <c r="K267" t="s">
        <v>1050</v>
      </c>
      <c r="L267" t="s">
        <v>5735</v>
      </c>
      <c r="M267" t="s">
        <v>5736</v>
      </c>
      <c r="N267" t="s">
        <v>107</v>
      </c>
      <c r="O267" t="s">
        <v>1047</v>
      </c>
      <c r="P267" t="s">
        <v>4782</v>
      </c>
      <c r="Q267" t="s">
        <v>1048</v>
      </c>
      <c r="R267" t="s">
        <v>1049</v>
      </c>
      <c r="S267" t="s">
        <v>1050</v>
      </c>
      <c r="T267" t="s">
        <v>4796</v>
      </c>
      <c r="U267" t="s">
        <v>4797</v>
      </c>
      <c r="V267" t="s">
        <v>4814</v>
      </c>
      <c r="W267" t="s">
        <v>4786</v>
      </c>
      <c r="X267" t="s">
        <v>4807</v>
      </c>
      <c r="Y267" t="s">
        <v>4800</v>
      </c>
      <c r="Z267" t="s">
        <v>5739</v>
      </c>
      <c r="AA267" t="s">
        <v>5237</v>
      </c>
      <c r="AB267" t="s">
        <v>4814</v>
      </c>
      <c r="AC267" t="s">
        <v>66</v>
      </c>
      <c r="AD267" t="s">
        <v>66</v>
      </c>
      <c r="AE267" t="s">
        <v>66</v>
      </c>
      <c r="AF267" t="s">
        <v>891</v>
      </c>
      <c r="AG267" t="s">
        <v>5740</v>
      </c>
      <c r="AH267" t="s">
        <v>891</v>
      </c>
      <c r="AI267" t="s">
        <v>5740</v>
      </c>
      <c r="AJ267" t="s">
        <v>891</v>
      </c>
      <c r="AK267" t="s">
        <v>5740</v>
      </c>
      <c r="AL267" t="s">
        <v>4792</v>
      </c>
    </row>
    <row r="268" customHeight="1" spans="1:38">
      <c r="A268" t="s">
        <v>22</v>
      </c>
      <c r="B268" t="s">
        <v>49</v>
      </c>
      <c r="C268" t="s">
        <v>51</v>
      </c>
      <c r="D268" t="s">
        <v>22</v>
      </c>
      <c r="E268" t="s">
        <v>5741</v>
      </c>
      <c r="F268" t="s">
        <v>1046</v>
      </c>
      <c r="G268" t="s">
        <v>1047</v>
      </c>
      <c r="H268" t="s">
        <v>1047</v>
      </c>
      <c r="I268" t="s">
        <v>1048</v>
      </c>
      <c r="J268" t="s">
        <v>1049</v>
      </c>
      <c r="K268" t="s">
        <v>1050</v>
      </c>
      <c r="L268" t="s">
        <v>5742</v>
      </c>
      <c r="M268" t="s">
        <v>1102</v>
      </c>
      <c r="N268" t="s">
        <v>107</v>
      </c>
      <c r="O268" t="s">
        <v>1047</v>
      </c>
      <c r="P268" t="s">
        <v>4782</v>
      </c>
      <c r="Q268" t="s">
        <v>1048</v>
      </c>
      <c r="R268" t="s">
        <v>1049</v>
      </c>
      <c r="S268" t="s">
        <v>1050</v>
      </c>
      <c r="T268" t="s">
        <v>4796</v>
      </c>
      <c r="U268" t="s">
        <v>4797</v>
      </c>
      <c r="V268" t="s">
        <v>4841</v>
      </c>
      <c r="W268" t="s">
        <v>4786</v>
      </c>
      <c r="X268" t="s">
        <v>4807</v>
      </c>
      <c r="Y268" t="s">
        <v>4800</v>
      </c>
      <c r="Z268" t="s">
        <v>5743</v>
      </c>
      <c r="AA268" t="s">
        <v>5744</v>
      </c>
      <c r="AB268" t="s">
        <v>4841</v>
      </c>
      <c r="AC268" t="s">
        <v>66</v>
      </c>
      <c r="AD268" t="s">
        <v>66</v>
      </c>
      <c r="AE268" t="s">
        <v>66</v>
      </c>
      <c r="AF268" t="s">
        <v>5745</v>
      </c>
      <c r="AG268" t="s">
        <v>5746</v>
      </c>
      <c r="AH268" t="s">
        <v>5745</v>
      </c>
      <c r="AI268" t="s">
        <v>5746</v>
      </c>
      <c r="AJ268" t="s">
        <v>5745</v>
      </c>
      <c r="AK268" t="s">
        <v>5746</v>
      </c>
      <c r="AL268" t="s">
        <v>4792</v>
      </c>
    </row>
    <row r="269" customHeight="1" spans="1:38">
      <c r="A269" t="s">
        <v>22</v>
      </c>
      <c r="B269" t="s">
        <v>49</v>
      </c>
      <c r="C269" t="s">
        <v>51</v>
      </c>
      <c r="D269" t="s">
        <v>22</v>
      </c>
      <c r="E269" t="s">
        <v>5741</v>
      </c>
      <c r="F269" t="s">
        <v>1046</v>
      </c>
      <c r="G269" t="s">
        <v>1047</v>
      </c>
      <c r="H269" t="s">
        <v>1047</v>
      </c>
      <c r="I269" t="s">
        <v>1048</v>
      </c>
      <c r="J269" t="s">
        <v>1049</v>
      </c>
      <c r="K269" t="s">
        <v>1050</v>
      </c>
      <c r="L269" t="s">
        <v>5742</v>
      </c>
      <c r="M269" t="s">
        <v>1102</v>
      </c>
      <c r="N269" t="s">
        <v>107</v>
      </c>
      <c r="O269" t="s">
        <v>1047</v>
      </c>
      <c r="P269" t="s">
        <v>4782</v>
      </c>
      <c r="Q269" t="s">
        <v>1048</v>
      </c>
      <c r="R269" t="s">
        <v>1049</v>
      </c>
      <c r="S269" t="s">
        <v>1050</v>
      </c>
      <c r="T269" t="s">
        <v>4796</v>
      </c>
      <c r="U269" t="s">
        <v>4805</v>
      </c>
      <c r="V269" t="s">
        <v>4806</v>
      </c>
      <c r="W269" t="s">
        <v>4786</v>
      </c>
      <c r="X269" t="s">
        <v>4828</v>
      </c>
      <c r="Y269" t="s">
        <v>4800</v>
      </c>
      <c r="Z269" t="s">
        <v>5747</v>
      </c>
      <c r="AA269" t="s">
        <v>5748</v>
      </c>
      <c r="AB269" t="s">
        <v>5147</v>
      </c>
      <c r="AC269" t="s">
        <v>66</v>
      </c>
      <c r="AD269" t="s">
        <v>66</v>
      </c>
      <c r="AE269" t="s">
        <v>66</v>
      </c>
      <c r="AF269" t="s">
        <v>5745</v>
      </c>
      <c r="AG269" t="s">
        <v>5746</v>
      </c>
      <c r="AH269" t="s">
        <v>5745</v>
      </c>
      <c r="AI269" t="s">
        <v>5746</v>
      </c>
      <c r="AJ269" t="s">
        <v>5745</v>
      </c>
      <c r="AK269" t="s">
        <v>5746</v>
      </c>
      <c r="AL269" t="s">
        <v>4792</v>
      </c>
    </row>
    <row r="270" customHeight="1" spans="1:38">
      <c r="A270" t="s">
        <v>22</v>
      </c>
      <c r="B270" t="s">
        <v>49</v>
      </c>
      <c r="C270" t="s">
        <v>51</v>
      </c>
      <c r="D270" t="s">
        <v>22</v>
      </c>
      <c r="E270" t="s">
        <v>5749</v>
      </c>
      <c r="F270" t="s">
        <v>1046</v>
      </c>
      <c r="G270" t="s">
        <v>1047</v>
      </c>
      <c r="H270" t="s">
        <v>1047</v>
      </c>
      <c r="I270" t="s">
        <v>1048</v>
      </c>
      <c r="J270" t="s">
        <v>1049</v>
      </c>
      <c r="K270" t="s">
        <v>1050</v>
      </c>
      <c r="L270" t="s">
        <v>5750</v>
      </c>
      <c r="M270" t="s">
        <v>91</v>
      </c>
      <c r="N270" t="s">
        <v>107</v>
      </c>
      <c r="O270" t="s">
        <v>1047</v>
      </c>
      <c r="P270" t="s">
        <v>4782</v>
      </c>
      <c r="Q270" t="s">
        <v>1048</v>
      </c>
      <c r="R270" t="s">
        <v>1049</v>
      </c>
      <c r="S270" t="s">
        <v>1050</v>
      </c>
      <c r="T270" t="s">
        <v>4796</v>
      </c>
      <c r="U270" t="s">
        <v>4797</v>
      </c>
      <c r="V270" t="s">
        <v>4798</v>
      </c>
      <c r="W270" t="s">
        <v>4786</v>
      </c>
      <c r="X270" t="s">
        <v>4807</v>
      </c>
      <c r="Y270" t="s">
        <v>4800</v>
      </c>
      <c r="Z270" t="s">
        <v>5751</v>
      </c>
      <c r="AA270" t="s">
        <v>4864</v>
      </c>
      <c r="AB270" t="s">
        <v>4798</v>
      </c>
      <c r="AC270" t="s">
        <v>66</v>
      </c>
      <c r="AD270" t="s">
        <v>66</v>
      </c>
      <c r="AE270" t="s">
        <v>66</v>
      </c>
      <c r="AF270" t="s">
        <v>5226</v>
      </c>
      <c r="AG270" t="s">
        <v>5752</v>
      </c>
      <c r="AH270" t="s">
        <v>5226</v>
      </c>
      <c r="AI270" t="s">
        <v>5752</v>
      </c>
      <c r="AJ270" t="s">
        <v>5226</v>
      </c>
      <c r="AK270" t="s">
        <v>5752</v>
      </c>
      <c r="AL270" t="s">
        <v>4792</v>
      </c>
    </row>
    <row r="271" customHeight="1" spans="1:38">
      <c r="A271" t="s">
        <v>22</v>
      </c>
      <c r="B271" t="s">
        <v>49</v>
      </c>
      <c r="C271" t="s">
        <v>51</v>
      </c>
      <c r="D271" t="s">
        <v>22</v>
      </c>
      <c r="E271" t="s">
        <v>5749</v>
      </c>
      <c r="F271" t="s">
        <v>1046</v>
      </c>
      <c r="G271" t="s">
        <v>1047</v>
      </c>
      <c r="H271" t="s">
        <v>1047</v>
      </c>
      <c r="I271" t="s">
        <v>1048</v>
      </c>
      <c r="J271" t="s">
        <v>1049</v>
      </c>
      <c r="K271" t="s">
        <v>1050</v>
      </c>
      <c r="L271" t="s">
        <v>5750</v>
      </c>
      <c r="M271" t="s">
        <v>91</v>
      </c>
      <c r="N271" t="s">
        <v>107</v>
      </c>
      <c r="O271" t="s">
        <v>1047</v>
      </c>
      <c r="P271" t="s">
        <v>4782</v>
      </c>
      <c r="Q271" t="s">
        <v>1048</v>
      </c>
      <c r="R271" t="s">
        <v>1049</v>
      </c>
      <c r="S271" t="s">
        <v>1050</v>
      </c>
      <c r="T271" t="s">
        <v>4796</v>
      </c>
      <c r="U271" t="s">
        <v>4805</v>
      </c>
      <c r="V271" t="s">
        <v>4806</v>
      </c>
      <c r="W271" t="s">
        <v>4786</v>
      </c>
      <c r="X271" t="s">
        <v>4807</v>
      </c>
      <c r="Y271" t="s">
        <v>4800</v>
      </c>
      <c r="Z271" t="s">
        <v>3714</v>
      </c>
      <c r="AA271" t="s">
        <v>5753</v>
      </c>
      <c r="AB271" t="s">
        <v>5754</v>
      </c>
      <c r="AC271" t="s">
        <v>66</v>
      </c>
      <c r="AD271" t="s">
        <v>66</v>
      </c>
      <c r="AE271" t="s">
        <v>66</v>
      </c>
      <c r="AF271" t="s">
        <v>5226</v>
      </c>
      <c r="AG271" t="s">
        <v>5755</v>
      </c>
      <c r="AH271" t="s">
        <v>5226</v>
      </c>
      <c r="AI271" t="s">
        <v>5755</v>
      </c>
      <c r="AJ271" t="s">
        <v>5226</v>
      </c>
      <c r="AK271" t="s">
        <v>5755</v>
      </c>
      <c r="AL271" t="s">
        <v>4792</v>
      </c>
    </row>
    <row r="272" customHeight="1" spans="1:38">
      <c r="A272" t="s">
        <v>22</v>
      </c>
      <c r="B272" t="s">
        <v>49</v>
      </c>
      <c r="C272" t="s">
        <v>51</v>
      </c>
      <c r="D272" t="s">
        <v>22</v>
      </c>
      <c r="E272" t="s">
        <v>5756</v>
      </c>
      <c r="F272" t="s">
        <v>1046</v>
      </c>
      <c r="G272" t="s">
        <v>1047</v>
      </c>
      <c r="H272" t="s">
        <v>1047</v>
      </c>
      <c r="I272" t="s">
        <v>1048</v>
      </c>
      <c r="J272" t="s">
        <v>1049</v>
      </c>
      <c r="K272" t="s">
        <v>1050</v>
      </c>
      <c r="L272" t="s">
        <v>5757</v>
      </c>
      <c r="M272" t="s">
        <v>5758</v>
      </c>
      <c r="N272" t="s">
        <v>107</v>
      </c>
      <c r="O272" t="s">
        <v>1047</v>
      </c>
      <c r="P272" t="s">
        <v>4782</v>
      </c>
      <c r="Q272" t="s">
        <v>1048</v>
      </c>
      <c r="R272" t="s">
        <v>1049</v>
      </c>
      <c r="S272" t="s">
        <v>1050</v>
      </c>
      <c r="T272" t="s">
        <v>4796</v>
      </c>
      <c r="U272" t="s">
        <v>4805</v>
      </c>
      <c r="V272" t="s">
        <v>4806</v>
      </c>
      <c r="W272" t="s">
        <v>4786</v>
      </c>
      <c r="X272" t="s">
        <v>4828</v>
      </c>
      <c r="Y272" t="s">
        <v>4800</v>
      </c>
      <c r="Z272" t="s">
        <v>5759</v>
      </c>
      <c r="AA272" t="s">
        <v>5108</v>
      </c>
      <c r="AB272" t="s">
        <v>4983</v>
      </c>
      <c r="AC272" t="s">
        <v>66</v>
      </c>
      <c r="AD272" t="s">
        <v>66</v>
      </c>
      <c r="AE272" t="s">
        <v>66</v>
      </c>
      <c r="AF272" t="s">
        <v>5226</v>
      </c>
      <c r="AG272" t="s">
        <v>5760</v>
      </c>
      <c r="AH272" t="s">
        <v>5226</v>
      </c>
      <c r="AI272" t="s">
        <v>5760</v>
      </c>
      <c r="AJ272" t="s">
        <v>5226</v>
      </c>
      <c r="AK272" t="s">
        <v>5760</v>
      </c>
      <c r="AL272" t="s">
        <v>4792</v>
      </c>
    </row>
    <row r="273" customHeight="1" spans="1:38">
      <c r="A273" t="s">
        <v>22</v>
      </c>
      <c r="B273" t="s">
        <v>49</v>
      </c>
      <c r="C273" t="s">
        <v>51</v>
      </c>
      <c r="D273" t="s">
        <v>22</v>
      </c>
      <c r="E273" t="s">
        <v>5756</v>
      </c>
      <c r="F273" t="s">
        <v>1046</v>
      </c>
      <c r="G273" t="s">
        <v>1047</v>
      </c>
      <c r="H273" t="s">
        <v>1047</v>
      </c>
      <c r="I273" t="s">
        <v>1048</v>
      </c>
      <c r="J273" t="s">
        <v>1049</v>
      </c>
      <c r="K273" t="s">
        <v>1050</v>
      </c>
      <c r="L273" t="s">
        <v>5757</v>
      </c>
      <c r="M273" t="s">
        <v>5758</v>
      </c>
      <c r="N273" t="s">
        <v>107</v>
      </c>
      <c r="O273" t="s">
        <v>1047</v>
      </c>
      <c r="P273" t="s">
        <v>4782</v>
      </c>
      <c r="Q273" t="s">
        <v>1048</v>
      </c>
      <c r="R273" t="s">
        <v>1049</v>
      </c>
      <c r="S273" t="s">
        <v>1050</v>
      </c>
      <c r="T273" t="s">
        <v>4796</v>
      </c>
      <c r="U273" t="s">
        <v>4797</v>
      </c>
      <c r="V273" t="s">
        <v>5054</v>
      </c>
      <c r="W273" t="s">
        <v>4786</v>
      </c>
      <c r="X273" t="s">
        <v>4807</v>
      </c>
      <c r="Y273" t="s">
        <v>4800</v>
      </c>
      <c r="Z273" t="s">
        <v>5761</v>
      </c>
      <c r="AA273" t="s">
        <v>5237</v>
      </c>
      <c r="AB273" t="s">
        <v>5054</v>
      </c>
      <c r="AC273" t="s">
        <v>66</v>
      </c>
      <c r="AD273" t="s">
        <v>66</v>
      </c>
      <c r="AE273" t="s">
        <v>66</v>
      </c>
      <c r="AF273" t="s">
        <v>5226</v>
      </c>
      <c r="AG273" t="s">
        <v>5762</v>
      </c>
      <c r="AH273" t="s">
        <v>5226</v>
      </c>
      <c r="AI273" t="s">
        <v>5762</v>
      </c>
      <c r="AJ273" t="s">
        <v>5226</v>
      </c>
      <c r="AK273" t="s">
        <v>5762</v>
      </c>
      <c r="AL273" t="s">
        <v>4792</v>
      </c>
    </row>
    <row r="274" customHeight="1" spans="1:38">
      <c r="A274" t="s">
        <v>22</v>
      </c>
      <c r="B274" t="s">
        <v>49</v>
      </c>
      <c r="C274" t="s">
        <v>51</v>
      </c>
      <c r="D274" t="s">
        <v>22</v>
      </c>
      <c r="E274" t="s">
        <v>5763</v>
      </c>
      <c r="F274" t="s">
        <v>1046</v>
      </c>
      <c r="G274" t="s">
        <v>1047</v>
      </c>
      <c r="H274" t="s">
        <v>1047</v>
      </c>
      <c r="I274" t="s">
        <v>1048</v>
      </c>
      <c r="J274" t="s">
        <v>1049</v>
      </c>
      <c r="K274" t="s">
        <v>1050</v>
      </c>
      <c r="L274" t="s">
        <v>1110</v>
      </c>
      <c r="M274" t="s">
        <v>5764</v>
      </c>
      <c r="N274" t="s">
        <v>107</v>
      </c>
      <c r="O274" t="s">
        <v>1047</v>
      </c>
      <c r="P274" t="s">
        <v>4782</v>
      </c>
      <c r="Q274" t="s">
        <v>1048</v>
      </c>
      <c r="R274" t="s">
        <v>1049</v>
      </c>
      <c r="S274" t="s">
        <v>1050</v>
      </c>
      <c r="T274" t="s">
        <v>4783</v>
      </c>
      <c r="U274" t="s">
        <v>4797</v>
      </c>
      <c r="V274" t="s">
        <v>5172</v>
      </c>
      <c r="W274" t="s">
        <v>4786</v>
      </c>
      <c r="X274" t="s">
        <v>4787</v>
      </c>
      <c r="Y274" t="s">
        <v>4815</v>
      </c>
      <c r="Z274" t="s">
        <v>5765</v>
      </c>
      <c r="AA274" t="s">
        <v>5766</v>
      </c>
      <c r="AB274" t="s">
        <v>5172</v>
      </c>
      <c r="AC274" t="s">
        <v>66</v>
      </c>
      <c r="AD274" t="s">
        <v>66</v>
      </c>
      <c r="AE274" t="s">
        <v>66</v>
      </c>
      <c r="AF274" t="s">
        <v>1234</v>
      </c>
      <c r="AG274" t="s">
        <v>5767</v>
      </c>
      <c r="AH274" t="s">
        <v>1234</v>
      </c>
      <c r="AI274" t="s">
        <v>5767</v>
      </c>
      <c r="AJ274" t="s">
        <v>1234</v>
      </c>
      <c r="AK274" t="s">
        <v>5767</v>
      </c>
      <c r="AL274" t="s">
        <v>4792</v>
      </c>
    </row>
    <row r="275" customHeight="1" spans="1:38">
      <c r="A275" t="s">
        <v>22</v>
      </c>
      <c r="B275" t="s">
        <v>49</v>
      </c>
      <c r="C275" t="s">
        <v>51</v>
      </c>
      <c r="D275" t="s">
        <v>22</v>
      </c>
      <c r="E275" t="s">
        <v>5763</v>
      </c>
      <c r="F275" t="s">
        <v>1046</v>
      </c>
      <c r="G275" t="s">
        <v>1047</v>
      </c>
      <c r="H275" t="s">
        <v>1047</v>
      </c>
      <c r="I275" t="s">
        <v>1048</v>
      </c>
      <c r="J275" t="s">
        <v>1049</v>
      </c>
      <c r="K275" t="s">
        <v>1050</v>
      </c>
      <c r="L275" t="s">
        <v>1110</v>
      </c>
      <c r="M275" t="s">
        <v>5764</v>
      </c>
      <c r="N275" t="s">
        <v>107</v>
      </c>
      <c r="O275" t="s">
        <v>1047</v>
      </c>
      <c r="P275" t="s">
        <v>4782</v>
      </c>
      <c r="Q275" t="s">
        <v>1048</v>
      </c>
      <c r="R275" t="s">
        <v>1049</v>
      </c>
      <c r="S275" t="s">
        <v>1050</v>
      </c>
      <c r="T275" t="s">
        <v>4783</v>
      </c>
      <c r="U275" t="s">
        <v>4805</v>
      </c>
      <c r="V275" t="s">
        <v>5768</v>
      </c>
      <c r="W275" t="s">
        <v>4786</v>
      </c>
      <c r="X275" t="s">
        <v>4828</v>
      </c>
      <c r="Y275" t="s">
        <v>4800</v>
      </c>
      <c r="Z275" t="s">
        <v>5769</v>
      </c>
      <c r="AA275" t="s">
        <v>5770</v>
      </c>
      <c r="AB275" t="s">
        <v>5768</v>
      </c>
      <c r="AC275" t="s">
        <v>66</v>
      </c>
      <c r="AD275" t="s">
        <v>66</v>
      </c>
      <c r="AE275" t="s">
        <v>66</v>
      </c>
      <c r="AF275" t="s">
        <v>1234</v>
      </c>
      <c r="AG275" t="s">
        <v>5771</v>
      </c>
      <c r="AH275" t="s">
        <v>1234</v>
      </c>
      <c r="AI275" t="s">
        <v>5771</v>
      </c>
      <c r="AJ275" t="s">
        <v>1234</v>
      </c>
      <c r="AK275" t="s">
        <v>5771</v>
      </c>
      <c r="AL275" t="s">
        <v>4792</v>
      </c>
    </row>
    <row r="276" customHeight="1" spans="1:38">
      <c r="A276" t="s">
        <v>22</v>
      </c>
      <c r="B276" t="s">
        <v>49</v>
      </c>
      <c r="C276" t="s">
        <v>51</v>
      </c>
      <c r="D276" t="s">
        <v>22</v>
      </c>
      <c r="E276" t="s">
        <v>1109</v>
      </c>
      <c r="F276" t="s">
        <v>1046</v>
      </c>
      <c r="G276" t="s">
        <v>1047</v>
      </c>
      <c r="H276" t="s">
        <v>1047</v>
      </c>
      <c r="I276" t="s">
        <v>1048</v>
      </c>
      <c r="J276" t="s">
        <v>1049</v>
      </c>
      <c r="K276" t="s">
        <v>1050</v>
      </c>
      <c r="L276" t="s">
        <v>1110</v>
      </c>
      <c r="M276" t="s">
        <v>1111</v>
      </c>
      <c r="N276" t="s">
        <v>107</v>
      </c>
      <c r="O276" t="s">
        <v>1047</v>
      </c>
      <c r="P276" t="s">
        <v>4782</v>
      </c>
      <c r="Q276" t="s">
        <v>1048</v>
      </c>
      <c r="R276" t="s">
        <v>1049</v>
      </c>
      <c r="S276" t="s">
        <v>1050</v>
      </c>
      <c r="T276" t="s">
        <v>4796</v>
      </c>
      <c r="U276" t="s">
        <v>4805</v>
      </c>
      <c r="V276" t="s">
        <v>4806</v>
      </c>
      <c r="W276" t="s">
        <v>4786</v>
      </c>
      <c r="X276" t="s">
        <v>4828</v>
      </c>
      <c r="Y276" t="s">
        <v>4800</v>
      </c>
      <c r="Z276" t="s">
        <v>5772</v>
      </c>
      <c r="AA276" t="s">
        <v>5773</v>
      </c>
      <c r="AB276" t="s">
        <v>4831</v>
      </c>
      <c r="AC276" t="s">
        <v>66</v>
      </c>
      <c r="AD276" t="s">
        <v>66</v>
      </c>
      <c r="AE276" t="s">
        <v>66</v>
      </c>
      <c r="AF276" t="s">
        <v>5774</v>
      </c>
      <c r="AG276" t="s">
        <v>5775</v>
      </c>
      <c r="AH276" t="s">
        <v>5774</v>
      </c>
      <c r="AI276" t="s">
        <v>5775</v>
      </c>
      <c r="AJ276" t="s">
        <v>5774</v>
      </c>
      <c r="AK276" t="s">
        <v>5775</v>
      </c>
      <c r="AL276" t="s">
        <v>4792</v>
      </c>
    </row>
    <row r="277" customHeight="1" spans="1:38">
      <c r="A277" t="s">
        <v>22</v>
      </c>
      <c r="B277" t="s">
        <v>49</v>
      </c>
      <c r="C277" t="s">
        <v>51</v>
      </c>
      <c r="D277" t="s">
        <v>22</v>
      </c>
      <c r="E277" t="s">
        <v>1109</v>
      </c>
      <c r="F277" t="s">
        <v>1046</v>
      </c>
      <c r="G277" t="s">
        <v>1047</v>
      </c>
      <c r="H277" t="s">
        <v>1047</v>
      </c>
      <c r="I277" t="s">
        <v>1048</v>
      </c>
      <c r="J277" t="s">
        <v>1049</v>
      </c>
      <c r="K277" t="s">
        <v>1050</v>
      </c>
      <c r="L277" t="s">
        <v>1110</v>
      </c>
      <c r="M277" t="s">
        <v>1111</v>
      </c>
      <c r="N277" t="s">
        <v>107</v>
      </c>
      <c r="O277" t="s">
        <v>1047</v>
      </c>
      <c r="P277" t="s">
        <v>4782</v>
      </c>
      <c r="Q277" t="s">
        <v>1048</v>
      </c>
      <c r="R277" t="s">
        <v>1049</v>
      </c>
      <c r="S277" t="s">
        <v>1050</v>
      </c>
      <c r="T277" t="s">
        <v>4796</v>
      </c>
      <c r="U277" t="s">
        <v>4797</v>
      </c>
      <c r="V277" t="s">
        <v>5172</v>
      </c>
      <c r="W277" t="s">
        <v>4786</v>
      </c>
      <c r="X277" t="s">
        <v>4807</v>
      </c>
      <c r="Y277" t="s">
        <v>4800</v>
      </c>
      <c r="Z277" t="s">
        <v>5776</v>
      </c>
      <c r="AA277" t="s">
        <v>5205</v>
      </c>
      <c r="AB277" t="s">
        <v>5172</v>
      </c>
      <c r="AC277" t="s">
        <v>66</v>
      </c>
      <c r="AD277" t="s">
        <v>66</v>
      </c>
      <c r="AE277" t="s">
        <v>66</v>
      </c>
      <c r="AF277" t="s">
        <v>5774</v>
      </c>
      <c r="AG277" t="s">
        <v>5777</v>
      </c>
      <c r="AH277" t="s">
        <v>5774</v>
      </c>
      <c r="AI277" t="s">
        <v>5777</v>
      </c>
      <c r="AJ277" t="s">
        <v>5774</v>
      </c>
      <c r="AK277" t="s">
        <v>5777</v>
      </c>
      <c r="AL277" t="s">
        <v>4792</v>
      </c>
    </row>
    <row r="278" customHeight="1" spans="1:38">
      <c r="A278" t="s">
        <v>22</v>
      </c>
      <c r="B278" t="s">
        <v>49</v>
      </c>
      <c r="C278" t="s">
        <v>51</v>
      </c>
      <c r="D278" t="s">
        <v>22</v>
      </c>
      <c r="E278" t="s">
        <v>5778</v>
      </c>
      <c r="F278" t="s">
        <v>1070</v>
      </c>
      <c r="G278" t="s">
        <v>1047</v>
      </c>
      <c r="H278" t="s">
        <v>1047</v>
      </c>
      <c r="I278" t="s">
        <v>1048</v>
      </c>
      <c r="J278" t="s">
        <v>1049</v>
      </c>
      <c r="K278" t="s">
        <v>1050</v>
      </c>
      <c r="L278" t="s">
        <v>5779</v>
      </c>
      <c r="M278" t="s">
        <v>5780</v>
      </c>
      <c r="N278" t="s">
        <v>107</v>
      </c>
      <c r="O278" t="s">
        <v>1047</v>
      </c>
      <c r="P278" t="s">
        <v>4782</v>
      </c>
      <c r="Q278" t="s">
        <v>1048</v>
      </c>
      <c r="R278" t="s">
        <v>1049</v>
      </c>
      <c r="S278" t="s">
        <v>1050</v>
      </c>
      <c r="T278" t="s">
        <v>4796</v>
      </c>
      <c r="U278" t="s">
        <v>4797</v>
      </c>
      <c r="V278" t="s">
        <v>4798</v>
      </c>
      <c r="W278" t="s">
        <v>4786</v>
      </c>
      <c r="X278" t="s">
        <v>4807</v>
      </c>
      <c r="Y278" t="s">
        <v>4800</v>
      </c>
      <c r="Z278" t="s">
        <v>5781</v>
      </c>
      <c r="AA278" t="s">
        <v>4912</v>
      </c>
      <c r="AB278" t="s">
        <v>4798</v>
      </c>
      <c r="AC278" t="s">
        <v>66</v>
      </c>
      <c r="AD278" t="s">
        <v>19</v>
      </c>
      <c r="AE278" t="s">
        <v>19</v>
      </c>
      <c r="AF278" t="s">
        <v>5782</v>
      </c>
      <c r="AG278" t="s">
        <v>5783</v>
      </c>
      <c r="AH278" t="s">
        <v>22</v>
      </c>
      <c r="AI278" t="s">
        <v>22</v>
      </c>
      <c r="AJ278" t="s">
        <v>22</v>
      </c>
      <c r="AK278" t="s">
        <v>22</v>
      </c>
      <c r="AL278" t="s">
        <v>4792</v>
      </c>
    </row>
    <row r="279" customHeight="1" spans="1:38">
      <c r="A279" t="s">
        <v>22</v>
      </c>
      <c r="B279" t="s">
        <v>49</v>
      </c>
      <c r="C279" t="s">
        <v>51</v>
      </c>
      <c r="D279" t="s">
        <v>22</v>
      </c>
      <c r="E279" t="s">
        <v>5778</v>
      </c>
      <c r="F279" t="s">
        <v>1046</v>
      </c>
      <c r="G279" t="s">
        <v>1047</v>
      </c>
      <c r="H279" t="s">
        <v>1047</v>
      </c>
      <c r="I279" t="s">
        <v>1048</v>
      </c>
      <c r="J279" t="s">
        <v>1049</v>
      </c>
      <c r="K279" t="s">
        <v>1050</v>
      </c>
      <c r="L279" t="s">
        <v>5779</v>
      </c>
      <c r="M279" t="s">
        <v>5780</v>
      </c>
      <c r="N279" t="s">
        <v>107</v>
      </c>
      <c r="O279" t="s">
        <v>1047</v>
      </c>
      <c r="P279" t="s">
        <v>4782</v>
      </c>
      <c r="Q279" t="s">
        <v>1048</v>
      </c>
      <c r="R279" t="s">
        <v>1049</v>
      </c>
      <c r="S279" t="s">
        <v>1050</v>
      </c>
      <c r="T279" t="s">
        <v>4796</v>
      </c>
      <c r="U279" t="s">
        <v>4805</v>
      </c>
      <c r="V279" t="s">
        <v>4806</v>
      </c>
      <c r="W279" t="s">
        <v>4786</v>
      </c>
      <c r="X279" t="s">
        <v>4828</v>
      </c>
      <c r="Y279" t="s">
        <v>4800</v>
      </c>
      <c r="Z279" t="s">
        <v>5784</v>
      </c>
      <c r="AA279" t="s">
        <v>4881</v>
      </c>
      <c r="AB279" t="s">
        <v>4936</v>
      </c>
      <c r="AC279" t="s">
        <v>66</v>
      </c>
      <c r="AD279" t="s">
        <v>66</v>
      </c>
      <c r="AE279" t="s">
        <v>66</v>
      </c>
      <c r="AF279" t="s">
        <v>5782</v>
      </c>
      <c r="AG279" t="s">
        <v>5785</v>
      </c>
      <c r="AH279" t="s">
        <v>5782</v>
      </c>
      <c r="AI279" t="s">
        <v>5785</v>
      </c>
      <c r="AJ279" t="s">
        <v>5782</v>
      </c>
      <c r="AK279" t="s">
        <v>5785</v>
      </c>
      <c r="AL279" t="s">
        <v>4792</v>
      </c>
    </row>
    <row r="280" customHeight="1" spans="1:38">
      <c r="A280" t="s">
        <v>22</v>
      </c>
      <c r="B280" t="s">
        <v>49</v>
      </c>
      <c r="C280" t="s">
        <v>51</v>
      </c>
      <c r="D280" t="s">
        <v>22</v>
      </c>
      <c r="E280" t="s">
        <v>5786</v>
      </c>
      <c r="F280" t="s">
        <v>1046</v>
      </c>
      <c r="G280" t="s">
        <v>1047</v>
      </c>
      <c r="H280" t="s">
        <v>1047</v>
      </c>
      <c r="I280" t="s">
        <v>1048</v>
      </c>
      <c r="J280" t="s">
        <v>1049</v>
      </c>
      <c r="K280" t="s">
        <v>1050</v>
      </c>
      <c r="L280" t="s">
        <v>5787</v>
      </c>
      <c r="M280" t="s">
        <v>92</v>
      </c>
      <c r="N280" t="s">
        <v>107</v>
      </c>
      <c r="O280" t="s">
        <v>1047</v>
      </c>
      <c r="P280" t="s">
        <v>4782</v>
      </c>
      <c r="Q280" t="s">
        <v>1048</v>
      </c>
      <c r="R280" t="s">
        <v>1049</v>
      </c>
      <c r="S280" t="s">
        <v>1050</v>
      </c>
      <c r="T280" t="s">
        <v>4796</v>
      </c>
      <c r="U280" t="s">
        <v>4805</v>
      </c>
      <c r="V280" t="s">
        <v>4806</v>
      </c>
      <c r="W280" t="s">
        <v>4786</v>
      </c>
      <c r="X280" t="s">
        <v>4828</v>
      </c>
      <c r="Y280" t="s">
        <v>4800</v>
      </c>
      <c r="Z280" t="s">
        <v>5788</v>
      </c>
      <c r="AA280" t="s">
        <v>5789</v>
      </c>
      <c r="AB280" t="s">
        <v>4936</v>
      </c>
      <c r="AC280" t="s">
        <v>66</v>
      </c>
      <c r="AD280" t="s">
        <v>66</v>
      </c>
      <c r="AE280" t="s">
        <v>66</v>
      </c>
      <c r="AF280" t="s">
        <v>149</v>
      </c>
      <c r="AG280" t="s">
        <v>5790</v>
      </c>
      <c r="AH280" t="s">
        <v>149</v>
      </c>
      <c r="AI280" t="s">
        <v>5790</v>
      </c>
      <c r="AJ280" t="s">
        <v>149</v>
      </c>
      <c r="AK280" t="s">
        <v>5790</v>
      </c>
      <c r="AL280" t="s">
        <v>4792</v>
      </c>
    </row>
    <row r="281" customHeight="1" spans="1:38">
      <c r="A281" t="s">
        <v>22</v>
      </c>
      <c r="B281" t="s">
        <v>49</v>
      </c>
      <c r="C281" t="s">
        <v>51</v>
      </c>
      <c r="D281" t="s">
        <v>22</v>
      </c>
      <c r="E281" t="s">
        <v>5786</v>
      </c>
      <c r="F281" t="s">
        <v>1046</v>
      </c>
      <c r="G281" t="s">
        <v>1047</v>
      </c>
      <c r="H281" t="s">
        <v>1047</v>
      </c>
      <c r="I281" t="s">
        <v>1048</v>
      </c>
      <c r="J281" t="s">
        <v>1049</v>
      </c>
      <c r="K281" t="s">
        <v>1050</v>
      </c>
      <c r="L281" t="s">
        <v>5787</v>
      </c>
      <c r="M281" t="s">
        <v>92</v>
      </c>
      <c r="N281" t="s">
        <v>107</v>
      </c>
      <c r="O281" t="s">
        <v>1047</v>
      </c>
      <c r="P281" t="s">
        <v>4782</v>
      </c>
      <c r="Q281" t="s">
        <v>1048</v>
      </c>
      <c r="R281" t="s">
        <v>1049</v>
      </c>
      <c r="S281" t="s">
        <v>1050</v>
      </c>
      <c r="T281" t="s">
        <v>4796</v>
      </c>
      <c r="U281" t="s">
        <v>4797</v>
      </c>
      <c r="V281" t="s">
        <v>4798</v>
      </c>
      <c r="W281" t="s">
        <v>4786</v>
      </c>
      <c r="X281" t="s">
        <v>4807</v>
      </c>
      <c r="Y281" t="s">
        <v>4800</v>
      </c>
      <c r="Z281" t="s">
        <v>5791</v>
      </c>
      <c r="AA281" t="s">
        <v>4864</v>
      </c>
      <c r="AB281" t="s">
        <v>4798</v>
      </c>
      <c r="AC281" t="s">
        <v>66</v>
      </c>
      <c r="AD281" t="s">
        <v>66</v>
      </c>
      <c r="AE281" t="s">
        <v>66</v>
      </c>
      <c r="AF281" t="s">
        <v>149</v>
      </c>
      <c r="AG281" t="s">
        <v>5792</v>
      </c>
      <c r="AH281" t="s">
        <v>149</v>
      </c>
      <c r="AI281" t="s">
        <v>5792</v>
      </c>
      <c r="AJ281" t="s">
        <v>149</v>
      </c>
      <c r="AK281" t="s">
        <v>5792</v>
      </c>
      <c r="AL281" t="s">
        <v>4792</v>
      </c>
    </row>
    <row r="282" customHeight="1" spans="1:38">
      <c r="A282" t="s">
        <v>22</v>
      </c>
      <c r="B282" t="s">
        <v>49</v>
      </c>
      <c r="C282" t="s">
        <v>51</v>
      </c>
      <c r="D282" t="s">
        <v>22</v>
      </c>
      <c r="E282" t="s">
        <v>5793</v>
      </c>
      <c r="F282" t="s">
        <v>1046</v>
      </c>
      <c r="G282" t="s">
        <v>1047</v>
      </c>
      <c r="H282" t="s">
        <v>1047</v>
      </c>
      <c r="I282" t="s">
        <v>1048</v>
      </c>
      <c r="J282" t="s">
        <v>1049</v>
      </c>
      <c r="K282" t="s">
        <v>1050</v>
      </c>
      <c r="L282" t="s">
        <v>5794</v>
      </c>
      <c r="M282" t="s">
        <v>5795</v>
      </c>
      <c r="N282" t="s">
        <v>107</v>
      </c>
      <c r="O282" t="s">
        <v>1047</v>
      </c>
      <c r="P282" t="s">
        <v>4782</v>
      </c>
      <c r="Q282" t="s">
        <v>1048</v>
      </c>
      <c r="R282" t="s">
        <v>1049</v>
      </c>
      <c r="S282" t="s">
        <v>1050</v>
      </c>
      <c r="T282" t="s">
        <v>4796</v>
      </c>
      <c r="U282" t="s">
        <v>4797</v>
      </c>
      <c r="V282" t="s">
        <v>4841</v>
      </c>
      <c r="W282" t="s">
        <v>4786</v>
      </c>
      <c r="X282" t="s">
        <v>4807</v>
      </c>
      <c r="Y282" t="s">
        <v>4800</v>
      </c>
      <c r="Z282" t="s">
        <v>5796</v>
      </c>
      <c r="AA282" t="s">
        <v>5797</v>
      </c>
      <c r="AB282" t="s">
        <v>4841</v>
      </c>
      <c r="AC282" t="s">
        <v>66</v>
      </c>
      <c r="AD282" t="s">
        <v>66</v>
      </c>
      <c r="AE282" t="s">
        <v>66</v>
      </c>
      <c r="AF282" t="s">
        <v>4839</v>
      </c>
      <c r="AG282" t="s">
        <v>5798</v>
      </c>
      <c r="AH282" t="s">
        <v>4839</v>
      </c>
      <c r="AI282" t="s">
        <v>5798</v>
      </c>
      <c r="AJ282" t="s">
        <v>4839</v>
      </c>
      <c r="AK282" t="s">
        <v>5798</v>
      </c>
      <c r="AL282" t="s">
        <v>4792</v>
      </c>
    </row>
    <row r="283" customHeight="1" spans="1:38">
      <c r="A283" t="s">
        <v>22</v>
      </c>
      <c r="B283" t="s">
        <v>49</v>
      </c>
      <c r="C283" t="s">
        <v>51</v>
      </c>
      <c r="D283" t="s">
        <v>22</v>
      </c>
      <c r="E283" t="s">
        <v>5793</v>
      </c>
      <c r="F283" t="s">
        <v>1046</v>
      </c>
      <c r="G283" t="s">
        <v>1047</v>
      </c>
      <c r="H283" t="s">
        <v>1047</v>
      </c>
      <c r="I283" t="s">
        <v>1048</v>
      </c>
      <c r="J283" t="s">
        <v>1049</v>
      </c>
      <c r="K283" t="s">
        <v>1050</v>
      </c>
      <c r="L283" t="s">
        <v>5794</v>
      </c>
      <c r="M283" t="s">
        <v>5795</v>
      </c>
      <c r="N283" t="s">
        <v>107</v>
      </c>
      <c r="O283" t="s">
        <v>1047</v>
      </c>
      <c r="P283" t="s">
        <v>4782</v>
      </c>
      <c r="Q283" t="s">
        <v>1048</v>
      </c>
      <c r="R283" t="s">
        <v>1049</v>
      </c>
      <c r="S283" t="s">
        <v>1050</v>
      </c>
      <c r="T283" t="s">
        <v>4796</v>
      </c>
      <c r="U283" t="s">
        <v>4805</v>
      </c>
      <c r="V283" t="s">
        <v>4806</v>
      </c>
      <c r="W283" t="s">
        <v>4786</v>
      </c>
      <c r="X283" t="s">
        <v>4828</v>
      </c>
      <c r="Y283" t="s">
        <v>4800</v>
      </c>
      <c r="Z283" t="s">
        <v>5799</v>
      </c>
      <c r="AA283" t="s">
        <v>5319</v>
      </c>
      <c r="AB283" t="s">
        <v>5147</v>
      </c>
      <c r="AC283" t="s">
        <v>66</v>
      </c>
      <c r="AD283" t="s">
        <v>66</v>
      </c>
      <c r="AE283" t="s">
        <v>66</v>
      </c>
      <c r="AF283" t="s">
        <v>4839</v>
      </c>
      <c r="AG283" t="s">
        <v>5800</v>
      </c>
      <c r="AH283" t="s">
        <v>4839</v>
      </c>
      <c r="AI283" t="s">
        <v>5800</v>
      </c>
      <c r="AJ283" t="s">
        <v>4839</v>
      </c>
      <c r="AK283" t="s">
        <v>5800</v>
      </c>
      <c r="AL283" t="s">
        <v>4792</v>
      </c>
    </row>
    <row r="284" customHeight="1" spans="1:38">
      <c r="A284" t="s">
        <v>22</v>
      </c>
      <c r="B284" t="s">
        <v>49</v>
      </c>
      <c r="C284" t="s">
        <v>51</v>
      </c>
      <c r="D284" t="s">
        <v>22</v>
      </c>
      <c r="E284" t="s">
        <v>5801</v>
      </c>
      <c r="F284" t="s">
        <v>1046</v>
      </c>
      <c r="G284" t="s">
        <v>1047</v>
      </c>
      <c r="H284" t="s">
        <v>1047</v>
      </c>
      <c r="I284" t="s">
        <v>1048</v>
      </c>
      <c r="J284" t="s">
        <v>1049</v>
      </c>
      <c r="K284" t="s">
        <v>1050</v>
      </c>
      <c r="L284" t="s">
        <v>5802</v>
      </c>
      <c r="M284" t="s">
        <v>150</v>
      </c>
      <c r="N284" t="s">
        <v>107</v>
      </c>
      <c r="O284" t="s">
        <v>1047</v>
      </c>
      <c r="P284" t="s">
        <v>4782</v>
      </c>
      <c r="Q284" t="s">
        <v>1048</v>
      </c>
      <c r="R284" t="s">
        <v>1049</v>
      </c>
      <c r="S284" t="s">
        <v>1050</v>
      </c>
      <c r="T284" t="s">
        <v>4796</v>
      </c>
      <c r="U284" t="s">
        <v>4797</v>
      </c>
      <c r="V284" t="s">
        <v>4814</v>
      </c>
      <c r="W284" t="s">
        <v>4786</v>
      </c>
      <c r="X284" t="s">
        <v>4807</v>
      </c>
      <c r="Y284" t="s">
        <v>4800</v>
      </c>
      <c r="Z284" t="s">
        <v>5803</v>
      </c>
      <c r="AA284" t="s">
        <v>5804</v>
      </c>
      <c r="AB284" t="s">
        <v>4814</v>
      </c>
      <c r="AC284" t="s">
        <v>66</v>
      </c>
      <c r="AD284" t="s">
        <v>66</v>
      </c>
      <c r="AE284" t="s">
        <v>66</v>
      </c>
      <c r="AF284" t="s">
        <v>5521</v>
      </c>
      <c r="AG284" t="s">
        <v>5805</v>
      </c>
      <c r="AH284" t="s">
        <v>5806</v>
      </c>
      <c r="AI284" t="s">
        <v>5805</v>
      </c>
      <c r="AJ284" t="s">
        <v>5806</v>
      </c>
      <c r="AK284" t="s">
        <v>5805</v>
      </c>
      <c r="AL284" t="s">
        <v>4792</v>
      </c>
    </row>
    <row r="285" customHeight="1" spans="1:38">
      <c r="A285" t="s">
        <v>22</v>
      </c>
      <c r="B285" t="s">
        <v>49</v>
      </c>
      <c r="C285" t="s">
        <v>51</v>
      </c>
      <c r="D285" t="s">
        <v>22</v>
      </c>
      <c r="E285" t="s">
        <v>5801</v>
      </c>
      <c r="F285" t="s">
        <v>1046</v>
      </c>
      <c r="G285" t="s">
        <v>1047</v>
      </c>
      <c r="H285" t="s">
        <v>1047</v>
      </c>
      <c r="I285" t="s">
        <v>1048</v>
      </c>
      <c r="J285" t="s">
        <v>1049</v>
      </c>
      <c r="K285" t="s">
        <v>1050</v>
      </c>
      <c r="L285" t="s">
        <v>5802</v>
      </c>
      <c r="M285" t="s">
        <v>150</v>
      </c>
      <c r="N285" t="s">
        <v>107</v>
      </c>
      <c r="O285" t="s">
        <v>1047</v>
      </c>
      <c r="P285" t="s">
        <v>4782</v>
      </c>
      <c r="Q285" t="s">
        <v>1048</v>
      </c>
      <c r="R285" t="s">
        <v>1049</v>
      </c>
      <c r="S285" t="s">
        <v>1050</v>
      </c>
      <c r="T285" t="s">
        <v>4796</v>
      </c>
      <c r="U285" t="s">
        <v>4805</v>
      </c>
      <c r="V285" t="s">
        <v>4806</v>
      </c>
      <c r="W285" t="s">
        <v>4786</v>
      </c>
      <c r="X285" t="s">
        <v>4807</v>
      </c>
      <c r="Y285" t="s">
        <v>4800</v>
      </c>
      <c r="Z285" t="s">
        <v>5807</v>
      </c>
      <c r="AA285" t="s">
        <v>5256</v>
      </c>
      <c r="AB285" t="s">
        <v>5808</v>
      </c>
      <c r="AC285" t="s">
        <v>66</v>
      </c>
      <c r="AD285" t="s">
        <v>66</v>
      </c>
      <c r="AE285" t="s">
        <v>66</v>
      </c>
      <c r="AF285" t="s">
        <v>5521</v>
      </c>
      <c r="AG285" t="s">
        <v>5809</v>
      </c>
      <c r="AH285" t="s">
        <v>5806</v>
      </c>
      <c r="AI285" t="s">
        <v>5809</v>
      </c>
      <c r="AJ285" t="s">
        <v>5806</v>
      </c>
      <c r="AK285" t="s">
        <v>5809</v>
      </c>
      <c r="AL285" t="s">
        <v>4792</v>
      </c>
    </row>
    <row r="286" customHeight="1" spans="1:38">
      <c r="A286" t="s">
        <v>22</v>
      </c>
      <c r="B286" t="s">
        <v>49</v>
      </c>
      <c r="C286" t="s">
        <v>51</v>
      </c>
      <c r="D286" t="s">
        <v>22</v>
      </c>
      <c r="E286" t="s">
        <v>1186</v>
      </c>
      <c r="F286" t="s">
        <v>1046</v>
      </c>
      <c r="G286" t="s">
        <v>1047</v>
      </c>
      <c r="H286" t="s">
        <v>1047</v>
      </c>
      <c r="I286" t="s">
        <v>1048</v>
      </c>
      <c r="J286" t="s">
        <v>1049</v>
      </c>
      <c r="K286" t="s">
        <v>1050</v>
      </c>
      <c r="L286" t="s">
        <v>1187</v>
      </c>
      <c r="M286" t="s">
        <v>1188</v>
      </c>
      <c r="N286" t="s">
        <v>107</v>
      </c>
      <c r="O286" t="s">
        <v>1047</v>
      </c>
      <c r="P286" t="s">
        <v>4782</v>
      </c>
      <c r="Q286" t="s">
        <v>1048</v>
      </c>
      <c r="R286" t="s">
        <v>1049</v>
      </c>
      <c r="S286" t="s">
        <v>1050</v>
      </c>
      <c r="T286" t="s">
        <v>4796</v>
      </c>
      <c r="U286" t="s">
        <v>4805</v>
      </c>
      <c r="V286" t="s">
        <v>4806</v>
      </c>
      <c r="W286" t="s">
        <v>4786</v>
      </c>
      <c r="X286" t="s">
        <v>4828</v>
      </c>
      <c r="Y286" t="s">
        <v>4800</v>
      </c>
      <c r="Z286" t="s">
        <v>5810</v>
      </c>
      <c r="AA286" t="s">
        <v>5282</v>
      </c>
      <c r="AB286" t="s">
        <v>4831</v>
      </c>
      <c r="AC286" t="s">
        <v>66</v>
      </c>
      <c r="AD286" t="s">
        <v>66</v>
      </c>
      <c r="AE286" t="s">
        <v>66</v>
      </c>
      <c r="AF286" t="s">
        <v>5811</v>
      </c>
      <c r="AG286" t="s">
        <v>5713</v>
      </c>
      <c r="AH286" t="s">
        <v>5811</v>
      </c>
      <c r="AI286" t="s">
        <v>5713</v>
      </c>
      <c r="AJ286" t="s">
        <v>5811</v>
      </c>
      <c r="AK286" t="s">
        <v>5713</v>
      </c>
      <c r="AL286" t="s">
        <v>4792</v>
      </c>
    </row>
    <row r="287" customHeight="1" spans="1:38">
      <c r="A287" t="s">
        <v>22</v>
      </c>
      <c r="B287" t="s">
        <v>49</v>
      </c>
      <c r="C287" t="s">
        <v>51</v>
      </c>
      <c r="D287" t="s">
        <v>22</v>
      </c>
      <c r="E287" t="s">
        <v>1186</v>
      </c>
      <c r="F287" t="s">
        <v>1046</v>
      </c>
      <c r="G287" t="s">
        <v>1047</v>
      </c>
      <c r="H287" t="s">
        <v>1047</v>
      </c>
      <c r="I287" t="s">
        <v>1048</v>
      </c>
      <c r="J287" t="s">
        <v>1049</v>
      </c>
      <c r="K287" t="s">
        <v>1050</v>
      </c>
      <c r="L287" t="s">
        <v>1187</v>
      </c>
      <c r="M287" t="s">
        <v>1188</v>
      </c>
      <c r="N287" t="s">
        <v>107</v>
      </c>
      <c r="O287" t="s">
        <v>1047</v>
      </c>
      <c r="P287" t="s">
        <v>4782</v>
      </c>
      <c r="Q287" t="s">
        <v>1048</v>
      </c>
      <c r="R287" t="s">
        <v>1049</v>
      </c>
      <c r="S287" t="s">
        <v>1050</v>
      </c>
      <c r="T287" t="s">
        <v>4796</v>
      </c>
      <c r="U287" t="s">
        <v>4797</v>
      </c>
      <c r="V287" t="s">
        <v>4814</v>
      </c>
      <c r="W287" t="s">
        <v>4786</v>
      </c>
      <c r="X287" t="s">
        <v>4807</v>
      </c>
      <c r="Y287" t="s">
        <v>4800</v>
      </c>
      <c r="Z287" t="s">
        <v>5812</v>
      </c>
      <c r="AA287" t="s">
        <v>4856</v>
      </c>
      <c r="AB287" t="s">
        <v>4814</v>
      </c>
      <c r="AC287" t="s">
        <v>66</v>
      </c>
      <c r="AD287" t="s">
        <v>66</v>
      </c>
      <c r="AE287" t="s">
        <v>66</v>
      </c>
      <c r="AF287" t="s">
        <v>5811</v>
      </c>
      <c r="AG287" t="s">
        <v>5813</v>
      </c>
      <c r="AH287" t="s">
        <v>5811</v>
      </c>
      <c r="AI287" t="s">
        <v>5813</v>
      </c>
      <c r="AJ287" t="s">
        <v>5811</v>
      </c>
      <c r="AK287" t="s">
        <v>5813</v>
      </c>
      <c r="AL287" t="s">
        <v>4792</v>
      </c>
    </row>
    <row r="288" customHeight="1" spans="1:38">
      <c r="A288" t="s">
        <v>22</v>
      </c>
      <c r="B288" t="s">
        <v>49</v>
      </c>
      <c r="C288" t="s">
        <v>51</v>
      </c>
      <c r="D288" t="s">
        <v>22</v>
      </c>
      <c r="E288" t="s">
        <v>5814</v>
      </c>
      <c r="F288" t="s">
        <v>1046</v>
      </c>
      <c r="G288" t="s">
        <v>1047</v>
      </c>
      <c r="H288" t="s">
        <v>1047</v>
      </c>
      <c r="I288" t="s">
        <v>1048</v>
      </c>
      <c r="J288" t="s">
        <v>1049</v>
      </c>
      <c r="K288" t="s">
        <v>1050</v>
      </c>
      <c r="L288" t="s">
        <v>5815</v>
      </c>
      <c r="M288" t="s">
        <v>108</v>
      </c>
      <c r="N288" t="s">
        <v>107</v>
      </c>
      <c r="O288" t="s">
        <v>1047</v>
      </c>
      <c r="P288" t="s">
        <v>4782</v>
      </c>
      <c r="Q288" t="s">
        <v>1048</v>
      </c>
      <c r="R288" t="s">
        <v>1049</v>
      </c>
      <c r="S288" t="s">
        <v>1050</v>
      </c>
      <c r="T288" t="s">
        <v>4796</v>
      </c>
      <c r="U288" t="s">
        <v>4805</v>
      </c>
      <c r="V288" t="s">
        <v>4806</v>
      </c>
      <c r="W288" t="s">
        <v>4786</v>
      </c>
      <c r="X288" t="s">
        <v>4828</v>
      </c>
      <c r="Y288" t="s">
        <v>4800</v>
      </c>
      <c r="Z288" t="s">
        <v>5816</v>
      </c>
      <c r="AA288" t="s">
        <v>5406</v>
      </c>
      <c r="AB288" t="s">
        <v>4983</v>
      </c>
      <c r="AC288" t="s">
        <v>66</v>
      </c>
      <c r="AD288" t="s">
        <v>66</v>
      </c>
      <c r="AE288" t="s">
        <v>66</v>
      </c>
      <c r="AF288" t="s">
        <v>5817</v>
      </c>
      <c r="AG288" t="s">
        <v>5818</v>
      </c>
      <c r="AH288" t="s">
        <v>5817</v>
      </c>
      <c r="AI288" t="s">
        <v>5818</v>
      </c>
      <c r="AJ288" t="s">
        <v>5817</v>
      </c>
      <c r="AK288" t="s">
        <v>5818</v>
      </c>
      <c r="AL288" t="s">
        <v>4792</v>
      </c>
    </row>
    <row r="289" customHeight="1" spans="1:38">
      <c r="A289" t="s">
        <v>22</v>
      </c>
      <c r="B289" t="s">
        <v>49</v>
      </c>
      <c r="C289" t="s">
        <v>51</v>
      </c>
      <c r="D289" t="s">
        <v>22</v>
      </c>
      <c r="E289" t="s">
        <v>5814</v>
      </c>
      <c r="F289" t="s">
        <v>1046</v>
      </c>
      <c r="G289" t="s">
        <v>1047</v>
      </c>
      <c r="H289" t="s">
        <v>1047</v>
      </c>
      <c r="I289" t="s">
        <v>1048</v>
      </c>
      <c r="J289" t="s">
        <v>1049</v>
      </c>
      <c r="K289" t="s">
        <v>1050</v>
      </c>
      <c r="L289" t="s">
        <v>5815</v>
      </c>
      <c r="M289" t="s">
        <v>108</v>
      </c>
      <c r="N289" t="s">
        <v>107</v>
      </c>
      <c r="O289" t="s">
        <v>1047</v>
      </c>
      <c r="P289" t="s">
        <v>4782</v>
      </c>
      <c r="Q289" t="s">
        <v>1048</v>
      </c>
      <c r="R289" t="s">
        <v>1049</v>
      </c>
      <c r="S289" t="s">
        <v>1050</v>
      </c>
      <c r="T289" t="s">
        <v>4796</v>
      </c>
      <c r="U289" t="s">
        <v>4797</v>
      </c>
      <c r="V289" t="s">
        <v>4976</v>
      </c>
      <c r="W289" t="s">
        <v>4786</v>
      </c>
      <c r="X289" t="s">
        <v>4807</v>
      </c>
      <c r="Y289" t="s">
        <v>4800</v>
      </c>
      <c r="Z289" t="s">
        <v>5819</v>
      </c>
      <c r="AA289" t="s">
        <v>5247</v>
      </c>
      <c r="AB289" t="s">
        <v>4976</v>
      </c>
      <c r="AC289" t="s">
        <v>66</v>
      </c>
      <c r="AD289" t="s">
        <v>66</v>
      </c>
      <c r="AE289" t="s">
        <v>66</v>
      </c>
      <c r="AF289" t="s">
        <v>5820</v>
      </c>
      <c r="AG289" t="s">
        <v>5821</v>
      </c>
      <c r="AH289" t="s">
        <v>5820</v>
      </c>
      <c r="AI289" t="s">
        <v>5821</v>
      </c>
      <c r="AJ289" t="s">
        <v>5820</v>
      </c>
      <c r="AK289" t="s">
        <v>5821</v>
      </c>
      <c r="AL289" t="s">
        <v>4792</v>
      </c>
    </row>
    <row r="290" customHeight="1" spans="1:38">
      <c r="A290" t="s">
        <v>22</v>
      </c>
      <c r="B290" t="s">
        <v>49</v>
      </c>
      <c r="C290" t="s">
        <v>51</v>
      </c>
      <c r="D290" t="s">
        <v>22</v>
      </c>
      <c r="E290" t="s">
        <v>1182</v>
      </c>
      <c r="F290" t="s">
        <v>1046</v>
      </c>
      <c r="G290" t="s">
        <v>1047</v>
      </c>
      <c r="H290" t="s">
        <v>1047</v>
      </c>
      <c r="I290" t="s">
        <v>1048</v>
      </c>
      <c r="J290" t="s">
        <v>1049</v>
      </c>
      <c r="K290" t="s">
        <v>1050</v>
      </c>
      <c r="L290" t="s">
        <v>1183</v>
      </c>
      <c r="M290" t="s">
        <v>1184</v>
      </c>
      <c r="N290" t="s">
        <v>107</v>
      </c>
      <c r="O290" t="s">
        <v>1047</v>
      </c>
      <c r="P290" t="s">
        <v>4782</v>
      </c>
      <c r="Q290" t="s">
        <v>1048</v>
      </c>
      <c r="R290" t="s">
        <v>1049</v>
      </c>
      <c r="S290" t="s">
        <v>1050</v>
      </c>
      <c r="T290" t="s">
        <v>4796</v>
      </c>
      <c r="U290" t="s">
        <v>4805</v>
      </c>
      <c r="V290" t="s">
        <v>4806</v>
      </c>
      <c r="W290" t="s">
        <v>4786</v>
      </c>
      <c r="X290" t="s">
        <v>4828</v>
      </c>
      <c r="Y290" t="s">
        <v>4800</v>
      </c>
      <c r="Z290" t="s">
        <v>5822</v>
      </c>
      <c r="AA290" t="s">
        <v>5823</v>
      </c>
      <c r="AB290" t="s">
        <v>4983</v>
      </c>
      <c r="AC290" t="s">
        <v>66</v>
      </c>
      <c r="AD290" t="s">
        <v>66</v>
      </c>
      <c r="AE290" t="s">
        <v>66</v>
      </c>
      <c r="AF290" t="s">
        <v>5824</v>
      </c>
      <c r="AG290" t="s">
        <v>5825</v>
      </c>
      <c r="AH290" t="s">
        <v>5824</v>
      </c>
      <c r="AI290" t="s">
        <v>5825</v>
      </c>
      <c r="AJ290" t="s">
        <v>5824</v>
      </c>
      <c r="AK290" t="s">
        <v>5825</v>
      </c>
      <c r="AL290" t="s">
        <v>4792</v>
      </c>
    </row>
    <row r="291" customHeight="1" spans="1:38">
      <c r="A291" t="s">
        <v>22</v>
      </c>
      <c r="B291" t="s">
        <v>49</v>
      </c>
      <c r="C291" t="s">
        <v>51</v>
      </c>
      <c r="D291" t="s">
        <v>22</v>
      </c>
      <c r="E291" t="s">
        <v>1182</v>
      </c>
      <c r="F291" t="s">
        <v>1046</v>
      </c>
      <c r="G291" t="s">
        <v>1047</v>
      </c>
      <c r="H291" t="s">
        <v>1047</v>
      </c>
      <c r="I291" t="s">
        <v>1048</v>
      </c>
      <c r="J291" t="s">
        <v>1049</v>
      </c>
      <c r="K291" t="s">
        <v>1050</v>
      </c>
      <c r="L291" t="s">
        <v>1183</v>
      </c>
      <c r="M291" t="s">
        <v>1184</v>
      </c>
      <c r="N291" t="s">
        <v>107</v>
      </c>
      <c r="O291" t="s">
        <v>1047</v>
      </c>
      <c r="P291" t="s">
        <v>4782</v>
      </c>
      <c r="Q291" t="s">
        <v>1048</v>
      </c>
      <c r="R291" t="s">
        <v>1049</v>
      </c>
      <c r="S291" t="s">
        <v>1050</v>
      </c>
      <c r="T291" t="s">
        <v>4796</v>
      </c>
      <c r="U291" t="s">
        <v>4797</v>
      </c>
      <c r="V291" t="s">
        <v>5826</v>
      </c>
      <c r="W291" t="s">
        <v>4786</v>
      </c>
      <c r="X291" t="s">
        <v>4820</v>
      </c>
      <c r="Y291" t="s">
        <v>4800</v>
      </c>
      <c r="Z291" t="s">
        <v>5827</v>
      </c>
      <c r="AA291" t="s">
        <v>5828</v>
      </c>
      <c r="AB291" t="s">
        <v>5826</v>
      </c>
      <c r="AC291" t="s">
        <v>66</v>
      </c>
      <c r="AD291" t="s">
        <v>66</v>
      </c>
      <c r="AE291" t="s">
        <v>66</v>
      </c>
      <c r="AF291" t="s">
        <v>5824</v>
      </c>
      <c r="AG291" t="s">
        <v>5829</v>
      </c>
      <c r="AH291" t="s">
        <v>5824</v>
      </c>
      <c r="AI291" t="s">
        <v>5829</v>
      </c>
      <c r="AJ291" t="s">
        <v>5824</v>
      </c>
      <c r="AK291" t="s">
        <v>5829</v>
      </c>
      <c r="AL291" t="s">
        <v>4792</v>
      </c>
    </row>
    <row r="292" customHeight="1" spans="1:38">
      <c r="A292" t="s">
        <v>22</v>
      </c>
      <c r="B292" t="s">
        <v>49</v>
      </c>
      <c r="C292" t="s">
        <v>51</v>
      </c>
      <c r="D292" t="s">
        <v>22</v>
      </c>
      <c r="E292" t="s">
        <v>5830</v>
      </c>
      <c r="F292" t="s">
        <v>1070</v>
      </c>
      <c r="G292" t="s">
        <v>1047</v>
      </c>
      <c r="H292" t="s">
        <v>1047</v>
      </c>
      <c r="I292" t="s">
        <v>1048</v>
      </c>
      <c r="J292" t="s">
        <v>1049</v>
      </c>
      <c r="K292" t="s">
        <v>1050</v>
      </c>
      <c r="L292" t="s">
        <v>5831</v>
      </c>
      <c r="M292" t="s">
        <v>3562</v>
      </c>
      <c r="N292" t="s">
        <v>107</v>
      </c>
      <c r="O292" t="s">
        <v>1047</v>
      </c>
      <c r="P292" t="s">
        <v>4782</v>
      </c>
      <c r="Q292" t="s">
        <v>1048</v>
      </c>
      <c r="R292" t="s">
        <v>1049</v>
      </c>
      <c r="S292" t="s">
        <v>1050</v>
      </c>
      <c r="T292" t="s">
        <v>4796</v>
      </c>
      <c r="U292" t="s">
        <v>4805</v>
      </c>
      <c r="V292" t="s">
        <v>4806</v>
      </c>
      <c r="W292" t="s">
        <v>4786</v>
      </c>
      <c r="X292" t="s">
        <v>4828</v>
      </c>
      <c r="Y292" t="s">
        <v>4800</v>
      </c>
      <c r="Z292" t="s">
        <v>5832</v>
      </c>
      <c r="AA292" t="s">
        <v>5011</v>
      </c>
      <c r="AB292" t="s">
        <v>4936</v>
      </c>
      <c r="AC292" t="s">
        <v>66</v>
      </c>
      <c r="AD292" t="s">
        <v>19</v>
      </c>
      <c r="AE292" t="s">
        <v>19</v>
      </c>
      <c r="AF292" t="s">
        <v>5833</v>
      </c>
      <c r="AG292" t="s">
        <v>5834</v>
      </c>
      <c r="AH292" t="s">
        <v>22</v>
      </c>
      <c r="AI292" t="s">
        <v>22</v>
      </c>
      <c r="AJ292" t="s">
        <v>22</v>
      </c>
      <c r="AK292" t="s">
        <v>22</v>
      </c>
      <c r="AL292" t="s">
        <v>4792</v>
      </c>
    </row>
    <row r="293" customHeight="1" spans="1:38">
      <c r="A293" t="s">
        <v>22</v>
      </c>
      <c r="B293" t="s">
        <v>49</v>
      </c>
      <c r="C293" t="s">
        <v>51</v>
      </c>
      <c r="D293" t="s">
        <v>22</v>
      </c>
      <c r="E293" t="s">
        <v>5830</v>
      </c>
      <c r="F293" t="s">
        <v>1070</v>
      </c>
      <c r="G293" t="s">
        <v>1047</v>
      </c>
      <c r="H293" t="s">
        <v>1047</v>
      </c>
      <c r="I293" t="s">
        <v>1048</v>
      </c>
      <c r="J293" t="s">
        <v>1049</v>
      </c>
      <c r="K293" t="s">
        <v>1050</v>
      </c>
      <c r="L293" t="s">
        <v>5831</v>
      </c>
      <c r="M293" t="s">
        <v>3562</v>
      </c>
      <c r="N293" t="s">
        <v>107</v>
      </c>
      <c r="O293" t="s">
        <v>1047</v>
      </c>
      <c r="P293" t="s">
        <v>4782</v>
      </c>
      <c r="Q293" t="s">
        <v>1048</v>
      </c>
      <c r="R293" t="s">
        <v>1049</v>
      </c>
      <c r="S293" t="s">
        <v>1050</v>
      </c>
      <c r="T293" t="s">
        <v>4796</v>
      </c>
      <c r="U293" t="s">
        <v>4797</v>
      </c>
      <c r="V293" t="s">
        <v>4798</v>
      </c>
      <c r="W293" t="s">
        <v>4786</v>
      </c>
      <c r="X293" t="s">
        <v>4807</v>
      </c>
      <c r="Y293" t="s">
        <v>4800</v>
      </c>
      <c r="Z293" t="s">
        <v>5835</v>
      </c>
      <c r="AA293" t="s">
        <v>5836</v>
      </c>
      <c r="AB293" t="s">
        <v>4798</v>
      </c>
      <c r="AC293" t="s">
        <v>66</v>
      </c>
      <c r="AD293" t="s">
        <v>19</v>
      </c>
      <c r="AE293" t="s">
        <v>19</v>
      </c>
      <c r="AF293" t="s">
        <v>5833</v>
      </c>
      <c r="AG293" t="s">
        <v>5837</v>
      </c>
      <c r="AH293" t="s">
        <v>22</v>
      </c>
      <c r="AI293" t="s">
        <v>22</v>
      </c>
      <c r="AJ293" t="s">
        <v>22</v>
      </c>
      <c r="AK293" t="s">
        <v>22</v>
      </c>
      <c r="AL293" t="s">
        <v>4792</v>
      </c>
    </row>
    <row r="294" customHeight="1" spans="1:38">
      <c r="A294" t="s">
        <v>22</v>
      </c>
      <c r="B294" t="s">
        <v>49</v>
      </c>
      <c r="C294" t="s">
        <v>51</v>
      </c>
      <c r="D294" t="s">
        <v>22</v>
      </c>
      <c r="E294" t="s">
        <v>5838</v>
      </c>
      <c r="F294" t="s">
        <v>1046</v>
      </c>
      <c r="G294" t="s">
        <v>1047</v>
      </c>
      <c r="H294" t="s">
        <v>1047</v>
      </c>
      <c r="I294" t="s">
        <v>1048</v>
      </c>
      <c r="J294" t="s">
        <v>1049</v>
      </c>
      <c r="K294" t="s">
        <v>1050</v>
      </c>
      <c r="L294" t="s">
        <v>5839</v>
      </c>
      <c r="M294" t="s">
        <v>5840</v>
      </c>
      <c r="N294" t="s">
        <v>107</v>
      </c>
      <c r="O294" t="s">
        <v>1047</v>
      </c>
      <c r="P294" t="s">
        <v>4782</v>
      </c>
      <c r="Q294" t="s">
        <v>1048</v>
      </c>
      <c r="R294" t="s">
        <v>1049</v>
      </c>
      <c r="S294" t="s">
        <v>1050</v>
      </c>
      <c r="T294" t="s">
        <v>4796</v>
      </c>
      <c r="U294" t="s">
        <v>4805</v>
      </c>
      <c r="V294" t="s">
        <v>4806</v>
      </c>
      <c r="W294" t="s">
        <v>4786</v>
      </c>
      <c r="X294" t="s">
        <v>4828</v>
      </c>
      <c r="Y294" t="s">
        <v>4800</v>
      </c>
      <c r="Z294" t="s">
        <v>5841</v>
      </c>
      <c r="AA294" t="s">
        <v>4944</v>
      </c>
      <c r="AB294" t="s">
        <v>4983</v>
      </c>
      <c r="AC294" t="s">
        <v>66</v>
      </c>
      <c r="AD294" t="s">
        <v>66</v>
      </c>
      <c r="AE294" t="s">
        <v>66</v>
      </c>
      <c r="AF294" t="s">
        <v>5226</v>
      </c>
      <c r="AG294" t="s">
        <v>5842</v>
      </c>
      <c r="AH294" t="s">
        <v>5226</v>
      </c>
      <c r="AI294" t="s">
        <v>5842</v>
      </c>
      <c r="AJ294" t="s">
        <v>5226</v>
      </c>
      <c r="AK294" t="s">
        <v>5842</v>
      </c>
      <c r="AL294" t="s">
        <v>4792</v>
      </c>
    </row>
    <row r="295" customHeight="1" spans="1:38">
      <c r="A295" t="s">
        <v>22</v>
      </c>
      <c r="B295" t="s">
        <v>49</v>
      </c>
      <c r="C295" t="s">
        <v>51</v>
      </c>
      <c r="D295" t="s">
        <v>22</v>
      </c>
      <c r="E295" t="s">
        <v>5838</v>
      </c>
      <c r="F295" t="s">
        <v>1046</v>
      </c>
      <c r="G295" t="s">
        <v>1047</v>
      </c>
      <c r="H295" t="s">
        <v>1047</v>
      </c>
      <c r="I295" t="s">
        <v>1048</v>
      </c>
      <c r="J295" t="s">
        <v>1049</v>
      </c>
      <c r="K295" t="s">
        <v>1050</v>
      </c>
      <c r="L295" t="s">
        <v>5839</v>
      </c>
      <c r="M295" t="s">
        <v>5840</v>
      </c>
      <c r="N295" t="s">
        <v>107</v>
      </c>
      <c r="O295" t="s">
        <v>1047</v>
      </c>
      <c r="P295" t="s">
        <v>4782</v>
      </c>
      <c r="Q295" t="s">
        <v>1048</v>
      </c>
      <c r="R295" t="s">
        <v>1049</v>
      </c>
      <c r="S295" t="s">
        <v>1050</v>
      </c>
      <c r="T295" t="s">
        <v>4796</v>
      </c>
      <c r="U295" t="s">
        <v>4797</v>
      </c>
      <c r="V295" t="s">
        <v>4976</v>
      </c>
      <c r="W295" t="s">
        <v>4786</v>
      </c>
      <c r="X295" t="s">
        <v>4807</v>
      </c>
      <c r="Y295" t="s">
        <v>4800</v>
      </c>
      <c r="Z295" t="s">
        <v>5843</v>
      </c>
      <c r="AA295" t="s">
        <v>4978</v>
      </c>
      <c r="AB295" t="s">
        <v>4976</v>
      </c>
      <c r="AC295" t="s">
        <v>66</v>
      </c>
      <c r="AD295" t="s">
        <v>66</v>
      </c>
      <c r="AE295" t="s">
        <v>66</v>
      </c>
      <c r="AF295" t="s">
        <v>5226</v>
      </c>
      <c r="AG295" t="s">
        <v>5844</v>
      </c>
      <c r="AH295" t="s">
        <v>5226</v>
      </c>
      <c r="AI295" t="s">
        <v>5844</v>
      </c>
      <c r="AJ295" t="s">
        <v>5226</v>
      </c>
      <c r="AK295" t="s">
        <v>5844</v>
      </c>
      <c r="AL295" t="s">
        <v>4792</v>
      </c>
    </row>
    <row r="296" customHeight="1" spans="1:38">
      <c r="A296" t="s">
        <v>22</v>
      </c>
      <c r="B296" t="s">
        <v>49</v>
      </c>
      <c r="C296" t="s">
        <v>51</v>
      </c>
      <c r="D296" t="s">
        <v>22</v>
      </c>
      <c r="E296" t="s">
        <v>5845</v>
      </c>
      <c r="F296" t="s">
        <v>1070</v>
      </c>
      <c r="G296" t="s">
        <v>1047</v>
      </c>
      <c r="H296" t="s">
        <v>1047</v>
      </c>
      <c r="I296" t="s">
        <v>1048</v>
      </c>
      <c r="J296" t="s">
        <v>1049</v>
      </c>
      <c r="K296" t="s">
        <v>1050</v>
      </c>
      <c r="L296" t="s">
        <v>5846</v>
      </c>
      <c r="M296" t="s">
        <v>3610</v>
      </c>
      <c r="N296" t="s">
        <v>107</v>
      </c>
      <c r="O296" t="s">
        <v>1047</v>
      </c>
      <c r="P296" t="s">
        <v>4782</v>
      </c>
      <c r="Q296" t="s">
        <v>1048</v>
      </c>
      <c r="R296" t="s">
        <v>1049</v>
      </c>
      <c r="S296" t="s">
        <v>1050</v>
      </c>
      <c r="T296" t="s">
        <v>4796</v>
      </c>
      <c r="U296" t="s">
        <v>4805</v>
      </c>
      <c r="V296" t="s">
        <v>4806</v>
      </c>
      <c r="W296" t="s">
        <v>4786</v>
      </c>
      <c r="X296" t="s">
        <v>4807</v>
      </c>
      <c r="Y296" t="s">
        <v>4800</v>
      </c>
      <c r="Z296" t="s">
        <v>4836</v>
      </c>
      <c r="AA296" t="s">
        <v>4837</v>
      </c>
      <c r="AB296" t="s">
        <v>4838</v>
      </c>
      <c r="AC296" t="s">
        <v>66</v>
      </c>
      <c r="AD296" t="s">
        <v>19</v>
      </c>
      <c r="AE296" t="s">
        <v>19</v>
      </c>
      <c r="AF296" t="s">
        <v>5521</v>
      </c>
      <c r="AG296" t="s">
        <v>5847</v>
      </c>
      <c r="AH296" t="s">
        <v>22</v>
      </c>
      <c r="AI296" t="s">
        <v>22</v>
      </c>
      <c r="AJ296" t="s">
        <v>22</v>
      </c>
      <c r="AK296" t="s">
        <v>22</v>
      </c>
      <c r="AL296" t="s">
        <v>4792</v>
      </c>
    </row>
    <row r="297" customHeight="1" spans="1:38">
      <c r="A297" t="s">
        <v>22</v>
      </c>
      <c r="B297" t="s">
        <v>49</v>
      </c>
      <c r="C297" t="s">
        <v>51</v>
      </c>
      <c r="D297" t="s">
        <v>22</v>
      </c>
      <c r="E297" t="s">
        <v>5845</v>
      </c>
      <c r="F297" t="s">
        <v>1070</v>
      </c>
      <c r="G297" t="s">
        <v>1047</v>
      </c>
      <c r="H297" t="s">
        <v>1047</v>
      </c>
      <c r="I297" t="s">
        <v>1048</v>
      </c>
      <c r="J297" t="s">
        <v>1049</v>
      </c>
      <c r="K297" t="s">
        <v>1050</v>
      </c>
      <c r="L297" t="s">
        <v>5846</v>
      </c>
      <c r="M297" t="s">
        <v>3610</v>
      </c>
      <c r="N297" t="s">
        <v>107</v>
      </c>
      <c r="O297" t="s">
        <v>1047</v>
      </c>
      <c r="P297" t="s">
        <v>4782</v>
      </c>
      <c r="Q297" t="s">
        <v>1048</v>
      </c>
      <c r="R297" t="s">
        <v>1049</v>
      </c>
      <c r="S297" t="s">
        <v>1050</v>
      </c>
      <c r="T297" t="s">
        <v>4796</v>
      </c>
      <c r="U297" t="s">
        <v>4797</v>
      </c>
      <c r="V297" t="s">
        <v>4814</v>
      </c>
      <c r="W297" t="s">
        <v>4786</v>
      </c>
      <c r="X297" t="s">
        <v>4807</v>
      </c>
      <c r="Y297" t="s">
        <v>4800</v>
      </c>
      <c r="Z297" t="s">
        <v>4847</v>
      </c>
      <c r="AA297" t="s">
        <v>4848</v>
      </c>
      <c r="AB297" t="s">
        <v>4814</v>
      </c>
      <c r="AC297" t="s">
        <v>66</v>
      </c>
      <c r="AD297" t="s">
        <v>19</v>
      </c>
      <c r="AE297" t="s">
        <v>19</v>
      </c>
      <c r="AF297" t="s">
        <v>5521</v>
      </c>
      <c r="AG297" t="s">
        <v>5848</v>
      </c>
      <c r="AH297" t="s">
        <v>22</v>
      </c>
      <c r="AI297" t="s">
        <v>22</v>
      </c>
      <c r="AJ297" t="s">
        <v>22</v>
      </c>
      <c r="AK297" t="s">
        <v>22</v>
      </c>
      <c r="AL297" t="s">
        <v>4792</v>
      </c>
    </row>
    <row r="298" customHeight="1" spans="1:38">
      <c r="A298" t="s">
        <v>22</v>
      </c>
      <c r="B298" t="s">
        <v>49</v>
      </c>
      <c r="C298" t="s">
        <v>51</v>
      </c>
      <c r="D298" t="s">
        <v>22</v>
      </c>
      <c r="E298" t="s">
        <v>5849</v>
      </c>
      <c r="F298" t="s">
        <v>1046</v>
      </c>
      <c r="G298" t="s">
        <v>1047</v>
      </c>
      <c r="H298" t="s">
        <v>1047</v>
      </c>
      <c r="I298" t="s">
        <v>1048</v>
      </c>
      <c r="J298" t="s">
        <v>1049</v>
      </c>
      <c r="K298" t="s">
        <v>1050</v>
      </c>
      <c r="L298" t="s">
        <v>5850</v>
      </c>
      <c r="M298" t="s">
        <v>1123</v>
      </c>
      <c r="N298" t="s">
        <v>107</v>
      </c>
      <c r="O298" t="s">
        <v>1047</v>
      </c>
      <c r="P298" t="s">
        <v>4782</v>
      </c>
      <c r="Q298" t="s">
        <v>1048</v>
      </c>
      <c r="R298" t="s">
        <v>1049</v>
      </c>
      <c r="S298" t="s">
        <v>1050</v>
      </c>
      <c r="T298" t="s">
        <v>4796</v>
      </c>
      <c r="U298" t="s">
        <v>4797</v>
      </c>
      <c r="V298" t="s">
        <v>4841</v>
      </c>
      <c r="W298" t="s">
        <v>4786</v>
      </c>
      <c r="X298" t="s">
        <v>4799</v>
      </c>
      <c r="Y298" t="s">
        <v>4800</v>
      </c>
      <c r="Z298" t="s">
        <v>5851</v>
      </c>
      <c r="AA298" t="s">
        <v>5852</v>
      </c>
      <c r="AB298" t="s">
        <v>5853</v>
      </c>
      <c r="AC298" t="s">
        <v>66</v>
      </c>
      <c r="AD298" t="s">
        <v>66</v>
      </c>
      <c r="AE298" t="s">
        <v>66</v>
      </c>
      <c r="AF298" t="s">
        <v>5854</v>
      </c>
      <c r="AG298" t="s">
        <v>5855</v>
      </c>
      <c r="AH298" t="s">
        <v>5856</v>
      </c>
      <c r="AI298" t="s">
        <v>5855</v>
      </c>
      <c r="AJ298" t="s">
        <v>5856</v>
      </c>
      <c r="AK298" t="s">
        <v>5855</v>
      </c>
      <c r="AL298" t="s">
        <v>4792</v>
      </c>
    </row>
    <row r="299" customHeight="1" spans="1:38">
      <c r="A299" t="s">
        <v>22</v>
      </c>
      <c r="B299" t="s">
        <v>49</v>
      </c>
      <c r="C299" t="s">
        <v>51</v>
      </c>
      <c r="D299" t="s">
        <v>22</v>
      </c>
      <c r="E299" t="s">
        <v>5849</v>
      </c>
      <c r="F299" t="s">
        <v>1046</v>
      </c>
      <c r="G299" t="s">
        <v>1047</v>
      </c>
      <c r="H299" t="s">
        <v>1047</v>
      </c>
      <c r="I299" t="s">
        <v>1048</v>
      </c>
      <c r="J299" t="s">
        <v>1049</v>
      </c>
      <c r="K299" t="s">
        <v>1050</v>
      </c>
      <c r="L299" t="s">
        <v>5850</v>
      </c>
      <c r="M299" t="s">
        <v>1123</v>
      </c>
      <c r="N299" t="s">
        <v>107</v>
      </c>
      <c r="O299" t="s">
        <v>1047</v>
      </c>
      <c r="P299" t="s">
        <v>4782</v>
      </c>
      <c r="Q299" t="s">
        <v>1048</v>
      </c>
      <c r="R299" t="s">
        <v>1049</v>
      </c>
      <c r="S299" t="s">
        <v>1050</v>
      </c>
      <c r="T299" t="s">
        <v>4796</v>
      </c>
      <c r="U299" t="s">
        <v>4805</v>
      </c>
      <c r="V299" t="s">
        <v>4806</v>
      </c>
      <c r="W299" t="s">
        <v>4786</v>
      </c>
      <c r="X299" t="s">
        <v>4807</v>
      </c>
      <c r="Y299" t="s">
        <v>4800</v>
      </c>
      <c r="Z299" t="s">
        <v>4058</v>
      </c>
      <c r="AA299" t="s">
        <v>5857</v>
      </c>
      <c r="AB299" t="s">
        <v>5858</v>
      </c>
      <c r="AC299" t="s">
        <v>66</v>
      </c>
      <c r="AD299" t="s">
        <v>66</v>
      </c>
      <c r="AE299" t="s">
        <v>66</v>
      </c>
      <c r="AF299" t="s">
        <v>5854</v>
      </c>
      <c r="AG299" t="s">
        <v>5859</v>
      </c>
      <c r="AH299" t="s">
        <v>5856</v>
      </c>
      <c r="AI299" t="s">
        <v>5859</v>
      </c>
      <c r="AJ299" t="s">
        <v>5856</v>
      </c>
      <c r="AK299" t="s">
        <v>5859</v>
      </c>
      <c r="AL299" t="s">
        <v>4792</v>
      </c>
    </row>
    <row r="300" customHeight="1" spans="1:38">
      <c r="A300" t="s">
        <v>22</v>
      </c>
      <c r="B300" t="s">
        <v>49</v>
      </c>
      <c r="C300" t="s">
        <v>51</v>
      </c>
      <c r="D300" t="s">
        <v>22</v>
      </c>
      <c r="E300" t="s">
        <v>5860</v>
      </c>
      <c r="F300" t="s">
        <v>1046</v>
      </c>
      <c r="G300" t="s">
        <v>1047</v>
      </c>
      <c r="H300" t="s">
        <v>1047</v>
      </c>
      <c r="I300" t="s">
        <v>1048</v>
      </c>
      <c r="J300" t="s">
        <v>1049</v>
      </c>
      <c r="K300" t="s">
        <v>1050</v>
      </c>
      <c r="L300" t="s">
        <v>5861</v>
      </c>
      <c r="M300" t="s">
        <v>5862</v>
      </c>
      <c r="N300" t="s">
        <v>107</v>
      </c>
      <c r="O300" t="s">
        <v>1047</v>
      </c>
      <c r="P300" t="s">
        <v>4782</v>
      </c>
      <c r="Q300" t="s">
        <v>1048</v>
      </c>
      <c r="R300" t="s">
        <v>1049</v>
      </c>
      <c r="S300" t="s">
        <v>1050</v>
      </c>
      <c r="T300" t="s">
        <v>4796</v>
      </c>
      <c r="U300" t="s">
        <v>4805</v>
      </c>
      <c r="V300" t="s">
        <v>4806</v>
      </c>
      <c r="W300" t="s">
        <v>4786</v>
      </c>
      <c r="X300" t="s">
        <v>4828</v>
      </c>
      <c r="Y300" t="s">
        <v>4800</v>
      </c>
      <c r="Z300" t="s">
        <v>5863</v>
      </c>
      <c r="AA300" t="s">
        <v>5864</v>
      </c>
      <c r="AB300" t="s">
        <v>5147</v>
      </c>
      <c r="AC300" t="s">
        <v>66</v>
      </c>
      <c r="AD300" t="s">
        <v>66</v>
      </c>
      <c r="AE300" t="s">
        <v>66</v>
      </c>
      <c r="AF300" t="s">
        <v>5865</v>
      </c>
      <c r="AG300" t="s">
        <v>5866</v>
      </c>
      <c r="AH300" t="s">
        <v>5865</v>
      </c>
      <c r="AI300" t="s">
        <v>5866</v>
      </c>
      <c r="AJ300" t="s">
        <v>5865</v>
      </c>
      <c r="AK300" t="s">
        <v>5866</v>
      </c>
      <c r="AL300" t="s">
        <v>4792</v>
      </c>
    </row>
    <row r="301" customHeight="1" spans="1:38">
      <c r="A301" t="s">
        <v>22</v>
      </c>
      <c r="B301" t="s">
        <v>49</v>
      </c>
      <c r="C301" t="s">
        <v>51</v>
      </c>
      <c r="D301" t="s">
        <v>22</v>
      </c>
      <c r="E301" t="s">
        <v>5860</v>
      </c>
      <c r="F301" t="s">
        <v>1046</v>
      </c>
      <c r="G301" t="s">
        <v>1047</v>
      </c>
      <c r="H301" t="s">
        <v>1047</v>
      </c>
      <c r="I301" t="s">
        <v>1048</v>
      </c>
      <c r="J301" t="s">
        <v>1049</v>
      </c>
      <c r="K301" t="s">
        <v>1050</v>
      </c>
      <c r="L301" t="s">
        <v>5861</v>
      </c>
      <c r="M301" t="s">
        <v>5862</v>
      </c>
      <c r="N301" t="s">
        <v>107</v>
      </c>
      <c r="O301" t="s">
        <v>1047</v>
      </c>
      <c r="P301" t="s">
        <v>4782</v>
      </c>
      <c r="Q301" t="s">
        <v>1048</v>
      </c>
      <c r="R301" t="s">
        <v>1049</v>
      </c>
      <c r="S301" t="s">
        <v>1050</v>
      </c>
      <c r="T301" t="s">
        <v>4796</v>
      </c>
      <c r="U301" t="s">
        <v>4797</v>
      </c>
      <c r="V301" t="s">
        <v>4841</v>
      </c>
      <c r="W301" t="s">
        <v>4786</v>
      </c>
      <c r="X301" t="s">
        <v>4807</v>
      </c>
      <c r="Y301" t="s">
        <v>4800</v>
      </c>
      <c r="Z301" t="s">
        <v>5867</v>
      </c>
      <c r="AA301" t="s">
        <v>5868</v>
      </c>
      <c r="AB301" t="s">
        <v>4841</v>
      </c>
      <c r="AC301" t="s">
        <v>66</v>
      </c>
      <c r="AD301" t="s">
        <v>66</v>
      </c>
      <c r="AE301" t="s">
        <v>66</v>
      </c>
      <c r="AF301" t="s">
        <v>5865</v>
      </c>
      <c r="AG301" t="s">
        <v>5869</v>
      </c>
      <c r="AH301" t="s">
        <v>5865</v>
      </c>
      <c r="AI301" t="s">
        <v>5869</v>
      </c>
      <c r="AJ301" t="s">
        <v>5865</v>
      </c>
      <c r="AK301" t="s">
        <v>5869</v>
      </c>
      <c r="AL301" t="s">
        <v>4792</v>
      </c>
    </row>
    <row r="302" customHeight="1" spans="1:38">
      <c r="A302" t="s">
        <v>22</v>
      </c>
      <c r="B302" t="s">
        <v>49</v>
      </c>
      <c r="C302" t="s">
        <v>51</v>
      </c>
      <c r="D302" t="s">
        <v>22</v>
      </c>
      <c r="E302" t="s">
        <v>5870</v>
      </c>
      <c r="F302" t="s">
        <v>1070</v>
      </c>
      <c r="G302" t="s">
        <v>1047</v>
      </c>
      <c r="H302" t="s">
        <v>1047</v>
      </c>
      <c r="I302" t="s">
        <v>1048</v>
      </c>
      <c r="J302" t="s">
        <v>1049</v>
      </c>
      <c r="K302" t="s">
        <v>1050</v>
      </c>
      <c r="L302" t="s">
        <v>5871</v>
      </c>
      <c r="M302" t="s">
        <v>5872</v>
      </c>
      <c r="N302" t="s">
        <v>107</v>
      </c>
      <c r="O302" t="s">
        <v>1047</v>
      </c>
      <c r="P302" t="s">
        <v>4782</v>
      </c>
      <c r="Q302" t="s">
        <v>1048</v>
      </c>
      <c r="R302" t="s">
        <v>1049</v>
      </c>
      <c r="S302" t="s">
        <v>1050</v>
      </c>
      <c r="T302" t="s">
        <v>4796</v>
      </c>
      <c r="U302" t="s">
        <v>4805</v>
      </c>
      <c r="V302" t="s">
        <v>4806</v>
      </c>
      <c r="W302" t="s">
        <v>4786</v>
      </c>
      <c r="X302" t="s">
        <v>4828</v>
      </c>
      <c r="Y302" t="s">
        <v>4800</v>
      </c>
      <c r="Z302" t="s">
        <v>5873</v>
      </c>
      <c r="AA302" t="s">
        <v>5319</v>
      </c>
      <c r="AB302" t="s">
        <v>5147</v>
      </c>
      <c r="AC302" t="s">
        <v>66</v>
      </c>
      <c r="AD302" t="s">
        <v>19</v>
      </c>
      <c r="AE302" t="s">
        <v>19</v>
      </c>
      <c r="AF302" t="s">
        <v>5874</v>
      </c>
      <c r="AG302" t="s">
        <v>5875</v>
      </c>
      <c r="AH302" t="s">
        <v>22</v>
      </c>
      <c r="AI302" t="s">
        <v>22</v>
      </c>
      <c r="AJ302" t="s">
        <v>22</v>
      </c>
      <c r="AK302" t="s">
        <v>22</v>
      </c>
      <c r="AL302" t="s">
        <v>4792</v>
      </c>
    </row>
    <row r="303" customHeight="1" spans="1:38">
      <c r="A303" t="s">
        <v>22</v>
      </c>
      <c r="B303" t="s">
        <v>49</v>
      </c>
      <c r="C303" t="s">
        <v>51</v>
      </c>
      <c r="D303" t="s">
        <v>22</v>
      </c>
      <c r="E303" t="s">
        <v>5870</v>
      </c>
      <c r="F303" t="s">
        <v>1070</v>
      </c>
      <c r="G303" t="s">
        <v>1047</v>
      </c>
      <c r="H303" t="s">
        <v>1047</v>
      </c>
      <c r="I303" t="s">
        <v>1048</v>
      </c>
      <c r="J303" t="s">
        <v>1049</v>
      </c>
      <c r="K303" t="s">
        <v>1050</v>
      </c>
      <c r="L303" t="s">
        <v>5871</v>
      </c>
      <c r="M303" t="s">
        <v>5872</v>
      </c>
      <c r="N303" t="s">
        <v>107</v>
      </c>
      <c r="O303" t="s">
        <v>1047</v>
      </c>
      <c r="P303" t="s">
        <v>4782</v>
      </c>
      <c r="Q303" t="s">
        <v>1048</v>
      </c>
      <c r="R303" t="s">
        <v>1049</v>
      </c>
      <c r="S303" t="s">
        <v>1050</v>
      </c>
      <c r="T303" t="s">
        <v>4796</v>
      </c>
      <c r="U303" t="s">
        <v>4797</v>
      </c>
      <c r="V303" t="s">
        <v>4841</v>
      </c>
      <c r="W303" t="s">
        <v>4786</v>
      </c>
      <c r="X303" t="s">
        <v>4807</v>
      </c>
      <c r="Y303" t="s">
        <v>4800</v>
      </c>
      <c r="Z303" t="s">
        <v>5876</v>
      </c>
      <c r="AA303" t="s">
        <v>5877</v>
      </c>
      <c r="AB303" t="s">
        <v>4841</v>
      </c>
      <c r="AC303" t="s">
        <v>66</v>
      </c>
      <c r="AD303" t="s">
        <v>19</v>
      </c>
      <c r="AE303" t="s">
        <v>19</v>
      </c>
      <c r="AF303" t="s">
        <v>5874</v>
      </c>
      <c r="AG303" t="s">
        <v>5878</v>
      </c>
      <c r="AH303" t="s">
        <v>22</v>
      </c>
      <c r="AI303" t="s">
        <v>22</v>
      </c>
      <c r="AJ303" t="s">
        <v>22</v>
      </c>
      <c r="AK303" t="s">
        <v>22</v>
      </c>
      <c r="AL303" t="s">
        <v>4792</v>
      </c>
    </row>
    <row r="304" customHeight="1" spans="1:38">
      <c r="A304" t="s">
        <v>22</v>
      </c>
      <c r="B304" t="s">
        <v>49</v>
      </c>
      <c r="C304" t="s">
        <v>51</v>
      </c>
      <c r="D304" t="s">
        <v>22</v>
      </c>
      <c r="E304" t="s">
        <v>5879</v>
      </c>
      <c r="F304" t="s">
        <v>1070</v>
      </c>
      <c r="G304" t="s">
        <v>1047</v>
      </c>
      <c r="H304" t="s">
        <v>1047</v>
      </c>
      <c r="I304" t="s">
        <v>1048</v>
      </c>
      <c r="J304" t="s">
        <v>1049</v>
      </c>
      <c r="K304" t="s">
        <v>1050</v>
      </c>
      <c r="L304" t="s">
        <v>5880</v>
      </c>
      <c r="M304" t="s">
        <v>5881</v>
      </c>
      <c r="N304" t="s">
        <v>107</v>
      </c>
      <c r="O304" t="s">
        <v>1047</v>
      </c>
      <c r="P304" t="s">
        <v>4782</v>
      </c>
      <c r="Q304" t="s">
        <v>1048</v>
      </c>
      <c r="R304" t="s">
        <v>1049</v>
      </c>
      <c r="S304" t="s">
        <v>1050</v>
      </c>
      <c r="T304" t="s">
        <v>4796</v>
      </c>
      <c r="U304" t="s">
        <v>4797</v>
      </c>
      <c r="V304" t="s">
        <v>4814</v>
      </c>
      <c r="W304" t="s">
        <v>4786</v>
      </c>
      <c r="X304" t="s">
        <v>4807</v>
      </c>
      <c r="Y304" t="s">
        <v>4800</v>
      </c>
      <c r="Z304" t="s">
        <v>5882</v>
      </c>
      <c r="AA304" t="s">
        <v>5883</v>
      </c>
      <c r="AB304" t="s">
        <v>4814</v>
      </c>
      <c r="AC304" t="s">
        <v>66</v>
      </c>
      <c r="AD304" t="s">
        <v>19</v>
      </c>
      <c r="AE304" t="s">
        <v>19</v>
      </c>
      <c r="AF304" t="s">
        <v>4803</v>
      </c>
      <c r="AG304" t="s">
        <v>5884</v>
      </c>
      <c r="AH304" t="s">
        <v>22</v>
      </c>
      <c r="AI304" t="s">
        <v>22</v>
      </c>
      <c r="AJ304" t="s">
        <v>22</v>
      </c>
      <c r="AK304" t="s">
        <v>22</v>
      </c>
      <c r="AL304" t="s">
        <v>4792</v>
      </c>
    </row>
    <row r="305" customHeight="1" spans="1:38">
      <c r="A305" t="s">
        <v>22</v>
      </c>
      <c r="B305" t="s">
        <v>49</v>
      </c>
      <c r="C305" t="s">
        <v>51</v>
      </c>
      <c r="D305" t="s">
        <v>22</v>
      </c>
      <c r="E305" t="s">
        <v>5879</v>
      </c>
      <c r="F305" t="s">
        <v>1046</v>
      </c>
      <c r="G305" t="s">
        <v>1047</v>
      </c>
      <c r="H305" t="s">
        <v>1047</v>
      </c>
      <c r="I305" t="s">
        <v>1048</v>
      </c>
      <c r="J305" t="s">
        <v>1049</v>
      </c>
      <c r="K305" t="s">
        <v>1050</v>
      </c>
      <c r="L305" t="s">
        <v>5880</v>
      </c>
      <c r="M305" t="s">
        <v>5881</v>
      </c>
      <c r="N305" t="s">
        <v>107</v>
      </c>
      <c r="O305" t="s">
        <v>1047</v>
      </c>
      <c r="P305" t="s">
        <v>4782</v>
      </c>
      <c r="Q305" t="s">
        <v>1048</v>
      </c>
      <c r="R305" t="s">
        <v>1049</v>
      </c>
      <c r="S305" t="s">
        <v>1050</v>
      </c>
      <c r="T305" t="s">
        <v>4796</v>
      </c>
      <c r="U305" t="s">
        <v>4805</v>
      </c>
      <c r="V305" t="s">
        <v>4806</v>
      </c>
      <c r="W305" t="s">
        <v>4786</v>
      </c>
      <c r="X305" t="s">
        <v>4828</v>
      </c>
      <c r="Y305" t="s">
        <v>4800</v>
      </c>
      <c r="Z305" t="s">
        <v>5885</v>
      </c>
      <c r="AA305" t="s">
        <v>5135</v>
      </c>
      <c r="AB305" t="s">
        <v>4831</v>
      </c>
      <c r="AC305" t="s">
        <v>66</v>
      </c>
      <c r="AD305" t="s">
        <v>66</v>
      </c>
      <c r="AE305" t="s">
        <v>66</v>
      </c>
      <c r="AF305" t="s">
        <v>4803</v>
      </c>
      <c r="AG305" t="s">
        <v>5886</v>
      </c>
      <c r="AH305" t="s">
        <v>4803</v>
      </c>
      <c r="AI305" t="s">
        <v>5886</v>
      </c>
      <c r="AJ305" t="s">
        <v>4803</v>
      </c>
      <c r="AK305" t="s">
        <v>5886</v>
      </c>
      <c r="AL305" t="s">
        <v>4792</v>
      </c>
    </row>
    <row r="306" customHeight="1" spans="1:38">
      <c r="A306" t="s">
        <v>22</v>
      </c>
      <c r="B306" t="s">
        <v>49</v>
      </c>
      <c r="C306" t="s">
        <v>51</v>
      </c>
      <c r="D306" t="s">
        <v>22</v>
      </c>
      <c r="E306" t="s">
        <v>5887</v>
      </c>
      <c r="F306" t="s">
        <v>1046</v>
      </c>
      <c r="G306" t="s">
        <v>1047</v>
      </c>
      <c r="H306" t="s">
        <v>1047</v>
      </c>
      <c r="I306" t="s">
        <v>1048</v>
      </c>
      <c r="J306" t="s">
        <v>1049</v>
      </c>
      <c r="K306" t="s">
        <v>1050</v>
      </c>
      <c r="L306" t="s">
        <v>5880</v>
      </c>
      <c r="M306" t="s">
        <v>3656</v>
      </c>
      <c r="N306" t="s">
        <v>107</v>
      </c>
      <c r="O306" t="s">
        <v>1047</v>
      </c>
      <c r="P306" t="s">
        <v>4782</v>
      </c>
      <c r="Q306" t="s">
        <v>1048</v>
      </c>
      <c r="R306" t="s">
        <v>1049</v>
      </c>
      <c r="S306" t="s">
        <v>1050</v>
      </c>
      <c r="T306" t="s">
        <v>4796</v>
      </c>
      <c r="U306" t="s">
        <v>4797</v>
      </c>
      <c r="V306" t="s">
        <v>5172</v>
      </c>
      <c r="W306" t="s">
        <v>4786</v>
      </c>
      <c r="X306" t="s">
        <v>4807</v>
      </c>
      <c r="Y306" t="s">
        <v>4800</v>
      </c>
      <c r="Z306" t="s">
        <v>5888</v>
      </c>
      <c r="AA306" t="s">
        <v>5889</v>
      </c>
      <c r="AB306" t="s">
        <v>5172</v>
      </c>
      <c r="AC306" t="s">
        <v>66</v>
      </c>
      <c r="AD306" t="s">
        <v>66</v>
      </c>
      <c r="AE306" t="s">
        <v>66</v>
      </c>
      <c r="AF306" t="s">
        <v>5890</v>
      </c>
      <c r="AG306" t="s">
        <v>5891</v>
      </c>
      <c r="AH306" t="s">
        <v>5890</v>
      </c>
      <c r="AI306" t="s">
        <v>5891</v>
      </c>
      <c r="AJ306" t="s">
        <v>5890</v>
      </c>
      <c r="AK306" t="s">
        <v>5891</v>
      </c>
      <c r="AL306" t="s">
        <v>4792</v>
      </c>
    </row>
    <row r="307" customHeight="1" spans="1:38">
      <c r="A307" t="s">
        <v>22</v>
      </c>
      <c r="B307" t="s">
        <v>49</v>
      </c>
      <c r="C307" t="s">
        <v>51</v>
      </c>
      <c r="D307" t="s">
        <v>22</v>
      </c>
      <c r="E307" t="s">
        <v>5887</v>
      </c>
      <c r="F307" t="s">
        <v>1046</v>
      </c>
      <c r="G307" t="s">
        <v>1047</v>
      </c>
      <c r="H307" t="s">
        <v>1047</v>
      </c>
      <c r="I307" t="s">
        <v>1048</v>
      </c>
      <c r="J307" t="s">
        <v>1049</v>
      </c>
      <c r="K307" t="s">
        <v>1050</v>
      </c>
      <c r="L307" t="s">
        <v>5880</v>
      </c>
      <c r="M307" t="s">
        <v>3656</v>
      </c>
      <c r="N307" t="s">
        <v>107</v>
      </c>
      <c r="O307" t="s">
        <v>1047</v>
      </c>
      <c r="P307" t="s">
        <v>4782</v>
      </c>
      <c r="Q307" t="s">
        <v>1048</v>
      </c>
      <c r="R307" t="s">
        <v>1049</v>
      </c>
      <c r="S307" t="s">
        <v>1050</v>
      </c>
      <c r="T307" t="s">
        <v>4796</v>
      </c>
      <c r="U307" t="s">
        <v>4805</v>
      </c>
      <c r="V307" t="s">
        <v>4806</v>
      </c>
      <c r="W307" t="s">
        <v>4786</v>
      </c>
      <c r="X307" t="s">
        <v>4807</v>
      </c>
      <c r="Y307" t="s">
        <v>4800</v>
      </c>
      <c r="Z307" t="s">
        <v>4836</v>
      </c>
      <c r="AA307" t="s">
        <v>4837</v>
      </c>
      <c r="AB307" t="s">
        <v>4838</v>
      </c>
      <c r="AC307" t="s">
        <v>66</v>
      </c>
      <c r="AD307" t="s">
        <v>66</v>
      </c>
      <c r="AE307" t="s">
        <v>66</v>
      </c>
      <c r="AF307" t="s">
        <v>5892</v>
      </c>
      <c r="AG307" t="s">
        <v>5893</v>
      </c>
      <c r="AH307" t="s">
        <v>5892</v>
      </c>
      <c r="AI307" t="s">
        <v>5893</v>
      </c>
      <c r="AJ307" t="s">
        <v>5892</v>
      </c>
      <c r="AK307" t="s">
        <v>5893</v>
      </c>
      <c r="AL307" t="s">
        <v>4792</v>
      </c>
    </row>
    <row r="308" customHeight="1" spans="1:38">
      <c r="A308" t="s">
        <v>22</v>
      </c>
      <c r="B308" t="s">
        <v>49</v>
      </c>
      <c r="C308" t="s">
        <v>51</v>
      </c>
      <c r="D308" t="s">
        <v>22</v>
      </c>
      <c r="E308" t="s">
        <v>1088</v>
      </c>
      <c r="F308" t="s">
        <v>1046</v>
      </c>
      <c r="G308" t="s">
        <v>1047</v>
      </c>
      <c r="H308" t="s">
        <v>1047</v>
      </c>
      <c r="I308" t="s">
        <v>1048</v>
      </c>
      <c r="J308" t="s">
        <v>1049</v>
      </c>
      <c r="K308" t="s">
        <v>1050</v>
      </c>
      <c r="L308" t="s">
        <v>1089</v>
      </c>
      <c r="M308" t="s">
        <v>1090</v>
      </c>
      <c r="N308" t="s">
        <v>107</v>
      </c>
      <c r="O308" t="s">
        <v>1047</v>
      </c>
      <c r="P308" t="s">
        <v>4782</v>
      </c>
      <c r="Q308" t="s">
        <v>1048</v>
      </c>
      <c r="R308" t="s">
        <v>1049</v>
      </c>
      <c r="S308" t="s">
        <v>1050</v>
      </c>
      <c r="T308" t="s">
        <v>4796</v>
      </c>
      <c r="U308" t="s">
        <v>4805</v>
      </c>
      <c r="V308" t="s">
        <v>4806</v>
      </c>
      <c r="W308" t="s">
        <v>4786</v>
      </c>
      <c r="X308" t="s">
        <v>4828</v>
      </c>
      <c r="Y308" t="s">
        <v>4800</v>
      </c>
      <c r="Z308" t="s">
        <v>5894</v>
      </c>
      <c r="AA308" t="s">
        <v>5146</v>
      </c>
      <c r="AB308" t="s">
        <v>5147</v>
      </c>
      <c r="AC308" t="s">
        <v>66</v>
      </c>
      <c r="AD308" t="s">
        <v>66</v>
      </c>
      <c r="AE308" t="s">
        <v>66</v>
      </c>
      <c r="AF308" t="s">
        <v>328</v>
      </c>
      <c r="AG308" t="s">
        <v>5895</v>
      </c>
      <c r="AH308" t="s">
        <v>328</v>
      </c>
      <c r="AI308" t="s">
        <v>5895</v>
      </c>
      <c r="AJ308" t="s">
        <v>328</v>
      </c>
      <c r="AK308" t="s">
        <v>5895</v>
      </c>
      <c r="AL308" t="s">
        <v>4792</v>
      </c>
    </row>
    <row r="309" customHeight="1" spans="1:38">
      <c r="A309" t="s">
        <v>22</v>
      </c>
      <c r="B309" t="s">
        <v>49</v>
      </c>
      <c r="C309" t="s">
        <v>51</v>
      </c>
      <c r="D309" t="s">
        <v>22</v>
      </c>
      <c r="E309" t="s">
        <v>1088</v>
      </c>
      <c r="F309" t="s">
        <v>1046</v>
      </c>
      <c r="G309" t="s">
        <v>1047</v>
      </c>
      <c r="H309" t="s">
        <v>1047</v>
      </c>
      <c r="I309" t="s">
        <v>1048</v>
      </c>
      <c r="J309" t="s">
        <v>1049</v>
      </c>
      <c r="K309" t="s">
        <v>1050</v>
      </c>
      <c r="L309" t="s">
        <v>1089</v>
      </c>
      <c r="M309" t="s">
        <v>1090</v>
      </c>
      <c r="N309" t="s">
        <v>107</v>
      </c>
      <c r="O309" t="s">
        <v>1047</v>
      </c>
      <c r="P309" t="s">
        <v>4782</v>
      </c>
      <c r="Q309" t="s">
        <v>1048</v>
      </c>
      <c r="R309" t="s">
        <v>1049</v>
      </c>
      <c r="S309" t="s">
        <v>1050</v>
      </c>
      <c r="T309" t="s">
        <v>4796</v>
      </c>
      <c r="U309" t="s">
        <v>4797</v>
      </c>
      <c r="V309" t="s">
        <v>4841</v>
      </c>
      <c r="W309" t="s">
        <v>4786</v>
      </c>
      <c r="X309" t="s">
        <v>4807</v>
      </c>
      <c r="Y309" t="s">
        <v>4800</v>
      </c>
      <c r="Z309" t="s">
        <v>5896</v>
      </c>
      <c r="AA309" t="s">
        <v>5897</v>
      </c>
      <c r="AB309" t="s">
        <v>4841</v>
      </c>
      <c r="AC309" t="s">
        <v>66</v>
      </c>
      <c r="AD309" t="s">
        <v>66</v>
      </c>
      <c r="AE309" t="s">
        <v>66</v>
      </c>
      <c r="AF309" t="s">
        <v>328</v>
      </c>
      <c r="AG309" t="s">
        <v>5898</v>
      </c>
      <c r="AH309" t="s">
        <v>328</v>
      </c>
      <c r="AI309" t="s">
        <v>5898</v>
      </c>
      <c r="AJ309" t="s">
        <v>328</v>
      </c>
      <c r="AK309" t="s">
        <v>5898</v>
      </c>
      <c r="AL309" t="s">
        <v>4792</v>
      </c>
    </row>
    <row r="310" customHeight="1" spans="1:38">
      <c r="A310" t="s">
        <v>22</v>
      </c>
      <c r="B310" t="s">
        <v>49</v>
      </c>
      <c r="C310" t="s">
        <v>51</v>
      </c>
      <c r="D310" t="s">
        <v>22</v>
      </c>
      <c r="E310" t="s">
        <v>5899</v>
      </c>
      <c r="F310" t="s">
        <v>1070</v>
      </c>
      <c r="G310" t="s">
        <v>1047</v>
      </c>
      <c r="H310" t="s">
        <v>1047</v>
      </c>
      <c r="I310" t="s">
        <v>1048</v>
      </c>
      <c r="J310" t="s">
        <v>1049</v>
      </c>
      <c r="K310" t="s">
        <v>1050</v>
      </c>
      <c r="L310" t="s">
        <v>1089</v>
      </c>
      <c r="M310" t="s">
        <v>3999</v>
      </c>
      <c r="N310" t="s">
        <v>107</v>
      </c>
      <c r="O310" t="s">
        <v>1047</v>
      </c>
      <c r="P310" t="s">
        <v>4782</v>
      </c>
      <c r="Q310" t="s">
        <v>1048</v>
      </c>
      <c r="R310" t="s">
        <v>1049</v>
      </c>
      <c r="S310" t="s">
        <v>1050</v>
      </c>
      <c r="T310" t="s">
        <v>4796</v>
      </c>
      <c r="U310" t="s">
        <v>4797</v>
      </c>
      <c r="V310" t="s">
        <v>4841</v>
      </c>
      <c r="W310" t="s">
        <v>4786</v>
      </c>
      <c r="X310" t="s">
        <v>4807</v>
      </c>
      <c r="Y310" t="s">
        <v>4800</v>
      </c>
      <c r="Z310" t="s">
        <v>4847</v>
      </c>
      <c r="AA310" t="s">
        <v>4848</v>
      </c>
      <c r="AB310" t="s">
        <v>4841</v>
      </c>
      <c r="AC310" t="s">
        <v>66</v>
      </c>
      <c r="AD310" t="s">
        <v>19</v>
      </c>
      <c r="AE310" t="s">
        <v>19</v>
      </c>
      <c r="AF310" t="s">
        <v>5033</v>
      </c>
      <c r="AG310" t="s">
        <v>5900</v>
      </c>
      <c r="AH310" t="s">
        <v>22</v>
      </c>
      <c r="AI310" t="s">
        <v>22</v>
      </c>
      <c r="AJ310" t="s">
        <v>22</v>
      </c>
      <c r="AK310" t="s">
        <v>22</v>
      </c>
      <c r="AL310" t="s">
        <v>4792</v>
      </c>
    </row>
    <row r="311" customHeight="1" spans="1:38">
      <c r="A311" t="s">
        <v>22</v>
      </c>
      <c r="B311" t="s">
        <v>49</v>
      </c>
      <c r="C311" t="s">
        <v>51</v>
      </c>
      <c r="D311" t="s">
        <v>22</v>
      </c>
      <c r="E311" t="s">
        <v>5899</v>
      </c>
      <c r="F311" t="s">
        <v>1070</v>
      </c>
      <c r="G311" t="s">
        <v>1047</v>
      </c>
      <c r="H311" t="s">
        <v>1047</v>
      </c>
      <c r="I311" t="s">
        <v>1048</v>
      </c>
      <c r="J311" t="s">
        <v>1049</v>
      </c>
      <c r="K311" t="s">
        <v>1050</v>
      </c>
      <c r="L311" t="s">
        <v>1089</v>
      </c>
      <c r="M311" t="s">
        <v>3999</v>
      </c>
      <c r="N311" t="s">
        <v>107</v>
      </c>
      <c r="O311" t="s">
        <v>1047</v>
      </c>
      <c r="P311" t="s">
        <v>4782</v>
      </c>
      <c r="Q311" t="s">
        <v>1048</v>
      </c>
      <c r="R311" t="s">
        <v>1049</v>
      </c>
      <c r="S311" t="s">
        <v>1050</v>
      </c>
      <c r="T311" t="s">
        <v>4796</v>
      </c>
      <c r="U311" t="s">
        <v>4805</v>
      </c>
      <c r="V311" t="s">
        <v>4806</v>
      </c>
      <c r="W311" t="s">
        <v>4786</v>
      </c>
      <c r="X311" t="s">
        <v>4807</v>
      </c>
      <c r="Y311" t="s">
        <v>4800</v>
      </c>
      <c r="Z311" t="s">
        <v>4836</v>
      </c>
      <c r="AA311" t="s">
        <v>4837</v>
      </c>
      <c r="AB311" t="s">
        <v>4838</v>
      </c>
      <c r="AC311" t="s">
        <v>66</v>
      </c>
      <c r="AD311" t="s">
        <v>19</v>
      </c>
      <c r="AE311" t="s">
        <v>19</v>
      </c>
      <c r="AF311" t="s">
        <v>5033</v>
      </c>
      <c r="AG311" t="s">
        <v>5900</v>
      </c>
      <c r="AH311" t="s">
        <v>22</v>
      </c>
      <c r="AI311" t="s">
        <v>22</v>
      </c>
      <c r="AJ311" t="s">
        <v>22</v>
      </c>
      <c r="AK311" t="s">
        <v>22</v>
      </c>
      <c r="AL311" t="s">
        <v>4792</v>
      </c>
    </row>
    <row r="312" customHeight="1" spans="1:38">
      <c r="A312" t="s">
        <v>22</v>
      </c>
      <c r="B312" t="s">
        <v>49</v>
      </c>
      <c r="C312" t="s">
        <v>51</v>
      </c>
      <c r="D312" t="s">
        <v>22</v>
      </c>
      <c r="E312" t="s">
        <v>1119</v>
      </c>
      <c r="F312" t="s">
        <v>1046</v>
      </c>
      <c r="G312" t="s">
        <v>1047</v>
      </c>
      <c r="H312" t="s">
        <v>1047</v>
      </c>
      <c r="I312" t="s">
        <v>1048</v>
      </c>
      <c r="J312" t="s">
        <v>1049</v>
      </c>
      <c r="K312" t="s">
        <v>1050</v>
      </c>
      <c r="L312" t="s">
        <v>1089</v>
      </c>
      <c r="M312" t="s">
        <v>1120</v>
      </c>
      <c r="N312" t="s">
        <v>107</v>
      </c>
      <c r="O312" t="s">
        <v>1047</v>
      </c>
      <c r="P312" t="s">
        <v>4782</v>
      </c>
      <c r="Q312" t="s">
        <v>1048</v>
      </c>
      <c r="R312" t="s">
        <v>1049</v>
      </c>
      <c r="S312" t="s">
        <v>1050</v>
      </c>
      <c r="T312" t="s">
        <v>4796</v>
      </c>
      <c r="U312" t="s">
        <v>4805</v>
      </c>
      <c r="V312" t="s">
        <v>4806</v>
      </c>
      <c r="W312" t="s">
        <v>4786</v>
      </c>
      <c r="X312" t="s">
        <v>4828</v>
      </c>
      <c r="Y312" t="s">
        <v>4800</v>
      </c>
      <c r="Z312" t="s">
        <v>5901</v>
      </c>
      <c r="AA312" t="s">
        <v>4885</v>
      </c>
      <c r="AB312" t="s">
        <v>4983</v>
      </c>
      <c r="AC312" t="s">
        <v>66</v>
      </c>
      <c r="AD312" t="s">
        <v>66</v>
      </c>
      <c r="AE312" t="s">
        <v>66</v>
      </c>
      <c r="AF312" t="s">
        <v>5902</v>
      </c>
      <c r="AG312" t="s">
        <v>5903</v>
      </c>
      <c r="AH312" t="s">
        <v>5902</v>
      </c>
      <c r="AI312" t="s">
        <v>5903</v>
      </c>
      <c r="AJ312" t="s">
        <v>5902</v>
      </c>
      <c r="AK312" t="s">
        <v>5903</v>
      </c>
      <c r="AL312" t="s">
        <v>4792</v>
      </c>
    </row>
    <row r="313" customHeight="1" spans="1:38">
      <c r="A313" t="s">
        <v>22</v>
      </c>
      <c r="B313" t="s">
        <v>49</v>
      </c>
      <c r="C313" t="s">
        <v>51</v>
      </c>
      <c r="D313" t="s">
        <v>22</v>
      </c>
      <c r="E313" t="s">
        <v>1119</v>
      </c>
      <c r="F313" t="s">
        <v>1046</v>
      </c>
      <c r="G313" t="s">
        <v>1047</v>
      </c>
      <c r="H313" t="s">
        <v>1047</v>
      </c>
      <c r="I313" t="s">
        <v>1048</v>
      </c>
      <c r="J313" t="s">
        <v>1049</v>
      </c>
      <c r="K313" t="s">
        <v>1050</v>
      </c>
      <c r="L313" t="s">
        <v>1089</v>
      </c>
      <c r="M313" t="s">
        <v>1120</v>
      </c>
      <c r="N313" t="s">
        <v>107</v>
      </c>
      <c r="O313" t="s">
        <v>1047</v>
      </c>
      <c r="P313" t="s">
        <v>4782</v>
      </c>
      <c r="Q313" t="s">
        <v>1048</v>
      </c>
      <c r="R313" t="s">
        <v>1049</v>
      </c>
      <c r="S313" t="s">
        <v>1050</v>
      </c>
      <c r="T313" t="s">
        <v>4796</v>
      </c>
      <c r="U313" t="s">
        <v>4797</v>
      </c>
      <c r="V313" t="s">
        <v>5054</v>
      </c>
      <c r="W313" t="s">
        <v>4786</v>
      </c>
      <c r="X313" t="s">
        <v>4807</v>
      </c>
      <c r="Y313" t="s">
        <v>4800</v>
      </c>
      <c r="Z313" t="s">
        <v>5904</v>
      </c>
      <c r="AA313" t="s">
        <v>5905</v>
      </c>
      <c r="AB313" t="s">
        <v>5054</v>
      </c>
      <c r="AC313" t="s">
        <v>66</v>
      </c>
      <c r="AD313" t="s">
        <v>66</v>
      </c>
      <c r="AE313" t="s">
        <v>66</v>
      </c>
      <c r="AF313" t="s">
        <v>5902</v>
      </c>
      <c r="AG313" t="s">
        <v>5906</v>
      </c>
      <c r="AH313" t="s">
        <v>5902</v>
      </c>
      <c r="AI313" t="s">
        <v>5906</v>
      </c>
      <c r="AJ313" t="s">
        <v>5902</v>
      </c>
      <c r="AK313" t="s">
        <v>5906</v>
      </c>
      <c r="AL313" t="s">
        <v>4792</v>
      </c>
    </row>
    <row r="314" customHeight="1" spans="1:38">
      <c r="A314" t="s">
        <v>22</v>
      </c>
      <c r="B314" t="s">
        <v>49</v>
      </c>
      <c r="C314" t="s">
        <v>51</v>
      </c>
      <c r="D314" t="s">
        <v>22</v>
      </c>
      <c r="E314" t="s">
        <v>5907</v>
      </c>
      <c r="F314" t="s">
        <v>1070</v>
      </c>
      <c r="G314" t="s">
        <v>1047</v>
      </c>
      <c r="H314" t="s">
        <v>1047</v>
      </c>
      <c r="I314" t="s">
        <v>1048</v>
      </c>
      <c r="J314" t="s">
        <v>1049</v>
      </c>
      <c r="K314" t="s">
        <v>1050</v>
      </c>
      <c r="L314" t="s">
        <v>5908</v>
      </c>
      <c r="M314" t="s">
        <v>1129</v>
      </c>
      <c r="N314" t="s">
        <v>107</v>
      </c>
      <c r="O314" t="s">
        <v>1047</v>
      </c>
      <c r="P314" t="s">
        <v>4782</v>
      </c>
      <c r="Q314" t="s">
        <v>1048</v>
      </c>
      <c r="R314" t="s">
        <v>1049</v>
      </c>
      <c r="S314" t="s">
        <v>1050</v>
      </c>
      <c r="T314" t="s">
        <v>4796</v>
      </c>
      <c r="U314" t="s">
        <v>4805</v>
      </c>
      <c r="V314" t="s">
        <v>4806</v>
      </c>
      <c r="W314" t="s">
        <v>4786</v>
      </c>
      <c r="X314" t="s">
        <v>4828</v>
      </c>
      <c r="Y314" t="s">
        <v>4800</v>
      </c>
      <c r="Z314" t="s">
        <v>5909</v>
      </c>
      <c r="AA314" t="s">
        <v>5748</v>
      </c>
      <c r="AB314" t="s">
        <v>4983</v>
      </c>
      <c r="AC314" t="s">
        <v>66</v>
      </c>
      <c r="AD314" t="s">
        <v>19</v>
      </c>
      <c r="AE314" t="s">
        <v>19</v>
      </c>
      <c r="AF314" t="s">
        <v>5694</v>
      </c>
      <c r="AG314" t="s">
        <v>5910</v>
      </c>
      <c r="AH314" t="s">
        <v>22</v>
      </c>
      <c r="AI314" t="s">
        <v>22</v>
      </c>
      <c r="AJ314" t="s">
        <v>22</v>
      </c>
      <c r="AK314" t="s">
        <v>22</v>
      </c>
      <c r="AL314" t="s">
        <v>4792</v>
      </c>
    </row>
    <row r="315" customHeight="1" spans="1:38">
      <c r="A315" t="s">
        <v>22</v>
      </c>
      <c r="B315" t="s">
        <v>49</v>
      </c>
      <c r="C315" t="s">
        <v>51</v>
      </c>
      <c r="D315" t="s">
        <v>22</v>
      </c>
      <c r="E315" t="s">
        <v>5907</v>
      </c>
      <c r="F315" t="s">
        <v>1070</v>
      </c>
      <c r="G315" t="s">
        <v>1047</v>
      </c>
      <c r="H315" t="s">
        <v>1047</v>
      </c>
      <c r="I315" t="s">
        <v>1048</v>
      </c>
      <c r="J315" t="s">
        <v>1049</v>
      </c>
      <c r="K315" t="s">
        <v>1050</v>
      </c>
      <c r="L315" t="s">
        <v>5908</v>
      </c>
      <c r="M315" t="s">
        <v>1129</v>
      </c>
      <c r="N315" t="s">
        <v>107</v>
      </c>
      <c r="O315" t="s">
        <v>1047</v>
      </c>
      <c r="P315" t="s">
        <v>4782</v>
      </c>
      <c r="Q315" t="s">
        <v>1048</v>
      </c>
      <c r="R315" t="s">
        <v>1049</v>
      </c>
      <c r="S315" t="s">
        <v>1050</v>
      </c>
      <c r="T315" t="s">
        <v>4796</v>
      </c>
      <c r="U315" t="s">
        <v>4797</v>
      </c>
      <c r="V315" t="s">
        <v>5054</v>
      </c>
      <c r="W315" t="s">
        <v>4786</v>
      </c>
      <c r="X315" t="s">
        <v>4807</v>
      </c>
      <c r="Y315" t="s">
        <v>4800</v>
      </c>
      <c r="Z315" t="s">
        <v>5911</v>
      </c>
      <c r="AA315" t="s">
        <v>5618</v>
      </c>
      <c r="AB315" t="s">
        <v>5054</v>
      </c>
      <c r="AC315" t="s">
        <v>66</v>
      </c>
      <c r="AD315" t="s">
        <v>19</v>
      </c>
      <c r="AE315" t="s">
        <v>19</v>
      </c>
      <c r="AF315" t="s">
        <v>5694</v>
      </c>
      <c r="AG315" t="s">
        <v>5912</v>
      </c>
      <c r="AH315" t="s">
        <v>22</v>
      </c>
      <c r="AI315" t="s">
        <v>22</v>
      </c>
      <c r="AJ315" t="s">
        <v>22</v>
      </c>
      <c r="AK315" t="s">
        <v>22</v>
      </c>
      <c r="AL315" t="s">
        <v>4792</v>
      </c>
    </row>
    <row r="316" customHeight="1" spans="1:38">
      <c r="A316" t="s">
        <v>22</v>
      </c>
      <c r="B316" t="s">
        <v>49</v>
      </c>
      <c r="C316" t="s">
        <v>51</v>
      </c>
      <c r="D316" t="s">
        <v>22</v>
      </c>
      <c r="E316" t="s">
        <v>5913</v>
      </c>
      <c r="F316" t="s">
        <v>1046</v>
      </c>
      <c r="G316" t="s">
        <v>1047</v>
      </c>
      <c r="H316" t="s">
        <v>1047</v>
      </c>
      <c r="I316" t="s">
        <v>1048</v>
      </c>
      <c r="J316" t="s">
        <v>1049</v>
      </c>
      <c r="K316" t="s">
        <v>1050</v>
      </c>
      <c r="L316" t="s">
        <v>5914</v>
      </c>
      <c r="M316" t="s">
        <v>1817</v>
      </c>
      <c r="N316" t="s">
        <v>107</v>
      </c>
      <c r="O316" t="s">
        <v>1047</v>
      </c>
      <c r="P316" t="s">
        <v>4782</v>
      </c>
      <c r="Q316" t="s">
        <v>1048</v>
      </c>
      <c r="R316" t="s">
        <v>1049</v>
      </c>
      <c r="S316" t="s">
        <v>1050</v>
      </c>
      <c r="T316" t="s">
        <v>4796</v>
      </c>
      <c r="U316" t="s">
        <v>4805</v>
      </c>
      <c r="V316" t="s">
        <v>4806</v>
      </c>
      <c r="W316" t="s">
        <v>4786</v>
      </c>
      <c r="X316" t="s">
        <v>4807</v>
      </c>
      <c r="Y316" t="s">
        <v>4800</v>
      </c>
      <c r="Z316" t="s">
        <v>4836</v>
      </c>
      <c r="AA316" t="s">
        <v>4837</v>
      </c>
      <c r="AB316" t="s">
        <v>4838</v>
      </c>
      <c r="AC316" t="s">
        <v>66</v>
      </c>
      <c r="AD316" t="s">
        <v>66</v>
      </c>
      <c r="AE316" t="s">
        <v>66</v>
      </c>
      <c r="AF316" t="s">
        <v>5915</v>
      </c>
      <c r="AG316" t="s">
        <v>5916</v>
      </c>
      <c r="AH316" t="s">
        <v>5915</v>
      </c>
      <c r="AI316" t="s">
        <v>5916</v>
      </c>
      <c r="AJ316" t="s">
        <v>5915</v>
      </c>
      <c r="AK316" t="s">
        <v>5916</v>
      </c>
      <c r="AL316" t="s">
        <v>4792</v>
      </c>
    </row>
    <row r="317" customHeight="1" spans="1:38">
      <c r="A317" t="s">
        <v>22</v>
      </c>
      <c r="B317" t="s">
        <v>49</v>
      </c>
      <c r="C317" t="s">
        <v>51</v>
      </c>
      <c r="D317" t="s">
        <v>22</v>
      </c>
      <c r="E317" t="s">
        <v>5913</v>
      </c>
      <c r="F317" t="s">
        <v>1046</v>
      </c>
      <c r="G317" t="s">
        <v>1047</v>
      </c>
      <c r="H317" t="s">
        <v>1047</v>
      </c>
      <c r="I317" t="s">
        <v>1048</v>
      </c>
      <c r="J317" t="s">
        <v>1049</v>
      </c>
      <c r="K317" t="s">
        <v>1050</v>
      </c>
      <c r="L317" t="s">
        <v>5914</v>
      </c>
      <c r="M317" t="s">
        <v>1817</v>
      </c>
      <c r="N317" t="s">
        <v>107</v>
      </c>
      <c r="O317" t="s">
        <v>1047</v>
      </c>
      <c r="P317" t="s">
        <v>4782</v>
      </c>
      <c r="Q317" t="s">
        <v>1048</v>
      </c>
      <c r="R317" t="s">
        <v>1049</v>
      </c>
      <c r="S317" t="s">
        <v>1050</v>
      </c>
      <c r="T317" t="s">
        <v>4796</v>
      </c>
      <c r="U317" t="s">
        <v>4797</v>
      </c>
      <c r="V317" t="s">
        <v>4841</v>
      </c>
      <c r="W317" t="s">
        <v>4786</v>
      </c>
      <c r="X317" t="s">
        <v>4807</v>
      </c>
      <c r="Y317" t="s">
        <v>4800</v>
      </c>
      <c r="Z317" t="s">
        <v>4847</v>
      </c>
      <c r="AA317" t="s">
        <v>4848</v>
      </c>
      <c r="AB317" t="s">
        <v>4841</v>
      </c>
      <c r="AC317" t="s">
        <v>66</v>
      </c>
      <c r="AD317" t="s">
        <v>66</v>
      </c>
      <c r="AE317" t="s">
        <v>66</v>
      </c>
      <c r="AF317" t="s">
        <v>5915</v>
      </c>
      <c r="AG317" t="s">
        <v>5917</v>
      </c>
      <c r="AH317" t="s">
        <v>5915</v>
      </c>
      <c r="AI317" t="s">
        <v>5917</v>
      </c>
      <c r="AJ317" t="s">
        <v>5915</v>
      </c>
      <c r="AK317" t="s">
        <v>5917</v>
      </c>
      <c r="AL317" t="s">
        <v>4792</v>
      </c>
    </row>
    <row r="318" customHeight="1" spans="1:38">
      <c r="A318" t="s">
        <v>22</v>
      </c>
      <c r="B318" t="s">
        <v>49</v>
      </c>
      <c r="C318" t="s">
        <v>51</v>
      </c>
      <c r="D318" t="s">
        <v>22</v>
      </c>
      <c r="E318" t="s">
        <v>5918</v>
      </c>
      <c r="F318" t="s">
        <v>1046</v>
      </c>
      <c r="G318" t="s">
        <v>1047</v>
      </c>
      <c r="H318" t="s">
        <v>1047</v>
      </c>
      <c r="I318" t="s">
        <v>1048</v>
      </c>
      <c r="J318" t="s">
        <v>1049</v>
      </c>
      <c r="K318" t="s">
        <v>1050</v>
      </c>
      <c r="L318" t="s">
        <v>5919</v>
      </c>
      <c r="M318" t="s">
        <v>1102</v>
      </c>
      <c r="N318" t="s">
        <v>107</v>
      </c>
      <c r="O318" t="s">
        <v>1047</v>
      </c>
      <c r="P318" t="s">
        <v>4782</v>
      </c>
      <c r="Q318" t="s">
        <v>1048</v>
      </c>
      <c r="R318" t="s">
        <v>1049</v>
      </c>
      <c r="S318" t="s">
        <v>1050</v>
      </c>
      <c r="T318" t="s">
        <v>4783</v>
      </c>
      <c r="U318" t="s">
        <v>4784</v>
      </c>
      <c r="V318" t="s">
        <v>5920</v>
      </c>
      <c r="W318" t="s">
        <v>4786</v>
      </c>
      <c r="X318" t="s">
        <v>4787</v>
      </c>
      <c r="Y318" t="s">
        <v>4784</v>
      </c>
      <c r="Z318" t="s">
        <v>5921</v>
      </c>
      <c r="AA318" t="s">
        <v>5922</v>
      </c>
      <c r="AB318" t="s">
        <v>5920</v>
      </c>
      <c r="AC318" t="s">
        <v>66</v>
      </c>
      <c r="AD318" t="s">
        <v>66</v>
      </c>
      <c r="AE318" t="s">
        <v>66</v>
      </c>
      <c r="AF318" t="s">
        <v>5923</v>
      </c>
      <c r="AG318" t="s">
        <v>5924</v>
      </c>
      <c r="AH318" t="s">
        <v>5923</v>
      </c>
      <c r="AI318" t="s">
        <v>5924</v>
      </c>
      <c r="AJ318" t="s">
        <v>5923</v>
      </c>
      <c r="AK318" t="s">
        <v>5924</v>
      </c>
      <c r="AL318" t="s">
        <v>4792</v>
      </c>
    </row>
    <row r="319" customHeight="1" spans="1:38">
      <c r="A319" t="s">
        <v>22</v>
      </c>
      <c r="B319" t="s">
        <v>49</v>
      </c>
      <c r="C319" t="s">
        <v>51</v>
      </c>
      <c r="D319" t="s">
        <v>22</v>
      </c>
      <c r="E319" t="s">
        <v>5918</v>
      </c>
      <c r="F319" t="s">
        <v>1046</v>
      </c>
      <c r="G319" t="s">
        <v>1047</v>
      </c>
      <c r="H319" t="s">
        <v>1047</v>
      </c>
      <c r="I319" t="s">
        <v>1048</v>
      </c>
      <c r="J319" t="s">
        <v>1049</v>
      </c>
      <c r="K319" t="s">
        <v>1050</v>
      </c>
      <c r="L319" t="s">
        <v>5919</v>
      </c>
      <c r="M319" t="s">
        <v>1102</v>
      </c>
      <c r="N319" t="s">
        <v>107</v>
      </c>
      <c r="O319" t="s">
        <v>1047</v>
      </c>
      <c r="P319" t="s">
        <v>4782</v>
      </c>
      <c r="Q319" t="s">
        <v>1048</v>
      </c>
      <c r="R319" t="s">
        <v>1049</v>
      </c>
      <c r="S319" t="s">
        <v>1050</v>
      </c>
      <c r="T319" t="s">
        <v>4783</v>
      </c>
      <c r="U319" t="s">
        <v>4797</v>
      </c>
      <c r="V319" t="s">
        <v>4841</v>
      </c>
      <c r="W319" t="s">
        <v>4786</v>
      </c>
      <c r="X319" t="s">
        <v>4807</v>
      </c>
      <c r="Y319" t="s">
        <v>4784</v>
      </c>
      <c r="Z319" t="s">
        <v>5925</v>
      </c>
      <c r="AA319" t="s">
        <v>5926</v>
      </c>
      <c r="AB319" t="s">
        <v>5927</v>
      </c>
      <c r="AC319" t="s">
        <v>66</v>
      </c>
      <c r="AD319" t="s">
        <v>66</v>
      </c>
      <c r="AE319" t="s">
        <v>66</v>
      </c>
      <c r="AF319" t="s">
        <v>5928</v>
      </c>
      <c r="AG319" t="s">
        <v>5929</v>
      </c>
      <c r="AH319" t="s">
        <v>5928</v>
      </c>
      <c r="AI319" t="s">
        <v>5929</v>
      </c>
      <c r="AJ319" t="s">
        <v>5928</v>
      </c>
      <c r="AK319" t="s">
        <v>5929</v>
      </c>
      <c r="AL319" t="s">
        <v>4792</v>
      </c>
    </row>
    <row r="320" customHeight="1" spans="1:38">
      <c r="A320" t="s">
        <v>22</v>
      </c>
      <c r="B320" t="s">
        <v>49</v>
      </c>
      <c r="C320" t="s">
        <v>51</v>
      </c>
      <c r="D320" t="s">
        <v>22</v>
      </c>
      <c r="E320" t="s">
        <v>5930</v>
      </c>
      <c r="F320" t="s">
        <v>1046</v>
      </c>
      <c r="G320" t="s">
        <v>1047</v>
      </c>
      <c r="H320" t="s">
        <v>1047</v>
      </c>
      <c r="I320" t="s">
        <v>1048</v>
      </c>
      <c r="J320" t="s">
        <v>1049</v>
      </c>
      <c r="K320" t="s">
        <v>1050</v>
      </c>
      <c r="L320" t="s">
        <v>5931</v>
      </c>
      <c r="M320" t="s">
        <v>5932</v>
      </c>
      <c r="N320" t="s">
        <v>107</v>
      </c>
      <c r="O320" t="s">
        <v>1047</v>
      </c>
      <c r="P320" t="s">
        <v>4782</v>
      </c>
      <c r="Q320" t="s">
        <v>1048</v>
      </c>
      <c r="R320" t="s">
        <v>1049</v>
      </c>
      <c r="S320" t="s">
        <v>1050</v>
      </c>
      <c r="T320" t="s">
        <v>4796</v>
      </c>
      <c r="U320" t="s">
        <v>4805</v>
      </c>
      <c r="V320" t="s">
        <v>4806</v>
      </c>
      <c r="W320" t="s">
        <v>4786</v>
      </c>
      <c r="X320" t="s">
        <v>4828</v>
      </c>
      <c r="Y320" t="s">
        <v>4800</v>
      </c>
      <c r="Z320" t="s">
        <v>5933</v>
      </c>
      <c r="AA320" t="s">
        <v>5934</v>
      </c>
      <c r="AB320" t="s">
        <v>4869</v>
      </c>
      <c r="AC320" t="s">
        <v>66</v>
      </c>
      <c r="AD320" t="s">
        <v>66</v>
      </c>
      <c r="AE320" t="s">
        <v>66</v>
      </c>
      <c r="AF320" t="s">
        <v>5935</v>
      </c>
      <c r="AG320" t="s">
        <v>5936</v>
      </c>
      <c r="AH320" t="s">
        <v>5935</v>
      </c>
      <c r="AI320" t="s">
        <v>5936</v>
      </c>
      <c r="AJ320" t="s">
        <v>5935</v>
      </c>
      <c r="AK320" t="s">
        <v>5936</v>
      </c>
      <c r="AL320" t="s">
        <v>4792</v>
      </c>
    </row>
    <row r="321" customHeight="1" spans="1:38">
      <c r="A321" t="s">
        <v>22</v>
      </c>
      <c r="B321" t="s">
        <v>49</v>
      </c>
      <c r="C321" t="s">
        <v>51</v>
      </c>
      <c r="D321" t="s">
        <v>22</v>
      </c>
      <c r="E321" t="s">
        <v>5930</v>
      </c>
      <c r="F321" t="s">
        <v>1046</v>
      </c>
      <c r="G321" t="s">
        <v>1047</v>
      </c>
      <c r="H321" t="s">
        <v>1047</v>
      </c>
      <c r="I321" t="s">
        <v>1048</v>
      </c>
      <c r="J321" t="s">
        <v>1049</v>
      </c>
      <c r="K321" t="s">
        <v>1050</v>
      </c>
      <c r="L321" t="s">
        <v>5931</v>
      </c>
      <c r="M321" t="s">
        <v>5932</v>
      </c>
      <c r="N321" t="s">
        <v>107</v>
      </c>
      <c r="O321" t="s">
        <v>1047</v>
      </c>
      <c r="P321" t="s">
        <v>4782</v>
      </c>
      <c r="Q321" t="s">
        <v>1048</v>
      </c>
      <c r="R321" t="s">
        <v>1049</v>
      </c>
      <c r="S321" t="s">
        <v>1050</v>
      </c>
      <c r="T321" t="s">
        <v>4796</v>
      </c>
      <c r="U321" t="s">
        <v>4797</v>
      </c>
      <c r="V321" t="s">
        <v>4841</v>
      </c>
      <c r="W321" t="s">
        <v>4786</v>
      </c>
      <c r="X321" t="s">
        <v>4807</v>
      </c>
      <c r="Y321" t="s">
        <v>4800</v>
      </c>
      <c r="Z321" t="s">
        <v>4801</v>
      </c>
      <c r="AA321" t="s">
        <v>4802</v>
      </c>
      <c r="AB321" t="s">
        <v>4841</v>
      </c>
      <c r="AC321" t="s">
        <v>66</v>
      </c>
      <c r="AD321" t="s">
        <v>66</v>
      </c>
      <c r="AE321" t="s">
        <v>66</v>
      </c>
      <c r="AF321" t="s">
        <v>5935</v>
      </c>
      <c r="AG321" t="s">
        <v>5937</v>
      </c>
      <c r="AH321" t="s">
        <v>5935</v>
      </c>
      <c r="AI321" t="s">
        <v>5937</v>
      </c>
      <c r="AJ321" t="s">
        <v>5935</v>
      </c>
      <c r="AK321" t="s">
        <v>5937</v>
      </c>
      <c r="AL321" t="s">
        <v>4792</v>
      </c>
    </row>
    <row r="322" customHeight="1" spans="1:38">
      <c r="A322" t="s">
        <v>22</v>
      </c>
      <c r="B322" t="s">
        <v>49</v>
      </c>
      <c r="C322" t="s">
        <v>51</v>
      </c>
      <c r="D322" t="s">
        <v>22</v>
      </c>
      <c r="E322" t="s">
        <v>5938</v>
      </c>
      <c r="F322" t="s">
        <v>1046</v>
      </c>
      <c r="G322" t="s">
        <v>1047</v>
      </c>
      <c r="H322" t="s">
        <v>1047</v>
      </c>
      <c r="I322" t="s">
        <v>1048</v>
      </c>
      <c r="J322" t="s">
        <v>1049</v>
      </c>
      <c r="K322" t="s">
        <v>1050</v>
      </c>
      <c r="L322" t="s">
        <v>5939</v>
      </c>
      <c r="M322" t="s">
        <v>5940</v>
      </c>
      <c r="N322" t="s">
        <v>107</v>
      </c>
      <c r="O322" t="s">
        <v>1047</v>
      </c>
      <c r="P322" t="s">
        <v>4782</v>
      </c>
      <c r="Q322" t="s">
        <v>1048</v>
      </c>
      <c r="R322" t="s">
        <v>1049</v>
      </c>
      <c r="S322" t="s">
        <v>1050</v>
      </c>
      <c r="T322" t="s">
        <v>4796</v>
      </c>
      <c r="U322" t="s">
        <v>4797</v>
      </c>
      <c r="V322" t="s">
        <v>4841</v>
      </c>
      <c r="W322" t="s">
        <v>4786</v>
      </c>
      <c r="X322" t="s">
        <v>4799</v>
      </c>
      <c r="Y322" t="s">
        <v>4800</v>
      </c>
      <c r="Z322" t="s">
        <v>4801</v>
      </c>
      <c r="AA322" t="s">
        <v>4802</v>
      </c>
      <c r="AB322" t="s">
        <v>4841</v>
      </c>
      <c r="AC322" t="s">
        <v>66</v>
      </c>
      <c r="AD322" t="s">
        <v>66</v>
      </c>
      <c r="AE322" t="s">
        <v>66</v>
      </c>
      <c r="AF322" t="s">
        <v>5941</v>
      </c>
      <c r="AG322" t="s">
        <v>5942</v>
      </c>
      <c r="AH322" t="s">
        <v>5941</v>
      </c>
      <c r="AI322" t="s">
        <v>5942</v>
      </c>
      <c r="AJ322" t="s">
        <v>5941</v>
      </c>
      <c r="AK322" t="s">
        <v>5942</v>
      </c>
      <c r="AL322" t="s">
        <v>4792</v>
      </c>
    </row>
    <row r="323" customHeight="1" spans="1:38">
      <c r="A323" t="s">
        <v>22</v>
      </c>
      <c r="B323" t="s">
        <v>49</v>
      </c>
      <c r="C323" t="s">
        <v>51</v>
      </c>
      <c r="D323" t="s">
        <v>22</v>
      </c>
      <c r="E323" t="s">
        <v>5938</v>
      </c>
      <c r="F323" t="s">
        <v>1046</v>
      </c>
      <c r="G323" t="s">
        <v>1047</v>
      </c>
      <c r="H323" t="s">
        <v>1047</v>
      </c>
      <c r="I323" t="s">
        <v>1048</v>
      </c>
      <c r="J323" t="s">
        <v>1049</v>
      </c>
      <c r="K323" t="s">
        <v>1050</v>
      </c>
      <c r="L323" t="s">
        <v>5939</v>
      </c>
      <c r="M323" t="s">
        <v>5940</v>
      </c>
      <c r="N323" t="s">
        <v>107</v>
      </c>
      <c r="O323" t="s">
        <v>1047</v>
      </c>
      <c r="P323" t="s">
        <v>4782</v>
      </c>
      <c r="Q323" t="s">
        <v>1048</v>
      </c>
      <c r="R323" t="s">
        <v>1049</v>
      </c>
      <c r="S323" t="s">
        <v>1050</v>
      </c>
      <c r="T323" t="s">
        <v>4796</v>
      </c>
      <c r="U323" t="s">
        <v>4805</v>
      </c>
      <c r="V323" t="s">
        <v>4806</v>
      </c>
      <c r="W323" t="s">
        <v>4786</v>
      </c>
      <c r="X323" t="s">
        <v>4828</v>
      </c>
      <c r="Y323" t="s">
        <v>4800</v>
      </c>
      <c r="Z323" t="s">
        <v>5943</v>
      </c>
      <c r="AA323" t="s">
        <v>5944</v>
      </c>
      <c r="AB323" t="s">
        <v>5147</v>
      </c>
      <c r="AC323" t="s">
        <v>66</v>
      </c>
      <c r="AD323" t="s">
        <v>66</v>
      </c>
      <c r="AE323" t="s">
        <v>66</v>
      </c>
      <c r="AF323" t="s">
        <v>5941</v>
      </c>
      <c r="AG323" t="s">
        <v>5945</v>
      </c>
      <c r="AH323" t="s">
        <v>5941</v>
      </c>
      <c r="AI323" t="s">
        <v>5945</v>
      </c>
      <c r="AJ323" t="s">
        <v>5941</v>
      </c>
      <c r="AK323" t="s">
        <v>5945</v>
      </c>
      <c r="AL323" t="s">
        <v>4792</v>
      </c>
    </row>
    <row r="324" customHeight="1" spans="1:38">
      <c r="A324" t="s">
        <v>22</v>
      </c>
      <c r="B324" t="s">
        <v>49</v>
      </c>
      <c r="C324" t="s">
        <v>51</v>
      </c>
      <c r="D324" t="s">
        <v>22</v>
      </c>
      <c r="E324" t="s">
        <v>5946</v>
      </c>
      <c r="F324" t="s">
        <v>1070</v>
      </c>
      <c r="G324" t="s">
        <v>1047</v>
      </c>
      <c r="H324" t="s">
        <v>1047</v>
      </c>
      <c r="I324" t="s">
        <v>1048</v>
      </c>
      <c r="J324" t="s">
        <v>1049</v>
      </c>
      <c r="K324" t="s">
        <v>1050</v>
      </c>
      <c r="L324" t="s">
        <v>766</v>
      </c>
      <c r="M324" t="s">
        <v>766</v>
      </c>
      <c r="N324" t="s">
        <v>107</v>
      </c>
      <c r="O324" t="s">
        <v>1047</v>
      </c>
      <c r="P324" t="s">
        <v>4782</v>
      </c>
      <c r="Q324" t="s">
        <v>1048</v>
      </c>
      <c r="R324" t="s">
        <v>1049</v>
      </c>
      <c r="S324" t="s">
        <v>1050</v>
      </c>
      <c r="T324" t="s">
        <v>4796</v>
      </c>
      <c r="U324" t="s">
        <v>4797</v>
      </c>
      <c r="V324" t="s">
        <v>4798</v>
      </c>
      <c r="W324" t="s">
        <v>4786</v>
      </c>
      <c r="X324" t="s">
        <v>4807</v>
      </c>
      <c r="Y324" t="s">
        <v>4800</v>
      </c>
      <c r="Z324" t="s">
        <v>4801</v>
      </c>
      <c r="AA324" t="s">
        <v>4802</v>
      </c>
      <c r="AB324" t="s">
        <v>4798</v>
      </c>
      <c r="AC324" t="s">
        <v>66</v>
      </c>
      <c r="AD324" t="s">
        <v>19</v>
      </c>
      <c r="AE324" t="s">
        <v>19</v>
      </c>
      <c r="AF324" t="s">
        <v>5063</v>
      </c>
      <c r="AG324" t="s">
        <v>372</v>
      </c>
      <c r="AH324" t="s">
        <v>22</v>
      </c>
      <c r="AI324" t="s">
        <v>22</v>
      </c>
      <c r="AJ324" t="s">
        <v>22</v>
      </c>
      <c r="AK324" t="s">
        <v>22</v>
      </c>
      <c r="AL324" t="s">
        <v>5947</v>
      </c>
    </row>
    <row r="325" customHeight="1" spans="1:38">
      <c r="A325" t="s">
        <v>22</v>
      </c>
      <c r="B325" t="s">
        <v>49</v>
      </c>
      <c r="C325" t="s">
        <v>51</v>
      </c>
      <c r="D325" t="s">
        <v>22</v>
      </c>
      <c r="E325" t="s">
        <v>5946</v>
      </c>
      <c r="F325" t="s">
        <v>1070</v>
      </c>
      <c r="G325" t="s">
        <v>1047</v>
      </c>
      <c r="H325" t="s">
        <v>1047</v>
      </c>
      <c r="I325" t="s">
        <v>1048</v>
      </c>
      <c r="J325" t="s">
        <v>1049</v>
      </c>
      <c r="K325" t="s">
        <v>1050</v>
      </c>
      <c r="L325" t="s">
        <v>766</v>
      </c>
      <c r="M325" t="s">
        <v>766</v>
      </c>
      <c r="N325" t="s">
        <v>107</v>
      </c>
      <c r="O325" t="s">
        <v>1047</v>
      </c>
      <c r="P325" t="s">
        <v>4782</v>
      </c>
      <c r="Q325" t="s">
        <v>1048</v>
      </c>
      <c r="R325" t="s">
        <v>1049</v>
      </c>
      <c r="S325" t="s">
        <v>1050</v>
      </c>
      <c r="T325" t="s">
        <v>4796</v>
      </c>
      <c r="U325" t="s">
        <v>4805</v>
      </c>
      <c r="V325" t="s">
        <v>4806</v>
      </c>
      <c r="W325" t="s">
        <v>4786</v>
      </c>
      <c r="X325" t="s">
        <v>4807</v>
      </c>
      <c r="Y325" t="s">
        <v>4800</v>
      </c>
      <c r="Z325" t="s">
        <v>4836</v>
      </c>
      <c r="AA325" t="s">
        <v>4837</v>
      </c>
      <c r="AB325" t="s">
        <v>4838</v>
      </c>
      <c r="AC325" t="s">
        <v>66</v>
      </c>
      <c r="AD325" t="s">
        <v>19</v>
      </c>
      <c r="AE325" t="s">
        <v>19</v>
      </c>
      <c r="AF325" t="s">
        <v>5063</v>
      </c>
      <c r="AG325" t="s">
        <v>372</v>
      </c>
      <c r="AH325" t="s">
        <v>22</v>
      </c>
      <c r="AI325" t="s">
        <v>22</v>
      </c>
      <c r="AJ325" t="s">
        <v>22</v>
      </c>
      <c r="AK325" t="s">
        <v>22</v>
      </c>
      <c r="AL325" t="s">
        <v>5948</v>
      </c>
    </row>
    <row r="326" customHeight="1" spans="1:38">
      <c r="A326" t="s">
        <v>22</v>
      </c>
      <c r="B326" t="s">
        <v>49</v>
      </c>
      <c r="C326" t="s">
        <v>51</v>
      </c>
      <c r="D326" t="s">
        <v>22</v>
      </c>
      <c r="E326" t="s">
        <v>5949</v>
      </c>
      <c r="F326" t="s">
        <v>5950</v>
      </c>
      <c r="G326" t="s">
        <v>1047</v>
      </c>
      <c r="H326" t="s">
        <v>1047</v>
      </c>
      <c r="I326" t="s">
        <v>1048</v>
      </c>
      <c r="J326" t="s">
        <v>1049</v>
      </c>
      <c r="K326" t="s">
        <v>1050</v>
      </c>
      <c r="L326" t="s">
        <v>5951</v>
      </c>
      <c r="M326" t="s">
        <v>766</v>
      </c>
      <c r="N326" t="s">
        <v>107</v>
      </c>
      <c r="O326" t="s">
        <v>1047</v>
      </c>
      <c r="P326" t="s">
        <v>4782</v>
      </c>
      <c r="Q326" t="s">
        <v>1048</v>
      </c>
      <c r="R326" t="s">
        <v>1049</v>
      </c>
      <c r="S326" t="s">
        <v>1050</v>
      </c>
      <c r="T326" t="s">
        <v>4796</v>
      </c>
      <c r="U326" t="s">
        <v>4805</v>
      </c>
      <c r="V326" t="s">
        <v>4806</v>
      </c>
      <c r="W326" t="s">
        <v>4786</v>
      </c>
      <c r="X326" t="s">
        <v>4807</v>
      </c>
      <c r="Y326" t="s">
        <v>4800</v>
      </c>
      <c r="Z326" t="s">
        <v>4836</v>
      </c>
      <c r="AA326" t="s">
        <v>4837</v>
      </c>
      <c r="AB326" t="s">
        <v>4838</v>
      </c>
      <c r="AC326" t="s">
        <v>19</v>
      </c>
      <c r="AD326" t="s">
        <v>66</v>
      </c>
      <c r="AE326" t="s">
        <v>19</v>
      </c>
      <c r="AF326" t="s">
        <v>22</v>
      </c>
      <c r="AG326" t="s">
        <v>22</v>
      </c>
      <c r="AH326" t="s">
        <v>3993</v>
      </c>
      <c r="AI326" t="s">
        <v>5952</v>
      </c>
      <c r="AJ326" t="s">
        <v>3993</v>
      </c>
      <c r="AK326" t="s">
        <v>5952</v>
      </c>
      <c r="AL326" t="s">
        <v>22</v>
      </c>
    </row>
    <row r="327" customHeight="1" spans="1:38">
      <c r="A327" t="s">
        <v>22</v>
      </c>
      <c r="B327" t="s">
        <v>49</v>
      </c>
      <c r="C327" t="s">
        <v>51</v>
      </c>
      <c r="D327" t="s">
        <v>22</v>
      </c>
      <c r="E327" t="s">
        <v>5949</v>
      </c>
      <c r="F327" t="s">
        <v>5950</v>
      </c>
      <c r="G327" t="s">
        <v>1047</v>
      </c>
      <c r="H327" t="s">
        <v>1047</v>
      </c>
      <c r="I327" t="s">
        <v>1048</v>
      </c>
      <c r="J327" t="s">
        <v>1049</v>
      </c>
      <c r="K327" t="s">
        <v>1050</v>
      </c>
      <c r="L327" t="s">
        <v>5951</v>
      </c>
      <c r="M327" t="s">
        <v>766</v>
      </c>
      <c r="N327" t="s">
        <v>107</v>
      </c>
      <c r="O327" t="s">
        <v>1047</v>
      </c>
      <c r="P327" t="s">
        <v>4782</v>
      </c>
      <c r="Q327" t="s">
        <v>1048</v>
      </c>
      <c r="R327" t="s">
        <v>1049</v>
      </c>
      <c r="S327" t="s">
        <v>1050</v>
      </c>
      <c r="T327" t="s">
        <v>4796</v>
      </c>
      <c r="U327" t="s">
        <v>4797</v>
      </c>
      <c r="V327" t="s">
        <v>4798</v>
      </c>
      <c r="W327" t="s">
        <v>4786</v>
      </c>
      <c r="X327" t="s">
        <v>4787</v>
      </c>
      <c r="Y327" t="s">
        <v>4784</v>
      </c>
      <c r="Z327" t="s">
        <v>4801</v>
      </c>
      <c r="AA327" t="s">
        <v>4802</v>
      </c>
      <c r="AB327" t="s">
        <v>4798</v>
      </c>
      <c r="AC327" t="s">
        <v>19</v>
      </c>
      <c r="AD327" t="s">
        <v>66</v>
      </c>
      <c r="AE327" t="s">
        <v>19</v>
      </c>
      <c r="AF327" t="s">
        <v>22</v>
      </c>
      <c r="AG327" t="s">
        <v>22</v>
      </c>
      <c r="AH327" t="s">
        <v>5953</v>
      </c>
      <c r="AI327" t="s">
        <v>5953</v>
      </c>
      <c r="AJ327" t="s">
        <v>5953</v>
      </c>
      <c r="AK327" t="s">
        <v>5953</v>
      </c>
      <c r="AL327" t="s">
        <v>22</v>
      </c>
    </row>
    <row r="328" customHeight="1" spans="1:38">
      <c r="A328" t="s">
        <v>22</v>
      </c>
      <c r="B328" t="s">
        <v>49</v>
      </c>
      <c r="C328" t="s">
        <v>51</v>
      </c>
      <c r="D328" t="s">
        <v>22</v>
      </c>
      <c r="E328" t="s">
        <v>5954</v>
      </c>
      <c r="F328" t="s">
        <v>1046</v>
      </c>
      <c r="G328" t="s">
        <v>1047</v>
      </c>
      <c r="H328" t="s">
        <v>1047</v>
      </c>
      <c r="I328" t="s">
        <v>1048</v>
      </c>
      <c r="J328" t="s">
        <v>1049</v>
      </c>
      <c r="K328" t="s">
        <v>1050</v>
      </c>
      <c r="L328" t="s">
        <v>5955</v>
      </c>
      <c r="M328" t="s">
        <v>4795</v>
      </c>
      <c r="N328" t="s">
        <v>107</v>
      </c>
      <c r="O328" t="s">
        <v>1047</v>
      </c>
      <c r="P328" t="s">
        <v>4782</v>
      </c>
      <c r="Q328" t="s">
        <v>1048</v>
      </c>
      <c r="R328" t="s">
        <v>1049</v>
      </c>
      <c r="S328" t="s">
        <v>1050</v>
      </c>
      <c r="T328" t="s">
        <v>4796</v>
      </c>
      <c r="U328" t="s">
        <v>4797</v>
      </c>
      <c r="V328" t="s">
        <v>4798</v>
      </c>
      <c r="W328" t="s">
        <v>4786</v>
      </c>
      <c r="X328" t="s">
        <v>4799</v>
      </c>
      <c r="Y328" t="s">
        <v>4800</v>
      </c>
      <c r="Z328" t="s">
        <v>4801</v>
      </c>
      <c r="AA328" t="s">
        <v>4802</v>
      </c>
      <c r="AB328" t="s">
        <v>4798</v>
      </c>
      <c r="AC328" t="s">
        <v>66</v>
      </c>
      <c r="AD328" t="s">
        <v>66</v>
      </c>
      <c r="AE328" t="s">
        <v>66</v>
      </c>
      <c r="AF328" t="s">
        <v>5956</v>
      </c>
      <c r="AG328" t="s">
        <v>5957</v>
      </c>
      <c r="AH328" t="s">
        <v>5956</v>
      </c>
      <c r="AI328" t="s">
        <v>5957</v>
      </c>
      <c r="AJ328" t="s">
        <v>5956</v>
      </c>
      <c r="AK328" t="s">
        <v>5957</v>
      </c>
      <c r="AL328" t="s">
        <v>4792</v>
      </c>
    </row>
    <row r="329" customHeight="1" spans="1:38">
      <c r="A329" t="s">
        <v>22</v>
      </c>
      <c r="B329" t="s">
        <v>49</v>
      </c>
      <c r="C329" t="s">
        <v>51</v>
      </c>
      <c r="D329" t="s">
        <v>22</v>
      </c>
      <c r="E329" t="s">
        <v>5954</v>
      </c>
      <c r="F329" t="s">
        <v>1046</v>
      </c>
      <c r="G329" t="s">
        <v>1047</v>
      </c>
      <c r="H329" t="s">
        <v>1047</v>
      </c>
      <c r="I329" t="s">
        <v>1048</v>
      </c>
      <c r="J329" t="s">
        <v>1049</v>
      </c>
      <c r="K329" t="s">
        <v>1050</v>
      </c>
      <c r="L329" t="s">
        <v>5955</v>
      </c>
      <c r="M329" t="s">
        <v>4795</v>
      </c>
      <c r="N329" t="s">
        <v>107</v>
      </c>
      <c r="O329" t="s">
        <v>1047</v>
      </c>
      <c r="P329" t="s">
        <v>4782</v>
      </c>
      <c r="Q329" t="s">
        <v>1048</v>
      </c>
      <c r="R329" t="s">
        <v>1049</v>
      </c>
      <c r="S329" t="s">
        <v>1050</v>
      </c>
      <c r="T329" t="s">
        <v>4796</v>
      </c>
      <c r="U329" t="s">
        <v>4805</v>
      </c>
      <c r="V329" t="s">
        <v>4806</v>
      </c>
      <c r="W329" t="s">
        <v>4786</v>
      </c>
      <c r="X329" t="s">
        <v>4820</v>
      </c>
      <c r="Y329" t="s">
        <v>4800</v>
      </c>
      <c r="Z329" t="s">
        <v>3572</v>
      </c>
      <c r="AA329" t="s">
        <v>5958</v>
      </c>
      <c r="AB329" t="s">
        <v>5959</v>
      </c>
      <c r="AC329" t="s">
        <v>66</v>
      </c>
      <c r="AD329" t="s">
        <v>66</v>
      </c>
      <c r="AE329" t="s">
        <v>66</v>
      </c>
      <c r="AF329" t="s">
        <v>5956</v>
      </c>
      <c r="AG329" t="s">
        <v>5957</v>
      </c>
      <c r="AH329" t="s">
        <v>5956</v>
      </c>
      <c r="AI329" t="s">
        <v>5957</v>
      </c>
      <c r="AJ329" t="s">
        <v>5956</v>
      </c>
      <c r="AK329" t="s">
        <v>5957</v>
      </c>
      <c r="AL329" t="s">
        <v>4792</v>
      </c>
    </row>
    <row r="330" customHeight="1" spans="1:38">
      <c r="A330" t="s">
        <v>22</v>
      </c>
      <c r="B330" t="s">
        <v>49</v>
      </c>
      <c r="C330" t="s">
        <v>51</v>
      </c>
      <c r="D330" t="s">
        <v>22</v>
      </c>
      <c r="E330" t="s">
        <v>5960</v>
      </c>
      <c r="F330" t="s">
        <v>1070</v>
      </c>
      <c r="G330" t="s">
        <v>1047</v>
      </c>
      <c r="H330" t="s">
        <v>1047</v>
      </c>
      <c r="I330" t="s">
        <v>1048</v>
      </c>
      <c r="J330" t="s">
        <v>1049</v>
      </c>
      <c r="K330" t="s">
        <v>1050</v>
      </c>
      <c r="L330" t="s">
        <v>5961</v>
      </c>
      <c r="M330" t="s">
        <v>5533</v>
      </c>
      <c r="N330" t="s">
        <v>107</v>
      </c>
      <c r="O330" t="s">
        <v>1047</v>
      </c>
      <c r="P330" t="s">
        <v>4782</v>
      </c>
      <c r="Q330" t="s">
        <v>1048</v>
      </c>
      <c r="R330" t="s">
        <v>1049</v>
      </c>
      <c r="S330" t="s">
        <v>1050</v>
      </c>
      <c r="T330" t="s">
        <v>4796</v>
      </c>
      <c r="U330" t="s">
        <v>4797</v>
      </c>
      <c r="V330" t="s">
        <v>4841</v>
      </c>
      <c r="W330" t="s">
        <v>4786</v>
      </c>
      <c r="X330" t="s">
        <v>4787</v>
      </c>
      <c r="Y330" t="s">
        <v>4800</v>
      </c>
      <c r="Z330" t="s">
        <v>4801</v>
      </c>
      <c r="AA330" t="s">
        <v>4802</v>
      </c>
      <c r="AB330" t="s">
        <v>4841</v>
      </c>
      <c r="AC330" t="s">
        <v>66</v>
      </c>
      <c r="AD330" t="s">
        <v>19</v>
      </c>
      <c r="AE330" t="s">
        <v>19</v>
      </c>
      <c r="AF330" t="s">
        <v>5962</v>
      </c>
      <c r="AG330" t="s">
        <v>5963</v>
      </c>
      <c r="AH330" t="s">
        <v>22</v>
      </c>
      <c r="AI330" t="s">
        <v>22</v>
      </c>
      <c r="AJ330" t="s">
        <v>22</v>
      </c>
      <c r="AK330" t="s">
        <v>22</v>
      </c>
      <c r="AL330" t="s">
        <v>4792</v>
      </c>
    </row>
    <row r="331" customHeight="1" spans="1:38">
      <c r="A331" t="s">
        <v>22</v>
      </c>
      <c r="B331" t="s">
        <v>49</v>
      </c>
      <c r="C331" t="s">
        <v>51</v>
      </c>
      <c r="D331" t="s">
        <v>22</v>
      </c>
      <c r="E331" t="s">
        <v>5960</v>
      </c>
      <c r="F331" t="s">
        <v>1070</v>
      </c>
      <c r="G331" t="s">
        <v>1047</v>
      </c>
      <c r="H331" t="s">
        <v>1047</v>
      </c>
      <c r="I331" t="s">
        <v>1048</v>
      </c>
      <c r="J331" t="s">
        <v>1049</v>
      </c>
      <c r="K331" t="s">
        <v>1050</v>
      </c>
      <c r="L331" t="s">
        <v>5961</v>
      </c>
      <c r="M331" t="s">
        <v>5533</v>
      </c>
      <c r="N331" t="s">
        <v>107</v>
      </c>
      <c r="O331" t="s">
        <v>1047</v>
      </c>
      <c r="P331" t="s">
        <v>4782</v>
      </c>
      <c r="Q331" t="s">
        <v>1048</v>
      </c>
      <c r="R331" t="s">
        <v>1049</v>
      </c>
      <c r="S331" t="s">
        <v>1050</v>
      </c>
      <c r="T331" t="s">
        <v>4796</v>
      </c>
      <c r="U331" t="s">
        <v>4805</v>
      </c>
      <c r="V331" t="s">
        <v>4806</v>
      </c>
      <c r="W331" t="s">
        <v>4786</v>
      </c>
      <c r="X331" t="s">
        <v>4807</v>
      </c>
      <c r="Y331" t="s">
        <v>4800</v>
      </c>
      <c r="Z331" t="s">
        <v>5964</v>
      </c>
      <c r="AA331" t="s">
        <v>5965</v>
      </c>
      <c r="AB331" t="s">
        <v>5966</v>
      </c>
      <c r="AC331" t="s">
        <v>66</v>
      </c>
      <c r="AD331" t="s">
        <v>19</v>
      </c>
      <c r="AE331" t="s">
        <v>19</v>
      </c>
      <c r="AF331" t="s">
        <v>5962</v>
      </c>
      <c r="AG331" t="s">
        <v>5967</v>
      </c>
      <c r="AH331" t="s">
        <v>22</v>
      </c>
      <c r="AI331" t="s">
        <v>22</v>
      </c>
      <c r="AJ331" t="s">
        <v>22</v>
      </c>
      <c r="AK331" t="s">
        <v>22</v>
      </c>
      <c r="AL331" t="s">
        <v>4792</v>
      </c>
    </row>
    <row r="332" customHeight="1" spans="1:38">
      <c r="A332" t="s">
        <v>22</v>
      </c>
      <c r="B332" t="s">
        <v>49</v>
      </c>
      <c r="C332" t="s">
        <v>51</v>
      </c>
      <c r="D332" t="s">
        <v>22</v>
      </c>
      <c r="E332" t="s">
        <v>5968</v>
      </c>
      <c r="F332" t="s">
        <v>1046</v>
      </c>
      <c r="G332" t="s">
        <v>1047</v>
      </c>
      <c r="H332" t="s">
        <v>1047</v>
      </c>
      <c r="I332" t="s">
        <v>1048</v>
      </c>
      <c r="J332" t="s">
        <v>1049</v>
      </c>
      <c r="K332" t="s">
        <v>1050</v>
      </c>
      <c r="L332" t="s">
        <v>5969</v>
      </c>
      <c r="M332" t="s">
        <v>5970</v>
      </c>
      <c r="N332" t="s">
        <v>107</v>
      </c>
      <c r="O332" t="s">
        <v>1047</v>
      </c>
      <c r="P332" t="s">
        <v>4782</v>
      </c>
      <c r="Q332" t="s">
        <v>1048</v>
      </c>
      <c r="R332" t="s">
        <v>1049</v>
      </c>
      <c r="S332" t="s">
        <v>1050</v>
      </c>
      <c r="T332" t="s">
        <v>4796</v>
      </c>
      <c r="U332" t="s">
        <v>4805</v>
      </c>
      <c r="V332" t="s">
        <v>4806</v>
      </c>
      <c r="W332" t="s">
        <v>4786</v>
      </c>
      <c r="X332" t="s">
        <v>4828</v>
      </c>
      <c r="Y332" t="s">
        <v>4800</v>
      </c>
      <c r="Z332" t="s">
        <v>5971</v>
      </c>
      <c r="AA332" t="s">
        <v>5972</v>
      </c>
      <c r="AB332" t="s">
        <v>4869</v>
      </c>
      <c r="AC332" t="s">
        <v>66</v>
      </c>
      <c r="AD332" t="s">
        <v>66</v>
      </c>
      <c r="AE332" t="s">
        <v>66</v>
      </c>
      <c r="AF332" t="s">
        <v>5973</v>
      </c>
      <c r="AG332" t="s">
        <v>5974</v>
      </c>
      <c r="AH332" t="s">
        <v>5973</v>
      </c>
      <c r="AI332" t="s">
        <v>5974</v>
      </c>
      <c r="AJ332" t="s">
        <v>5973</v>
      </c>
      <c r="AK332" t="s">
        <v>5974</v>
      </c>
      <c r="AL332" t="s">
        <v>4792</v>
      </c>
    </row>
    <row r="333" customHeight="1" spans="1:38">
      <c r="A333" t="s">
        <v>22</v>
      </c>
      <c r="B333" t="s">
        <v>49</v>
      </c>
      <c r="C333" t="s">
        <v>51</v>
      </c>
      <c r="D333" t="s">
        <v>22</v>
      </c>
      <c r="E333" t="s">
        <v>5968</v>
      </c>
      <c r="F333" t="s">
        <v>1046</v>
      </c>
      <c r="G333" t="s">
        <v>1047</v>
      </c>
      <c r="H333" t="s">
        <v>1047</v>
      </c>
      <c r="I333" t="s">
        <v>1048</v>
      </c>
      <c r="J333" t="s">
        <v>1049</v>
      </c>
      <c r="K333" t="s">
        <v>1050</v>
      </c>
      <c r="L333" t="s">
        <v>5969</v>
      </c>
      <c r="M333" t="s">
        <v>5970</v>
      </c>
      <c r="N333" t="s">
        <v>107</v>
      </c>
      <c r="O333" t="s">
        <v>1047</v>
      </c>
      <c r="P333" t="s">
        <v>4782</v>
      </c>
      <c r="Q333" t="s">
        <v>1048</v>
      </c>
      <c r="R333" t="s">
        <v>1049</v>
      </c>
      <c r="S333" t="s">
        <v>1050</v>
      </c>
      <c r="T333" t="s">
        <v>4796</v>
      </c>
      <c r="U333" t="s">
        <v>4797</v>
      </c>
      <c r="V333" t="s">
        <v>4841</v>
      </c>
      <c r="W333" t="s">
        <v>4786</v>
      </c>
      <c r="X333" t="s">
        <v>4807</v>
      </c>
      <c r="Y333" t="s">
        <v>4800</v>
      </c>
      <c r="Z333" t="s">
        <v>3888</v>
      </c>
      <c r="AA333" t="s">
        <v>5975</v>
      </c>
      <c r="AB333" t="s">
        <v>4841</v>
      </c>
      <c r="AC333" t="s">
        <v>66</v>
      </c>
      <c r="AD333" t="s">
        <v>66</v>
      </c>
      <c r="AE333" t="s">
        <v>66</v>
      </c>
      <c r="AF333" t="s">
        <v>5976</v>
      </c>
      <c r="AG333" t="s">
        <v>5977</v>
      </c>
      <c r="AH333" t="s">
        <v>2282</v>
      </c>
      <c r="AI333" t="s">
        <v>5977</v>
      </c>
      <c r="AJ333" t="s">
        <v>2282</v>
      </c>
      <c r="AK333" t="s">
        <v>5977</v>
      </c>
      <c r="AL333" t="s">
        <v>4792</v>
      </c>
    </row>
    <row r="334" customHeight="1" spans="1:38">
      <c r="A334" t="s">
        <v>22</v>
      </c>
      <c r="B334" t="s">
        <v>49</v>
      </c>
      <c r="C334" t="s">
        <v>51</v>
      </c>
      <c r="D334" t="s">
        <v>22</v>
      </c>
      <c r="E334" t="s">
        <v>1140</v>
      </c>
      <c r="F334" t="s">
        <v>1046</v>
      </c>
      <c r="G334" t="s">
        <v>1047</v>
      </c>
      <c r="H334" t="s">
        <v>1047</v>
      </c>
      <c r="I334" t="s">
        <v>1048</v>
      </c>
      <c r="J334" t="s">
        <v>1049</v>
      </c>
      <c r="K334" t="s">
        <v>1050</v>
      </c>
      <c r="L334" t="s">
        <v>1141</v>
      </c>
      <c r="M334" t="s">
        <v>1142</v>
      </c>
      <c r="N334" t="s">
        <v>107</v>
      </c>
      <c r="O334" t="s">
        <v>1047</v>
      </c>
      <c r="P334" t="s">
        <v>4782</v>
      </c>
      <c r="Q334" t="s">
        <v>1048</v>
      </c>
      <c r="R334" t="s">
        <v>1049</v>
      </c>
      <c r="S334" t="s">
        <v>1050</v>
      </c>
      <c r="T334" t="s">
        <v>4796</v>
      </c>
      <c r="U334" t="s">
        <v>4805</v>
      </c>
      <c r="V334" t="s">
        <v>4806</v>
      </c>
      <c r="W334" t="s">
        <v>4786</v>
      </c>
      <c r="X334" t="s">
        <v>4828</v>
      </c>
      <c r="Y334" t="s">
        <v>4800</v>
      </c>
      <c r="Z334" t="s">
        <v>5978</v>
      </c>
      <c r="AA334" t="s">
        <v>5979</v>
      </c>
      <c r="AB334" t="s">
        <v>4869</v>
      </c>
      <c r="AC334" t="s">
        <v>66</v>
      </c>
      <c r="AD334" t="s">
        <v>66</v>
      </c>
      <c r="AE334" t="s">
        <v>66</v>
      </c>
      <c r="AF334" t="s">
        <v>5980</v>
      </c>
      <c r="AG334" t="s">
        <v>5981</v>
      </c>
      <c r="AH334" t="s">
        <v>5980</v>
      </c>
      <c r="AI334" t="s">
        <v>5981</v>
      </c>
      <c r="AJ334" t="s">
        <v>5980</v>
      </c>
      <c r="AK334" t="s">
        <v>5981</v>
      </c>
      <c r="AL334" t="s">
        <v>4792</v>
      </c>
    </row>
    <row r="335" customHeight="1" spans="1:38">
      <c r="A335" t="s">
        <v>22</v>
      </c>
      <c r="B335" t="s">
        <v>49</v>
      </c>
      <c r="C335" t="s">
        <v>51</v>
      </c>
      <c r="D335" t="s">
        <v>22</v>
      </c>
      <c r="E335" t="s">
        <v>1140</v>
      </c>
      <c r="F335" t="s">
        <v>1046</v>
      </c>
      <c r="G335" t="s">
        <v>1047</v>
      </c>
      <c r="H335" t="s">
        <v>1047</v>
      </c>
      <c r="I335" t="s">
        <v>1048</v>
      </c>
      <c r="J335" t="s">
        <v>1049</v>
      </c>
      <c r="K335" t="s">
        <v>1050</v>
      </c>
      <c r="L335" t="s">
        <v>1141</v>
      </c>
      <c r="M335" t="s">
        <v>1142</v>
      </c>
      <c r="N335" t="s">
        <v>107</v>
      </c>
      <c r="O335" t="s">
        <v>1047</v>
      </c>
      <c r="P335" t="s">
        <v>4782</v>
      </c>
      <c r="Q335" t="s">
        <v>1048</v>
      </c>
      <c r="R335" t="s">
        <v>1049</v>
      </c>
      <c r="S335" t="s">
        <v>1050</v>
      </c>
      <c r="T335" t="s">
        <v>4796</v>
      </c>
      <c r="U335" t="s">
        <v>4797</v>
      </c>
      <c r="V335" t="s">
        <v>5982</v>
      </c>
      <c r="W335" t="s">
        <v>4786</v>
      </c>
      <c r="X335" t="s">
        <v>4787</v>
      </c>
      <c r="Y335" t="s">
        <v>4800</v>
      </c>
      <c r="Z335" t="s">
        <v>4103</v>
      </c>
      <c r="AA335" t="s">
        <v>5983</v>
      </c>
      <c r="AB335" t="s">
        <v>5982</v>
      </c>
      <c r="AC335" t="s">
        <v>66</v>
      </c>
      <c r="AD335" t="s">
        <v>66</v>
      </c>
      <c r="AE335" t="s">
        <v>66</v>
      </c>
      <c r="AF335" t="s">
        <v>5984</v>
      </c>
      <c r="AG335" t="s">
        <v>5985</v>
      </c>
      <c r="AH335" t="s">
        <v>5984</v>
      </c>
      <c r="AI335" t="s">
        <v>5985</v>
      </c>
      <c r="AJ335" t="s">
        <v>5984</v>
      </c>
      <c r="AK335" t="s">
        <v>5985</v>
      </c>
      <c r="AL335" t="s">
        <v>4792</v>
      </c>
    </row>
    <row r="336" customHeight="1" spans="1:38">
      <c r="A336" t="s">
        <v>22</v>
      </c>
      <c r="B336" t="s">
        <v>49</v>
      </c>
      <c r="C336" t="s">
        <v>51</v>
      </c>
      <c r="D336" t="s">
        <v>22</v>
      </c>
      <c r="E336" t="s">
        <v>5986</v>
      </c>
      <c r="F336" t="s">
        <v>1046</v>
      </c>
      <c r="G336" t="s">
        <v>1047</v>
      </c>
      <c r="H336" t="s">
        <v>1047</v>
      </c>
      <c r="I336" t="s">
        <v>1048</v>
      </c>
      <c r="J336" t="s">
        <v>1049</v>
      </c>
      <c r="K336" t="s">
        <v>1050</v>
      </c>
      <c r="L336" t="s">
        <v>5987</v>
      </c>
      <c r="M336" t="s">
        <v>5988</v>
      </c>
      <c r="N336" t="s">
        <v>107</v>
      </c>
      <c r="O336" t="s">
        <v>1047</v>
      </c>
      <c r="P336" t="s">
        <v>4782</v>
      </c>
      <c r="Q336" t="s">
        <v>1048</v>
      </c>
      <c r="R336" t="s">
        <v>1049</v>
      </c>
      <c r="S336" t="s">
        <v>1050</v>
      </c>
      <c r="T336" t="s">
        <v>4783</v>
      </c>
      <c r="U336" t="s">
        <v>4797</v>
      </c>
      <c r="V336" t="s">
        <v>4814</v>
      </c>
      <c r="W336" t="s">
        <v>4786</v>
      </c>
      <c r="X336" t="s">
        <v>4787</v>
      </c>
      <c r="Y336" t="s">
        <v>4784</v>
      </c>
      <c r="Z336" t="s">
        <v>4801</v>
      </c>
      <c r="AA336" t="s">
        <v>4802</v>
      </c>
      <c r="AB336" t="s">
        <v>4814</v>
      </c>
      <c r="AC336" t="s">
        <v>66</v>
      </c>
      <c r="AD336" t="s">
        <v>66</v>
      </c>
      <c r="AE336" t="s">
        <v>66</v>
      </c>
      <c r="AF336" t="s">
        <v>5989</v>
      </c>
      <c r="AG336" t="s">
        <v>5990</v>
      </c>
      <c r="AH336" t="s">
        <v>5989</v>
      </c>
      <c r="AI336" t="s">
        <v>5990</v>
      </c>
      <c r="AJ336" t="s">
        <v>5989</v>
      </c>
      <c r="AK336" t="s">
        <v>5990</v>
      </c>
      <c r="AL336" t="s">
        <v>4792</v>
      </c>
    </row>
    <row r="337" customHeight="1" spans="1:38">
      <c r="A337" t="s">
        <v>22</v>
      </c>
      <c r="B337" t="s">
        <v>49</v>
      </c>
      <c r="C337" t="s">
        <v>51</v>
      </c>
      <c r="D337" t="s">
        <v>22</v>
      </c>
      <c r="E337" t="s">
        <v>5986</v>
      </c>
      <c r="F337" t="s">
        <v>1046</v>
      </c>
      <c r="G337" t="s">
        <v>1047</v>
      </c>
      <c r="H337" t="s">
        <v>1047</v>
      </c>
      <c r="I337" t="s">
        <v>1048</v>
      </c>
      <c r="J337" t="s">
        <v>1049</v>
      </c>
      <c r="K337" t="s">
        <v>1050</v>
      </c>
      <c r="L337" t="s">
        <v>5987</v>
      </c>
      <c r="M337" t="s">
        <v>5988</v>
      </c>
      <c r="N337" t="s">
        <v>107</v>
      </c>
      <c r="O337" t="s">
        <v>1047</v>
      </c>
      <c r="P337" t="s">
        <v>4782</v>
      </c>
      <c r="Q337" t="s">
        <v>1048</v>
      </c>
      <c r="R337" t="s">
        <v>1049</v>
      </c>
      <c r="S337" t="s">
        <v>1050</v>
      </c>
      <c r="T337" t="s">
        <v>4783</v>
      </c>
      <c r="U337" t="s">
        <v>4784</v>
      </c>
      <c r="V337" t="s">
        <v>5991</v>
      </c>
      <c r="W337" t="s">
        <v>4786</v>
      </c>
      <c r="X337" t="s">
        <v>4787</v>
      </c>
      <c r="Y337" t="s">
        <v>4784</v>
      </c>
      <c r="Z337" t="s">
        <v>5992</v>
      </c>
      <c r="AA337" t="s">
        <v>5993</v>
      </c>
      <c r="AB337" t="s">
        <v>5991</v>
      </c>
      <c r="AC337" t="s">
        <v>66</v>
      </c>
      <c r="AD337" t="s">
        <v>66</v>
      </c>
      <c r="AE337" t="s">
        <v>66</v>
      </c>
      <c r="AF337" t="s">
        <v>5994</v>
      </c>
      <c r="AG337" t="s">
        <v>5995</v>
      </c>
      <c r="AH337" t="s">
        <v>5994</v>
      </c>
      <c r="AI337" t="s">
        <v>5995</v>
      </c>
      <c r="AJ337" t="s">
        <v>5994</v>
      </c>
      <c r="AK337" t="s">
        <v>5995</v>
      </c>
      <c r="AL337" t="s">
        <v>4792</v>
      </c>
    </row>
  </sheetData>
  <sheetProtection insertRows="0" deleteColumns="0" deleteRows="0" sort="0" autoFilter="0"/>
  <pageMargins left="0.7" right="0.7" top="0.75" bottom="0.75" header="0.3" footer="0.3"/>
  <pageSetup paperSize="1"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AT18"/>
  <sheetViews>
    <sheetView showGridLines="0" zoomScale="90" zoomScaleNormal="90" workbookViewId="0">
      <pane xSplit="5" ySplit="11" topLeftCell="F12"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575" hidden="1" customWidth="1"/>
    <col min="2" max="2" width="9.14285714285714" style="43" hidden="1" customWidth="1"/>
    <col min="3" max="3" width="3" style="217" customWidth="1"/>
    <col min="4" max="4" width="5" style="43" customWidth="1"/>
    <col min="5" max="5" width="48" style="43" customWidth="1"/>
    <col min="6" max="6" width="38" style="43" customWidth="1"/>
    <col min="7" max="7" width="1.71428571428571" style="43" hidden="1" customWidth="1"/>
    <col min="8" max="11" width="19.847619047619" style="43" customWidth="1"/>
    <col min="12" max="12" width="9.71428571428571" style="43" customWidth="1"/>
    <col min="13" max="18" width="19.847619047619" style="43" customWidth="1"/>
    <col min="19" max="19" width="1.71428571428571" style="43" hidden="1" customWidth="1"/>
    <col min="20" max="22" width="19.847619047619" style="43" hidden="1" customWidth="1"/>
    <col min="23" max="23" width="1.71428571428571" style="43" hidden="1" customWidth="1"/>
    <col min="24" max="26" width="19.847619047619" style="43" hidden="1" customWidth="1"/>
    <col min="27" max="27" width="1.71428571428571" style="43" hidden="1" customWidth="1"/>
    <col min="28" max="29" width="19.847619047619" style="43" hidden="1" customWidth="1"/>
    <col min="30" max="30" width="1.71428571428571" style="43" hidden="1" customWidth="1"/>
    <col min="31" max="31" width="103.714285714286" style="43" customWidth="1"/>
    <col min="32" max="34" width="103.714285714286" style="43" hidden="1" customWidth="1"/>
    <col min="35" max="35" width="3" style="206" customWidth="1"/>
    <col min="36" max="38" width="10" style="44" customWidth="1"/>
    <col min="39" max="39" width="13.7142857142857" style="44" hidden="1" customWidth="1"/>
    <col min="40" max="40" width="15" style="44" customWidth="1"/>
    <col min="41" max="41" width="16" style="44" customWidth="1"/>
    <col min="42" max="45" width="10" style="44" customWidth="1"/>
    <col min="46" max="46" width="10.5714285714286" style="43" hidden="1"/>
  </cols>
  <sheetData>
    <row r="1" ht="22.5" hidden="1" customHeight="1" spans="5:46">
      <c r="E1" s="224"/>
      <c r="F1" s="224"/>
      <c r="G1" s="224"/>
      <c r="H1" s="48" t="s">
        <v>348</v>
      </c>
      <c r="I1" s="48"/>
      <c r="J1" s="48"/>
      <c r="K1" s="48"/>
      <c r="L1" s="48"/>
      <c r="M1" s="48"/>
      <c r="N1" s="48"/>
      <c r="O1" s="48"/>
      <c r="P1" s="48"/>
      <c r="Q1" s="48"/>
      <c r="R1" s="48"/>
      <c r="T1" s="48" t="s">
        <v>349</v>
      </c>
      <c r="U1" s="48"/>
      <c r="V1" s="48"/>
      <c r="X1" s="48" t="s">
        <v>350</v>
      </c>
      <c r="Y1" s="48"/>
      <c r="Z1" s="48"/>
      <c r="AB1" s="48" t="s">
        <v>351</v>
      </c>
      <c r="AC1" s="48"/>
      <c r="AT1" s="43" t="s">
        <v>14</v>
      </c>
    </row>
    <row r="2" hidden="1" customHeight="1" spans="46:46">
      <c r="AT2" s="43">
        <v>0</v>
      </c>
    </row>
    <row r="3" s="1220" customFormat="1" ht="5.25" customHeight="1" spans="3:46">
      <c r="C3" s="1226"/>
      <c r="D3" s="1227"/>
      <c r="E3" s="1227"/>
      <c r="F3" s="1227"/>
      <c r="G3" s="1227"/>
      <c r="H3" s="1227" t="s">
        <v>352</v>
      </c>
      <c r="I3" s="1227"/>
      <c r="J3" s="1227"/>
      <c r="K3" s="1227"/>
      <c r="L3" s="1227"/>
      <c r="M3" s="1227"/>
      <c r="N3" s="1227"/>
      <c r="O3" s="1227"/>
      <c r="P3" s="1227"/>
      <c r="Q3" s="1227"/>
      <c r="R3" s="1227"/>
      <c r="S3" s="1227"/>
      <c r="T3" s="1227"/>
      <c r="U3" s="1227"/>
      <c r="V3" s="1227"/>
      <c r="W3" s="1227"/>
      <c r="X3" s="1227"/>
      <c r="Y3" s="1227"/>
      <c r="Z3" s="1227"/>
      <c r="AA3" s="1227"/>
      <c r="AB3" s="1227"/>
      <c r="AC3" s="1227"/>
      <c r="AD3" s="1227"/>
      <c r="AE3" s="1227"/>
      <c r="AF3" s="1227"/>
      <c r="AG3" s="1227"/>
      <c r="AH3" s="1227"/>
      <c r="AJ3" s="44"/>
      <c r="AK3" s="44"/>
      <c r="AL3" s="44"/>
      <c r="AM3" s="44"/>
      <c r="AN3" s="44"/>
      <c r="AO3" s="44"/>
      <c r="AP3" s="44"/>
      <c r="AQ3" s="44"/>
      <c r="AR3" s="44"/>
      <c r="AS3" s="44"/>
      <c r="AT3" s="1220">
        <v>5</v>
      </c>
    </row>
    <row r="4" ht="39.75" customHeight="1" spans="3:46">
      <c r="C4" s="211"/>
      <c r="D4" s="77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773"/>
      <c r="F4" s="773"/>
      <c r="G4" s="773"/>
      <c r="H4" s="773"/>
      <c r="I4" s="773"/>
      <c r="J4" s="773"/>
      <c r="K4" s="773"/>
      <c r="L4" s="773"/>
      <c r="M4" s="773"/>
      <c r="N4" s="773"/>
      <c r="O4" s="773"/>
      <c r="P4" s="773"/>
      <c r="Q4" s="773"/>
      <c r="R4" s="774"/>
      <c r="S4" s="1230"/>
      <c r="T4" s="1231"/>
      <c r="U4" s="1231"/>
      <c r="V4" s="1231"/>
      <c r="W4" s="1231"/>
      <c r="X4" s="1231"/>
      <c r="Y4" s="1231"/>
      <c r="Z4" s="1231"/>
      <c r="AA4" s="1231"/>
      <c r="AB4" s="1231"/>
      <c r="AC4" s="1231"/>
      <c r="AD4" s="1231"/>
      <c r="AE4" s="1211"/>
      <c r="AF4" s="1211"/>
      <c r="AG4" s="1211"/>
      <c r="AH4" s="1211"/>
      <c r="AI4" s="581"/>
      <c r="AT4" s="43">
        <v>38</v>
      </c>
    </row>
    <row r="5" s="43" customFormat="1" ht="18" customHeight="1" spans="1:46">
      <c r="A5" s="575"/>
      <c r="C5" s="211"/>
      <c r="D5" s="775" t="str">
        <f>IF(org=0,"Не определено",org)</f>
        <v>АО "Теплокоммунэнерго"</v>
      </c>
      <c r="E5" s="624"/>
      <c r="F5" s="624"/>
      <c r="G5" s="624"/>
      <c r="H5" s="624"/>
      <c r="I5" s="624"/>
      <c r="J5" s="624"/>
      <c r="K5" s="624"/>
      <c r="L5" s="624"/>
      <c r="M5" s="624"/>
      <c r="N5" s="624"/>
      <c r="O5" s="624"/>
      <c r="P5" s="624"/>
      <c r="Q5" s="624"/>
      <c r="R5" s="776"/>
      <c r="S5" s="1230"/>
      <c r="T5" s="1231"/>
      <c r="U5" s="1231"/>
      <c r="V5" s="1231"/>
      <c r="W5" s="1231"/>
      <c r="X5" s="1231"/>
      <c r="Y5" s="1231"/>
      <c r="Z5" s="1231"/>
      <c r="AA5" s="1231"/>
      <c r="AB5" s="1231"/>
      <c r="AC5" s="1231"/>
      <c r="AD5" s="1231"/>
      <c r="AE5" s="1211"/>
      <c r="AF5" s="1211"/>
      <c r="AG5" s="1211"/>
      <c r="AH5" s="1211"/>
      <c r="AI5" s="581"/>
      <c r="AJ5" s="44"/>
      <c r="AK5" s="44"/>
      <c r="AL5" s="44"/>
      <c r="AM5" s="44"/>
      <c r="AN5" s="44"/>
      <c r="AO5" s="44"/>
      <c r="AP5" s="44"/>
      <c r="AQ5" s="44"/>
      <c r="AR5" s="44"/>
      <c r="AS5" s="44"/>
      <c r="AT5" s="43">
        <v>17</v>
      </c>
    </row>
    <row r="6" s="208" customFormat="1" ht="11.55" customHeight="1" spans="1:46">
      <c r="A6" s="1196"/>
      <c r="C6" s="1197"/>
      <c r="D6" s="1213"/>
      <c r="E6" s="1213"/>
      <c r="F6" s="1213"/>
      <c r="G6" s="1213"/>
      <c r="H6" s="1213"/>
      <c r="I6" s="1213"/>
      <c r="J6" s="1213"/>
      <c r="K6" s="1213"/>
      <c r="L6" s="1213"/>
      <c r="M6" s="1213"/>
      <c r="N6" s="1213"/>
      <c r="O6" s="1213"/>
      <c r="P6" s="1213"/>
      <c r="Q6" s="1213"/>
      <c r="R6" s="577"/>
      <c r="S6" s="577"/>
      <c r="T6" s="1213"/>
      <c r="U6" s="1213"/>
      <c r="V6" s="1232"/>
      <c r="W6" s="1232"/>
      <c r="X6" s="1213"/>
      <c r="Y6" s="1213"/>
      <c r="Z6" s="1232"/>
      <c r="AA6" s="1232"/>
      <c r="AB6" s="1213"/>
      <c r="AC6" s="1232"/>
      <c r="AD6" s="1232"/>
      <c r="AE6" s="1213"/>
      <c r="AF6" s="1213"/>
      <c r="AG6" s="1213"/>
      <c r="AH6" s="1213"/>
      <c r="AJ6" s="44"/>
      <c r="AK6" s="44"/>
      <c r="AL6" s="44"/>
      <c r="AM6" s="44"/>
      <c r="AN6" s="44"/>
      <c r="AO6" s="44"/>
      <c r="AP6" s="44"/>
      <c r="AQ6" s="44"/>
      <c r="AR6" s="44"/>
      <c r="AS6" s="44"/>
      <c r="AT6" s="208">
        <v>11</v>
      </c>
    </row>
    <row r="7" ht="14.7" customHeight="1" spans="3:46">
      <c r="C7" s="211"/>
      <c r="D7" s="132" t="s">
        <v>296</v>
      </c>
      <c r="E7" s="1157"/>
      <c r="F7" s="1157"/>
      <c r="G7" s="1157"/>
      <c r="H7" s="1157"/>
      <c r="I7" s="1157"/>
      <c r="J7" s="1157"/>
      <c r="K7" s="1157"/>
      <c r="L7" s="1157"/>
      <c r="M7" s="1157"/>
      <c r="N7" s="1157"/>
      <c r="O7" s="1157"/>
      <c r="P7" s="1157"/>
      <c r="Q7" s="1157"/>
      <c r="R7" s="1157"/>
      <c r="S7" s="1157"/>
      <c r="T7" s="1157"/>
      <c r="U7" s="1157"/>
      <c r="V7" s="1157"/>
      <c r="W7" s="1157"/>
      <c r="X7" s="1157"/>
      <c r="Y7" s="1157"/>
      <c r="Z7" s="1157"/>
      <c r="AA7" s="1157"/>
      <c r="AB7" s="1157"/>
      <c r="AC7" s="1157"/>
      <c r="AD7" s="133"/>
      <c r="AE7" s="131" t="s">
        <v>297</v>
      </c>
      <c r="AF7" s="131" t="s">
        <v>297</v>
      </c>
      <c r="AG7" s="131" t="s">
        <v>297</v>
      </c>
      <c r="AH7" s="131" t="s">
        <v>297</v>
      </c>
      <c r="AT7" s="43">
        <v>14</v>
      </c>
    </row>
    <row r="8" ht="27.3" customHeight="1" spans="3:46">
      <c r="C8" s="211"/>
      <c r="D8" s="64" t="s">
        <v>89</v>
      </c>
      <c r="E8" s="131" t="str">
        <f>"Наименование "&amp;IF(TEMPLATE_SPHERE&lt;&gt;"HEAT","централизованной ","")&amp;"системы "&amp;TEMPLATE_SPHERE_RUS</f>
        <v>Наименование системы теплоснабжения</v>
      </c>
      <c r="F8" s="131" t="str">
        <f>IF(TEMPLATE_SPHERE&lt;&gt;"HEAT","Регулируемый вид деятельности","Вид регулируемой деятельности")</f>
        <v>Вид регулируемой деятельности</v>
      </c>
      <c r="G8" s="469"/>
      <c r="H8" s="469" t="s">
        <v>353</v>
      </c>
      <c r="I8" s="1175" t="s">
        <v>354</v>
      </c>
      <c r="J8" s="131" t="s">
        <v>355</v>
      </c>
      <c r="K8" s="131"/>
      <c r="L8" s="131"/>
      <c r="M8" s="132"/>
      <c r="N8" s="131" t="s">
        <v>356</v>
      </c>
      <c r="O8" s="131"/>
      <c r="P8" s="131" t="s">
        <v>357</v>
      </c>
      <c r="Q8" s="131"/>
      <c r="R8" s="1176" t="s">
        <v>358</v>
      </c>
      <c r="S8" s="1176"/>
      <c r="T8" s="469" t="s">
        <v>359</v>
      </c>
      <c r="U8" s="469" t="s">
        <v>360</v>
      </c>
      <c r="V8" s="469" t="s">
        <v>361</v>
      </c>
      <c r="W8" s="469"/>
      <c r="X8" s="469" t="s">
        <v>362</v>
      </c>
      <c r="Y8" s="469" t="s">
        <v>363</v>
      </c>
      <c r="Z8" s="469" t="s">
        <v>364</v>
      </c>
      <c r="AA8" s="469"/>
      <c r="AB8" s="469" t="s">
        <v>365</v>
      </c>
      <c r="AC8" s="469" t="s">
        <v>358</v>
      </c>
      <c r="AD8" s="469"/>
      <c r="AE8" s="131"/>
      <c r="AF8" s="131"/>
      <c r="AG8" s="131"/>
      <c r="AH8" s="131"/>
      <c r="AT8" s="43">
        <v>26</v>
      </c>
    </row>
    <row r="9" ht="46.2" customHeight="1" spans="3:46">
      <c r="C9" s="211"/>
      <c r="D9" s="64"/>
      <c r="E9" s="131"/>
      <c r="F9" s="131"/>
      <c r="G9" s="294"/>
      <c r="H9" s="294"/>
      <c r="I9" s="1177"/>
      <c r="J9" s="131" t="s">
        <v>366</v>
      </c>
      <c r="K9" s="131" t="s">
        <v>367</v>
      </c>
      <c r="L9" s="131" t="s">
        <v>368</v>
      </c>
      <c r="M9" s="132" t="s">
        <v>369</v>
      </c>
      <c r="N9" s="131" t="s">
        <v>370</v>
      </c>
      <c r="O9" s="131" t="s">
        <v>369</v>
      </c>
      <c r="P9" s="131" t="s">
        <v>371</v>
      </c>
      <c r="Q9" s="131" t="s">
        <v>369</v>
      </c>
      <c r="R9" s="1178"/>
      <c r="S9" s="1178"/>
      <c r="T9" s="294"/>
      <c r="U9" s="294"/>
      <c r="V9" s="294"/>
      <c r="W9" s="294"/>
      <c r="X9" s="294"/>
      <c r="Y9" s="294"/>
      <c r="Z9" s="294"/>
      <c r="AA9" s="294"/>
      <c r="AB9" s="294"/>
      <c r="AC9" s="294"/>
      <c r="AD9" s="294"/>
      <c r="AE9" s="131"/>
      <c r="AF9" s="131"/>
      <c r="AG9" s="131"/>
      <c r="AH9" s="131"/>
      <c r="AT9" s="43">
        <v>44</v>
      </c>
    </row>
    <row r="10" ht="12" hidden="1" customHeight="1" spans="3:46">
      <c r="C10" s="1200"/>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43"/>
      <c r="AP10" s="151"/>
      <c r="AQ10" s="151"/>
      <c r="AT10" s="43">
        <v>0</v>
      </c>
    </row>
    <row r="11" s="37" customFormat="1" ht="11.25" hidden="1" customHeight="1" spans="3:46">
      <c r="C11" s="1142"/>
      <c r="D11" s="1228" t="s">
        <v>372</v>
      </c>
      <c r="E11" s="1228"/>
      <c r="F11" s="1228"/>
      <c r="G11" s="1228"/>
      <c r="H11" s="1021"/>
      <c r="I11" s="1021"/>
      <c r="J11" s="1021"/>
      <c r="K11" s="1021"/>
      <c r="L11" s="1021"/>
      <c r="M11" s="1021"/>
      <c r="N11" s="1021"/>
      <c r="O11" s="1021"/>
      <c r="P11" s="1021"/>
      <c r="Q11" s="1021"/>
      <c r="R11" s="1021"/>
      <c r="S11" s="1021"/>
      <c r="T11" s="1021"/>
      <c r="U11" s="1021"/>
      <c r="V11" s="1021"/>
      <c r="W11" s="1021"/>
      <c r="X11" s="1021"/>
      <c r="Y11" s="1021"/>
      <c r="Z11" s="1021"/>
      <c r="AA11" s="1021"/>
      <c r="AB11" s="1021"/>
      <c r="AC11" s="1021"/>
      <c r="AD11" s="1021"/>
      <c r="AE11" s="6"/>
      <c r="AF11" s="6"/>
      <c r="AG11" s="6"/>
      <c r="AH11" s="6"/>
      <c r="AJ11" s="44"/>
      <c r="AK11" s="44"/>
      <c r="AL11" s="44"/>
      <c r="AM11" s="44"/>
      <c r="AN11" s="44"/>
      <c r="AO11" s="44"/>
      <c r="AP11" s="44"/>
      <c r="AQ11" s="44"/>
      <c r="AR11" s="44"/>
      <c r="AS11" s="44"/>
      <c r="AT11" s="37">
        <v>0</v>
      </c>
    </row>
    <row r="12" ht="14.7" customHeight="1" spans="1:46">
      <c r="A12" s="43"/>
      <c r="C12" s="211"/>
      <c r="D12" s="260" t="s">
        <v>107</v>
      </c>
      <c r="E12" s="261" t="s">
        <v>22</v>
      </c>
      <c r="F12" s="99"/>
      <c r="G12" s="262"/>
      <c r="H12" s="263"/>
      <c r="I12" s="263"/>
      <c r="J12" s="284"/>
      <c r="K12" s="285"/>
      <c r="L12" s="286"/>
      <c r="M12" s="285"/>
      <c r="N12" s="284"/>
      <c r="O12" s="285"/>
      <c r="P12" s="284"/>
      <c r="Q12" s="285"/>
      <c r="R12" s="284"/>
      <c r="S12" s="293"/>
      <c r="T12" s="263"/>
      <c r="U12" s="284"/>
      <c r="V12" s="284"/>
      <c r="W12" s="294"/>
      <c r="X12" s="263"/>
      <c r="Y12" s="284"/>
      <c r="Z12" s="284"/>
      <c r="AA12" s="294"/>
      <c r="AB12" s="263"/>
      <c r="AC12" s="284"/>
      <c r="AD12" s="294"/>
      <c r="AE12" s="1214" t="s">
        <v>373</v>
      </c>
      <c r="AF12" s="1214" t="s">
        <v>374</v>
      </c>
      <c r="AG12" s="1214" t="s">
        <v>375</v>
      </c>
      <c r="AH12" s="1214" t="s">
        <v>376</v>
      </c>
      <c r="AI12" s="43"/>
      <c r="AP12" s="151" t="s">
        <v>377</v>
      </c>
      <c r="AQ12" s="151" t="s">
        <v>377</v>
      </c>
      <c r="AT12" s="43">
        <v>14</v>
      </c>
    </row>
    <row r="13" ht="18" customHeight="1" spans="1:46">
      <c r="A13" s="43"/>
      <c r="C13" s="211"/>
      <c r="D13" s="571"/>
      <c r="E13" s="1225" t="str">
        <f>IF(TITLE_DIFFERENTIATION_TYPE="нет","","Добавить систему")</f>
        <v/>
      </c>
      <c r="F13" s="1225" t="str">
        <f>IF(TITLE_DIFFERENTIATION_TYPE="нет","Добавить вид деятельности","")</f>
        <v>Добавить вид деятельности</v>
      </c>
      <c r="G13" s="1108"/>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33"/>
      <c r="AE13" s="1219"/>
      <c r="AF13" s="1219"/>
      <c r="AG13" s="1219"/>
      <c r="AH13" s="1219"/>
      <c r="AI13" s="43"/>
      <c r="AT13" s="43">
        <v>17</v>
      </c>
    </row>
    <row r="14" ht="14.7" customHeight="1" spans="35:46">
      <c r="AI14" s="43"/>
      <c r="AT14" s="43">
        <v>14</v>
      </c>
    </row>
    <row r="15" ht="14.7" customHeight="1" spans="46:46">
      <c r="AT15" s="43">
        <v>14</v>
      </c>
    </row>
    <row r="16" ht="14.7" customHeight="1" spans="46:46">
      <c r="AT16" s="43">
        <v>14</v>
      </c>
    </row>
    <row r="17" ht="14.7" customHeight="1" spans="46:46">
      <c r="AT17" s="43">
        <v>14</v>
      </c>
    </row>
    <row r="18" ht="22.5" hidden="1" customHeight="1" spans="1:46">
      <c r="A18" s="575" t="s">
        <v>83</v>
      </c>
      <c r="B18" s="43">
        <v>0</v>
      </c>
      <c r="C18" s="217">
        <v>3</v>
      </c>
      <c r="D18" s="43">
        <v>5</v>
      </c>
      <c r="E18" s="43">
        <v>48</v>
      </c>
      <c r="F18" s="43">
        <v>38</v>
      </c>
      <c r="G18" s="43">
        <v>0</v>
      </c>
      <c r="H18" s="43">
        <v>0</v>
      </c>
      <c r="I18" s="43">
        <v>0</v>
      </c>
      <c r="J18" s="43">
        <v>0</v>
      </c>
      <c r="K18" s="43">
        <v>0</v>
      </c>
      <c r="L18" s="43">
        <v>0</v>
      </c>
      <c r="M18" s="43">
        <v>0</v>
      </c>
      <c r="N18" s="43">
        <v>0</v>
      </c>
      <c r="O18" s="43">
        <v>0</v>
      </c>
      <c r="P18" s="43">
        <v>0</v>
      </c>
      <c r="Q18" s="43">
        <v>0</v>
      </c>
      <c r="R18" s="43">
        <v>0</v>
      </c>
      <c r="S18" s="43">
        <v>0</v>
      </c>
      <c r="T18" s="43">
        <v>0</v>
      </c>
      <c r="U18" s="43">
        <v>0</v>
      </c>
      <c r="V18" s="43">
        <v>0</v>
      </c>
      <c r="W18" s="43">
        <v>0</v>
      </c>
      <c r="X18" s="43">
        <v>0</v>
      </c>
      <c r="Y18" s="43">
        <v>0</v>
      </c>
      <c r="Z18" s="43">
        <v>0</v>
      </c>
      <c r="AA18" s="43">
        <v>0</v>
      </c>
      <c r="AB18" s="43">
        <v>0</v>
      </c>
      <c r="AC18" s="43">
        <v>0</v>
      </c>
      <c r="AD18" s="43">
        <v>0</v>
      </c>
      <c r="AE18" s="43">
        <v>0</v>
      </c>
      <c r="AF18" s="43">
        <v>0</v>
      </c>
      <c r="AG18" s="43">
        <v>0</v>
      </c>
      <c r="AH18" s="43">
        <v>0</v>
      </c>
      <c r="AI18" s="206">
        <v>3</v>
      </c>
      <c r="AJ18" s="44">
        <v>10</v>
      </c>
      <c r="AK18" s="44">
        <v>10</v>
      </c>
      <c r="AL18" s="44">
        <v>10</v>
      </c>
      <c r="AM18" s="44">
        <v>0</v>
      </c>
      <c r="AN18" s="44">
        <v>15</v>
      </c>
      <c r="AO18" s="44">
        <v>16</v>
      </c>
      <c r="AP18" s="44">
        <v>10</v>
      </c>
      <c r="AQ18" s="44">
        <v>10</v>
      </c>
      <c r="AR18" s="44">
        <v>10</v>
      </c>
      <c r="AS18" s="44">
        <v>10</v>
      </c>
      <c r="AT18" s="43">
        <v>23</v>
      </c>
    </row>
  </sheetData>
  <sheetProtection formatColumns="0" formatRows="0" insertRows="0" deleteColumns="0" deleteRows="0" sort="0" autoFilter="0"/>
  <mergeCells count="32">
    <mergeCell ref="H1:R1"/>
    <mergeCell ref="T1:V1"/>
    <mergeCell ref="X1:Z1"/>
    <mergeCell ref="AB1:AC1"/>
    <mergeCell ref="D4:R4"/>
    <mergeCell ref="D5:R5"/>
    <mergeCell ref="D7:AD7"/>
    <mergeCell ref="J8:M8"/>
    <mergeCell ref="N8:O8"/>
    <mergeCell ref="P8:Q8"/>
    <mergeCell ref="D8:D9"/>
    <mergeCell ref="E8:E9"/>
    <mergeCell ref="F8:F9"/>
    <mergeCell ref="H8:H9"/>
    <mergeCell ref="I8:I9"/>
    <mergeCell ref="R8:R9"/>
    <mergeCell ref="T8:T9"/>
    <mergeCell ref="U8:U9"/>
    <mergeCell ref="V8:V9"/>
    <mergeCell ref="X8:X9"/>
    <mergeCell ref="Y8:Y9"/>
    <mergeCell ref="Z8:Z9"/>
    <mergeCell ref="AB8:AB9"/>
    <mergeCell ref="AC8:AC9"/>
    <mergeCell ref="AE7:AE9"/>
    <mergeCell ref="AE12:AE13"/>
    <mergeCell ref="AF7:AF9"/>
    <mergeCell ref="AF12:AF13"/>
    <mergeCell ref="AG7:AG9"/>
    <mergeCell ref="AG12:AG13"/>
    <mergeCell ref="AH7:AH9"/>
    <mergeCell ref="AH12:AH13"/>
  </mergeCells>
  <dataValidations count="6">
    <dataValidation allowBlank="1" showErrorMessage="1" errorTitle="Ошибка" error="Допускается ввод только неотрицательных чисел!" sqref="E11:G11"/>
    <dataValidation type="decimal" operator="between" allowBlank="1" showErrorMessage="1" errorTitle="Ошибка" error="Допускается ввод только неотрицательных чисел!" sqref="H11:AD11 H12:I12 K12 M12 O12 Q12 T12 X12 AB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operator="between" allowBlank="1" showErrorMessage="1" errorTitle="Ошибка" error="Допускается ввод только неотрицательных целых чисел!" sqref="J12 N12 P12 R12:S12 U12:V12 Y12:Z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2"/>
  <sheetViews>
    <sheetView showGridLines="0" workbookViewId="0">
      <selection activeCell="A1" sqref="A1"/>
    </sheetView>
  </sheetViews>
  <sheetFormatPr defaultColWidth="9.14285714285714" defaultRowHeight="11.25" customHeight="1" outlineLevelRow="1" outlineLevelCol="1"/>
  <cols>
    <col min="1" max="2" width="9.14285714285714" style="17"/>
  </cols>
  <sheetData>
    <row r="1" customHeight="1" spans="1:2">
      <c r="A1" s="17" t="s">
        <v>128</v>
      </c>
      <c r="B1" s="17" t="s">
        <v>5996</v>
      </c>
    </row>
    <row r="2" customHeight="1" spans="1:2">
      <c r="A2" s="12" t="s">
        <v>99</v>
      </c>
      <c r="B2" s="12" t="s">
        <v>5997</v>
      </c>
    </row>
  </sheetData>
  <sheetProtection insertRows="0" deleteColumns="0" deleteRows="0" sort="0" autoFilter="0"/>
  <pageMargins left="0.7" right="0.7" top="0.75" bottom="0.75" header="0.3" footer="0.3"/>
  <pageSetup paperSize="1" orientation="portrait"/>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11"/>
  <sheetViews>
    <sheetView showGridLines="0" workbookViewId="0">
      <selection activeCell="A1" sqref="A1"/>
    </sheetView>
  </sheetViews>
  <sheetFormatPr defaultColWidth="9.14285714285714" defaultRowHeight="11.25" customHeight="1" outlineLevelCol="1"/>
  <cols>
    <col min="1" max="1" width="9.14285714285714" style="4"/>
    <col min="2" max="2" width="65.2857142857143" style="4" customWidth="1"/>
  </cols>
  <sheetData>
    <row r="1" customHeight="1" spans="1:2">
      <c r="A1" s="4" t="s">
        <v>5998</v>
      </c>
      <c r="B1" s="4" t="s">
        <v>5999</v>
      </c>
    </row>
    <row r="2" customHeight="1" spans="1:2">
      <c r="A2" s="4">
        <v>4213775</v>
      </c>
      <c r="B2" s="4" t="s">
        <v>1427</v>
      </c>
    </row>
    <row r="3" customHeight="1" spans="1:2">
      <c r="A3" s="4">
        <v>4213784</v>
      </c>
      <c r="B3" s="4" t="s">
        <v>1461</v>
      </c>
    </row>
    <row r="4" customHeight="1" spans="1:2">
      <c r="A4" s="4">
        <v>4213781</v>
      </c>
      <c r="B4" s="4" t="s">
        <v>1454</v>
      </c>
    </row>
    <row r="5" customHeight="1" spans="1:2">
      <c r="A5" s="4">
        <v>4213776</v>
      </c>
      <c r="B5" s="4" t="s">
        <v>164</v>
      </c>
    </row>
    <row r="6" customHeight="1" spans="1:2">
      <c r="A6" s="4">
        <v>4213777</v>
      </c>
      <c r="B6" s="4" t="s">
        <v>170</v>
      </c>
    </row>
    <row r="7" customHeight="1" spans="1:2">
      <c r="A7" s="4">
        <v>4213778</v>
      </c>
      <c r="B7" s="4" t="s">
        <v>176</v>
      </c>
    </row>
    <row r="8" customHeight="1" spans="1:2">
      <c r="A8" s="4">
        <v>4213780</v>
      </c>
      <c r="B8" s="4" t="s">
        <v>182</v>
      </c>
    </row>
    <row r="9" customHeight="1" spans="1:2">
      <c r="A9" s="4">
        <v>4213779</v>
      </c>
      <c r="B9" s="4" t="s">
        <v>1595</v>
      </c>
    </row>
    <row r="10" customHeight="1" spans="1:2">
      <c r="A10" s="4">
        <v>4213783</v>
      </c>
      <c r="B10" s="4" t="s">
        <v>1610</v>
      </c>
    </row>
    <row r="11" customHeight="1" spans="1:2">
      <c r="A11" s="4">
        <v>4213782</v>
      </c>
      <c r="B11" s="4" t="s">
        <v>188</v>
      </c>
    </row>
  </sheetData>
  <sheetProtection insertRows="0" deleteColumns="0" deleteRows="0" sort="0" autoFilter="0"/>
  <pageMargins left="0.7" right="0.7" top="0.75" bottom="0.75" header="0.3" footer="0.3"/>
  <pageSetup paperSize="1" orientation="portrait"/>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11"/>
  <sheetViews>
    <sheetView showGridLines="0" workbookViewId="0">
      <selection activeCell="A1" sqref="A1"/>
    </sheetView>
  </sheetViews>
  <sheetFormatPr defaultColWidth="9.14285714285714" defaultRowHeight="11.25" customHeight="1" outlineLevelCol="1"/>
  <cols>
    <col min="1" max="1" width="9.14285714285714" style="4"/>
  </cols>
  <sheetData>
    <row r="1" customHeight="1" spans="1:2">
      <c r="A1" s="4" t="s">
        <v>5998</v>
      </c>
      <c r="B1" s="12" t="s">
        <v>6000</v>
      </c>
    </row>
    <row r="2" customHeight="1" spans="1:2">
      <c r="A2" s="4" t="s">
        <v>6001</v>
      </c>
      <c r="B2" t="s">
        <v>1706</v>
      </c>
    </row>
    <row r="3" customHeight="1" spans="1:2">
      <c r="A3" s="4" t="s">
        <v>6002</v>
      </c>
      <c r="B3" t="s">
        <v>1715</v>
      </c>
    </row>
    <row r="4" customHeight="1" spans="1:2">
      <c r="A4" s="4" t="s">
        <v>6003</v>
      </c>
      <c r="B4" t="s">
        <v>1723</v>
      </c>
    </row>
    <row r="5" customHeight="1" spans="1:2">
      <c r="A5" s="4" t="s">
        <v>6004</v>
      </c>
      <c r="B5" t="s">
        <v>1732</v>
      </c>
    </row>
    <row r="6" customHeight="1" spans="1:2">
      <c r="A6" s="4" t="s">
        <v>6005</v>
      </c>
      <c r="B6" t="s">
        <v>1737</v>
      </c>
    </row>
    <row r="7" customHeight="1" spans="1:2">
      <c r="A7" s="4" t="s">
        <v>6006</v>
      </c>
      <c r="B7" t="s">
        <v>1744</v>
      </c>
    </row>
    <row r="8" customHeight="1" spans="1:2">
      <c r="A8" s="4" t="s">
        <v>6007</v>
      </c>
      <c r="B8" t="s">
        <v>1750</v>
      </c>
    </row>
    <row r="9" customHeight="1" spans="1:2">
      <c r="A9" s="4" t="s">
        <v>6008</v>
      </c>
      <c r="B9" t="s">
        <v>1755</v>
      </c>
    </row>
    <row r="10" customHeight="1" spans="1:2">
      <c r="A10" s="4" t="s">
        <v>6009</v>
      </c>
      <c r="B10" t="s">
        <v>1758</v>
      </c>
    </row>
    <row r="11" customHeight="1" spans="1:2">
      <c r="A11" s="4" t="s">
        <v>6010</v>
      </c>
      <c r="B11" t="s">
        <v>1764</v>
      </c>
    </row>
  </sheetData>
  <sheetProtection insertRows="0" deleteColumns="0" deleteRows="0" sort="0" autoFilter="0"/>
  <pageMargins left="0.7" right="0.7" top="0.75" bottom="0.75" header="0.3" footer="0.3"/>
  <pageSetup paperSize="1" orientation="portrait"/>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D708"/>
  <sheetViews>
    <sheetView showGridLines="0" workbookViewId="0">
      <selection activeCell="A1" sqref="A1"/>
    </sheetView>
  </sheetViews>
  <sheetFormatPr defaultColWidth="9" defaultRowHeight="11.25" customHeight="1" outlineLevelCol="3"/>
  <sheetData>
    <row r="1" customHeight="1" spans="1:4">
      <c r="A1" t="s">
        <v>3423</v>
      </c>
      <c r="B1" t="s">
        <v>3418</v>
      </c>
      <c r="C1" t="s">
        <v>3420</v>
      </c>
      <c r="D1" t="s">
        <v>3421</v>
      </c>
    </row>
    <row r="2" customHeight="1" spans="1:4">
      <c r="A2">
        <v>1</v>
      </c>
      <c r="B2" t="s">
        <v>6011</v>
      </c>
      <c r="C2" t="s">
        <v>6011</v>
      </c>
      <c r="D2" t="s">
        <v>6012</v>
      </c>
    </row>
    <row r="3" customHeight="1" spans="1:4">
      <c r="A3">
        <v>2</v>
      </c>
      <c r="B3" t="s">
        <v>6011</v>
      </c>
      <c r="C3" t="s">
        <v>6013</v>
      </c>
      <c r="D3" t="s">
        <v>6014</v>
      </c>
    </row>
    <row r="4" customHeight="1" spans="1:4">
      <c r="A4">
        <v>3</v>
      </c>
      <c r="B4" t="s">
        <v>6011</v>
      </c>
      <c r="C4" t="s">
        <v>6015</v>
      </c>
      <c r="D4" t="s">
        <v>6016</v>
      </c>
    </row>
    <row r="5" customHeight="1" spans="1:4">
      <c r="A5">
        <v>4</v>
      </c>
      <c r="B5" t="s">
        <v>6011</v>
      </c>
      <c r="C5" t="s">
        <v>6017</v>
      </c>
      <c r="D5" t="s">
        <v>6018</v>
      </c>
    </row>
    <row r="6" customHeight="1" spans="1:4">
      <c r="A6">
        <v>5</v>
      </c>
      <c r="B6" t="s">
        <v>6011</v>
      </c>
      <c r="C6" t="s">
        <v>6019</v>
      </c>
      <c r="D6" t="s">
        <v>6020</v>
      </c>
    </row>
    <row r="7" customHeight="1" spans="1:4">
      <c r="A7">
        <v>6</v>
      </c>
      <c r="B7" t="s">
        <v>6011</v>
      </c>
      <c r="C7" t="s">
        <v>6021</v>
      </c>
      <c r="D7" t="s">
        <v>6022</v>
      </c>
    </row>
    <row r="8" customHeight="1" spans="1:4">
      <c r="A8">
        <v>7</v>
      </c>
      <c r="B8" t="s">
        <v>6011</v>
      </c>
      <c r="C8" t="s">
        <v>6023</v>
      </c>
      <c r="D8" t="s">
        <v>6024</v>
      </c>
    </row>
    <row r="9" customHeight="1" spans="1:4">
      <c r="A9">
        <v>8</v>
      </c>
      <c r="B9" t="s">
        <v>6011</v>
      </c>
      <c r="C9" t="s">
        <v>6025</v>
      </c>
      <c r="D9" t="s">
        <v>6026</v>
      </c>
    </row>
    <row r="10" customHeight="1" spans="1:4">
      <c r="A10">
        <v>9</v>
      </c>
      <c r="B10" t="s">
        <v>6011</v>
      </c>
      <c r="C10" t="s">
        <v>6027</v>
      </c>
      <c r="D10" t="s">
        <v>6028</v>
      </c>
    </row>
    <row r="11" customHeight="1" spans="1:4">
      <c r="A11">
        <v>10</v>
      </c>
      <c r="B11" t="s">
        <v>6011</v>
      </c>
      <c r="C11" t="s">
        <v>6029</v>
      </c>
      <c r="D11" t="s">
        <v>6030</v>
      </c>
    </row>
    <row r="12" customHeight="1" spans="1:4">
      <c r="A12">
        <v>11</v>
      </c>
      <c r="B12" t="s">
        <v>6011</v>
      </c>
      <c r="C12" t="s">
        <v>6031</v>
      </c>
      <c r="D12" t="s">
        <v>6032</v>
      </c>
    </row>
    <row r="13" customHeight="1" spans="1:4">
      <c r="A13">
        <v>13</v>
      </c>
      <c r="B13" t="s">
        <v>6011</v>
      </c>
      <c r="C13" t="s">
        <v>6033</v>
      </c>
      <c r="D13" t="s">
        <v>6034</v>
      </c>
    </row>
    <row r="14" customHeight="1" spans="1:4">
      <c r="A14">
        <v>14</v>
      </c>
      <c r="B14" t="s">
        <v>6011</v>
      </c>
      <c r="C14" t="s">
        <v>6035</v>
      </c>
      <c r="D14" t="s">
        <v>6036</v>
      </c>
    </row>
    <row r="15" customHeight="1" spans="1:4">
      <c r="A15">
        <v>15</v>
      </c>
      <c r="B15" t="s">
        <v>6011</v>
      </c>
      <c r="C15" t="s">
        <v>6037</v>
      </c>
      <c r="D15" t="s">
        <v>6038</v>
      </c>
    </row>
    <row r="16" customHeight="1" spans="1:4">
      <c r="A16">
        <v>16</v>
      </c>
      <c r="B16" t="s">
        <v>6011</v>
      </c>
      <c r="C16" t="s">
        <v>6039</v>
      </c>
      <c r="D16" t="s">
        <v>6040</v>
      </c>
    </row>
    <row r="17" customHeight="1" spans="1:4">
      <c r="A17">
        <v>17</v>
      </c>
      <c r="B17" t="s">
        <v>6011</v>
      </c>
      <c r="C17" t="s">
        <v>6041</v>
      </c>
      <c r="D17" t="s">
        <v>6042</v>
      </c>
    </row>
    <row r="18" customHeight="1" spans="1:4">
      <c r="A18">
        <v>18</v>
      </c>
      <c r="B18" t="s">
        <v>6011</v>
      </c>
      <c r="C18" t="s">
        <v>6043</v>
      </c>
      <c r="D18" t="s">
        <v>6044</v>
      </c>
    </row>
    <row r="19" customHeight="1" spans="1:4">
      <c r="A19">
        <v>19</v>
      </c>
      <c r="B19" t="s">
        <v>6011</v>
      </c>
      <c r="C19" t="s">
        <v>6045</v>
      </c>
      <c r="D19" t="s">
        <v>6046</v>
      </c>
    </row>
    <row r="20" customHeight="1" spans="1:4">
      <c r="A20">
        <v>20</v>
      </c>
      <c r="B20" t="s">
        <v>6011</v>
      </c>
      <c r="C20" t="s">
        <v>6047</v>
      </c>
      <c r="D20" t="s">
        <v>6048</v>
      </c>
    </row>
    <row r="21" customHeight="1" spans="1:4">
      <c r="A21">
        <v>21</v>
      </c>
      <c r="B21" t="s">
        <v>6049</v>
      </c>
      <c r="C21" t="s">
        <v>6050</v>
      </c>
      <c r="D21" t="s">
        <v>6051</v>
      </c>
    </row>
    <row r="22" customHeight="1" spans="1:4">
      <c r="A22">
        <v>22</v>
      </c>
      <c r="B22" t="s">
        <v>6049</v>
      </c>
      <c r="C22" t="s">
        <v>6049</v>
      </c>
      <c r="D22" t="s">
        <v>6052</v>
      </c>
    </row>
    <row r="23" customHeight="1" spans="1:4">
      <c r="A23">
        <v>23</v>
      </c>
      <c r="B23" t="s">
        <v>6049</v>
      </c>
      <c r="C23" t="s">
        <v>6053</v>
      </c>
      <c r="D23" t="s">
        <v>6054</v>
      </c>
    </row>
    <row r="24" customHeight="1" spans="1:4">
      <c r="A24">
        <v>24</v>
      </c>
      <c r="B24" t="s">
        <v>6049</v>
      </c>
      <c r="C24" t="s">
        <v>6055</v>
      </c>
      <c r="D24" t="s">
        <v>6056</v>
      </c>
    </row>
    <row r="25" customHeight="1" spans="1:4">
      <c r="A25">
        <v>25</v>
      </c>
      <c r="B25" t="s">
        <v>6049</v>
      </c>
      <c r="C25" t="s">
        <v>6057</v>
      </c>
      <c r="D25" t="s">
        <v>6058</v>
      </c>
    </row>
    <row r="26" customHeight="1" spans="1:4">
      <c r="A26">
        <v>26</v>
      </c>
      <c r="B26" t="s">
        <v>6049</v>
      </c>
      <c r="C26" t="s">
        <v>6059</v>
      </c>
      <c r="D26" t="s">
        <v>6060</v>
      </c>
    </row>
    <row r="27" customHeight="1" spans="1:4">
      <c r="A27">
        <v>27</v>
      </c>
      <c r="B27" t="s">
        <v>6049</v>
      </c>
      <c r="C27" t="s">
        <v>6061</v>
      </c>
      <c r="D27" t="s">
        <v>6062</v>
      </c>
    </row>
    <row r="28" customHeight="1" spans="1:4">
      <c r="A28">
        <v>28</v>
      </c>
      <c r="B28" t="s">
        <v>6049</v>
      </c>
      <c r="C28" t="s">
        <v>6063</v>
      </c>
      <c r="D28" t="s">
        <v>6064</v>
      </c>
    </row>
    <row r="29" customHeight="1" spans="1:4">
      <c r="A29">
        <v>29</v>
      </c>
      <c r="B29" t="s">
        <v>6049</v>
      </c>
      <c r="C29" t="s">
        <v>6065</v>
      </c>
      <c r="D29" t="s">
        <v>6066</v>
      </c>
    </row>
    <row r="30" customHeight="1" spans="1:4">
      <c r="A30">
        <v>30</v>
      </c>
      <c r="B30" t="s">
        <v>6049</v>
      </c>
      <c r="C30" t="s">
        <v>6067</v>
      </c>
      <c r="D30" t="s">
        <v>6068</v>
      </c>
    </row>
    <row r="31" customHeight="1" spans="1:4">
      <c r="A31">
        <v>31</v>
      </c>
      <c r="B31" t="s">
        <v>6049</v>
      </c>
      <c r="C31" t="s">
        <v>6069</v>
      </c>
      <c r="D31" t="s">
        <v>6070</v>
      </c>
    </row>
    <row r="32" customHeight="1" spans="1:4">
      <c r="A32">
        <v>32</v>
      </c>
      <c r="B32" t="s">
        <v>6071</v>
      </c>
      <c r="C32" t="s">
        <v>6071</v>
      </c>
      <c r="D32" t="s">
        <v>6072</v>
      </c>
    </row>
    <row r="33" customHeight="1" spans="1:4">
      <c r="A33">
        <v>33</v>
      </c>
      <c r="B33" t="s">
        <v>6071</v>
      </c>
      <c r="C33" t="s">
        <v>6073</v>
      </c>
      <c r="D33" t="s">
        <v>6074</v>
      </c>
    </row>
    <row r="34" customHeight="1" spans="1:4">
      <c r="A34">
        <v>34</v>
      </c>
      <c r="B34" t="s">
        <v>6071</v>
      </c>
      <c r="C34" t="s">
        <v>6075</v>
      </c>
      <c r="D34" t="s">
        <v>6076</v>
      </c>
    </row>
    <row r="35" customHeight="1" spans="1:4">
      <c r="A35">
        <v>35</v>
      </c>
      <c r="B35" t="s">
        <v>6071</v>
      </c>
      <c r="C35" t="s">
        <v>6077</v>
      </c>
      <c r="D35" t="s">
        <v>6078</v>
      </c>
    </row>
    <row r="36" customHeight="1" spans="1:4">
      <c r="A36">
        <v>36</v>
      </c>
      <c r="B36" t="s">
        <v>6071</v>
      </c>
      <c r="C36" t="s">
        <v>6079</v>
      </c>
      <c r="D36" t="s">
        <v>6080</v>
      </c>
    </row>
    <row r="37" customHeight="1" spans="1:4">
      <c r="A37">
        <v>37</v>
      </c>
      <c r="B37" t="s">
        <v>6071</v>
      </c>
      <c r="C37" t="s">
        <v>6081</v>
      </c>
      <c r="D37" t="s">
        <v>6082</v>
      </c>
    </row>
    <row r="38" customHeight="1" spans="1:4">
      <c r="A38">
        <v>38</v>
      </c>
      <c r="B38" t="s">
        <v>6071</v>
      </c>
      <c r="C38" t="s">
        <v>6037</v>
      </c>
      <c r="D38" t="s">
        <v>6083</v>
      </c>
    </row>
    <row r="39" customHeight="1" spans="1:4">
      <c r="A39">
        <v>39</v>
      </c>
      <c r="B39" t="s">
        <v>6071</v>
      </c>
      <c r="C39" t="s">
        <v>6084</v>
      </c>
      <c r="D39" t="s">
        <v>6085</v>
      </c>
    </row>
    <row r="40" customHeight="1" spans="1:4">
      <c r="A40">
        <v>40</v>
      </c>
      <c r="B40" t="s">
        <v>6071</v>
      </c>
      <c r="C40" t="s">
        <v>6086</v>
      </c>
      <c r="D40" t="s">
        <v>6087</v>
      </c>
    </row>
    <row r="41" customHeight="1" spans="1:4">
      <c r="A41">
        <v>41</v>
      </c>
      <c r="B41" t="s">
        <v>6088</v>
      </c>
      <c r="C41" t="s">
        <v>6088</v>
      </c>
      <c r="D41" t="s">
        <v>6089</v>
      </c>
    </row>
    <row r="42" customHeight="1" spans="1:4">
      <c r="A42">
        <v>42</v>
      </c>
      <c r="B42" t="s">
        <v>6088</v>
      </c>
      <c r="C42" t="s">
        <v>6090</v>
      </c>
      <c r="D42" t="s">
        <v>6091</v>
      </c>
    </row>
    <row r="43" customHeight="1" spans="1:4">
      <c r="A43">
        <v>43</v>
      </c>
      <c r="B43" t="s">
        <v>6088</v>
      </c>
      <c r="C43" t="s">
        <v>6092</v>
      </c>
      <c r="D43" t="s">
        <v>6093</v>
      </c>
    </row>
    <row r="44" customHeight="1" spans="1:4">
      <c r="A44">
        <v>44</v>
      </c>
      <c r="B44" t="s">
        <v>6088</v>
      </c>
      <c r="C44" t="s">
        <v>6094</v>
      </c>
      <c r="D44" t="s">
        <v>6095</v>
      </c>
    </row>
    <row r="45" customHeight="1" spans="1:4">
      <c r="A45">
        <v>45</v>
      </c>
      <c r="B45" t="s">
        <v>6088</v>
      </c>
      <c r="C45" t="s">
        <v>6096</v>
      </c>
      <c r="D45" t="s">
        <v>6097</v>
      </c>
    </row>
    <row r="46" customHeight="1" spans="1:4">
      <c r="A46">
        <v>46</v>
      </c>
      <c r="B46" t="s">
        <v>6088</v>
      </c>
      <c r="C46" t="s">
        <v>6098</v>
      </c>
      <c r="D46" t="s">
        <v>6099</v>
      </c>
    </row>
    <row r="47" customHeight="1" spans="1:4">
      <c r="A47">
        <v>47</v>
      </c>
      <c r="B47" t="s">
        <v>6088</v>
      </c>
      <c r="C47" t="s">
        <v>6100</v>
      </c>
      <c r="D47" t="s">
        <v>6101</v>
      </c>
    </row>
    <row r="48" customHeight="1" spans="1:4">
      <c r="A48">
        <v>48</v>
      </c>
      <c r="B48" t="s">
        <v>6088</v>
      </c>
      <c r="C48" t="s">
        <v>6102</v>
      </c>
      <c r="D48" t="s">
        <v>6103</v>
      </c>
    </row>
    <row r="49" customHeight="1" spans="1:4">
      <c r="A49">
        <v>49</v>
      </c>
      <c r="B49" t="s">
        <v>6088</v>
      </c>
      <c r="C49" t="s">
        <v>6104</v>
      </c>
      <c r="D49" t="s">
        <v>6105</v>
      </c>
    </row>
    <row r="50" customHeight="1" spans="1:4">
      <c r="A50">
        <v>50</v>
      </c>
      <c r="B50" t="s">
        <v>6088</v>
      </c>
      <c r="C50" t="s">
        <v>6106</v>
      </c>
      <c r="D50" t="s">
        <v>6107</v>
      </c>
    </row>
    <row r="51" customHeight="1" spans="1:4">
      <c r="A51">
        <v>51</v>
      </c>
      <c r="B51" t="s">
        <v>6088</v>
      </c>
      <c r="C51" t="s">
        <v>6108</v>
      </c>
      <c r="D51" t="s">
        <v>6109</v>
      </c>
    </row>
    <row r="52" customHeight="1" spans="1:4">
      <c r="A52">
        <v>52</v>
      </c>
      <c r="B52" t="s">
        <v>6088</v>
      </c>
      <c r="C52" t="s">
        <v>6110</v>
      </c>
      <c r="D52" t="s">
        <v>6111</v>
      </c>
    </row>
    <row r="53" customHeight="1" spans="1:4">
      <c r="A53">
        <v>53</v>
      </c>
      <c r="B53" t="s">
        <v>6088</v>
      </c>
      <c r="C53" t="s">
        <v>6112</v>
      </c>
      <c r="D53" t="s">
        <v>6113</v>
      </c>
    </row>
    <row r="54" customHeight="1" spans="1:4">
      <c r="A54">
        <v>54</v>
      </c>
      <c r="B54" t="s">
        <v>6088</v>
      </c>
      <c r="C54" t="s">
        <v>6114</v>
      </c>
      <c r="D54" t="s">
        <v>6115</v>
      </c>
    </row>
    <row r="55" customHeight="1" spans="1:4">
      <c r="A55">
        <v>55</v>
      </c>
      <c r="B55" t="s">
        <v>6088</v>
      </c>
      <c r="C55" t="s">
        <v>6116</v>
      </c>
      <c r="D55" t="s">
        <v>6117</v>
      </c>
    </row>
    <row r="56" customHeight="1" spans="1:4">
      <c r="A56">
        <v>56</v>
      </c>
      <c r="B56" t="s">
        <v>6088</v>
      </c>
      <c r="C56" t="s">
        <v>6118</v>
      </c>
      <c r="D56" t="s">
        <v>6119</v>
      </c>
    </row>
    <row r="57" customHeight="1" spans="1:4">
      <c r="A57">
        <v>57</v>
      </c>
      <c r="B57" t="s">
        <v>6120</v>
      </c>
      <c r="C57" t="s">
        <v>6121</v>
      </c>
      <c r="D57" t="s">
        <v>6122</v>
      </c>
    </row>
    <row r="58" customHeight="1" spans="1:4">
      <c r="A58">
        <v>58</v>
      </c>
      <c r="B58" t="s">
        <v>6120</v>
      </c>
      <c r="C58" t="s">
        <v>6120</v>
      </c>
      <c r="D58" t="s">
        <v>6123</v>
      </c>
    </row>
    <row r="59" customHeight="1" spans="1:4">
      <c r="A59">
        <v>59</v>
      </c>
      <c r="B59" t="s">
        <v>6120</v>
      </c>
      <c r="C59" t="s">
        <v>6124</v>
      </c>
      <c r="D59" t="s">
        <v>6125</v>
      </c>
    </row>
    <row r="60" customHeight="1" spans="1:4">
      <c r="A60">
        <v>60</v>
      </c>
      <c r="B60" t="s">
        <v>6120</v>
      </c>
      <c r="C60" t="s">
        <v>6126</v>
      </c>
      <c r="D60" t="s">
        <v>6127</v>
      </c>
    </row>
    <row r="61" customHeight="1" spans="1:4">
      <c r="A61">
        <v>61</v>
      </c>
      <c r="B61" t="s">
        <v>6120</v>
      </c>
      <c r="C61" t="s">
        <v>6128</v>
      </c>
      <c r="D61" t="s">
        <v>6129</v>
      </c>
    </row>
    <row r="62" customHeight="1" spans="1:4">
      <c r="A62">
        <v>62</v>
      </c>
      <c r="B62" t="s">
        <v>6120</v>
      </c>
      <c r="C62" t="s">
        <v>6130</v>
      </c>
      <c r="D62" t="s">
        <v>6131</v>
      </c>
    </row>
    <row r="63" customHeight="1" spans="1:4">
      <c r="A63">
        <v>63</v>
      </c>
      <c r="B63" t="s">
        <v>6120</v>
      </c>
      <c r="C63" t="s">
        <v>6132</v>
      </c>
      <c r="D63" t="s">
        <v>6133</v>
      </c>
    </row>
    <row r="64" customHeight="1" spans="1:4">
      <c r="A64">
        <v>64</v>
      </c>
      <c r="B64" t="s">
        <v>6120</v>
      </c>
      <c r="C64" t="s">
        <v>6134</v>
      </c>
      <c r="D64" t="s">
        <v>6135</v>
      </c>
    </row>
    <row r="65" customHeight="1" spans="1:4">
      <c r="A65">
        <v>65</v>
      </c>
      <c r="B65" t="s">
        <v>6120</v>
      </c>
      <c r="C65" t="s">
        <v>6136</v>
      </c>
      <c r="D65" t="s">
        <v>6137</v>
      </c>
    </row>
    <row r="66" customHeight="1" spans="1:4">
      <c r="A66">
        <v>66</v>
      </c>
      <c r="B66" t="s">
        <v>6120</v>
      </c>
      <c r="C66" t="s">
        <v>6138</v>
      </c>
      <c r="D66" t="s">
        <v>6139</v>
      </c>
    </row>
    <row r="67" customHeight="1" spans="1:4">
      <c r="A67">
        <v>67</v>
      </c>
      <c r="B67" t="s">
        <v>6120</v>
      </c>
      <c r="C67" t="s">
        <v>6140</v>
      </c>
      <c r="D67" t="s">
        <v>6141</v>
      </c>
    </row>
    <row r="68" customHeight="1" spans="1:4">
      <c r="A68">
        <v>68</v>
      </c>
      <c r="B68" t="s">
        <v>6120</v>
      </c>
      <c r="C68" t="s">
        <v>6142</v>
      </c>
      <c r="D68" t="s">
        <v>6143</v>
      </c>
    </row>
    <row r="69" customHeight="1" spans="1:4">
      <c r="A69">
        <v>69</v>
      </c>
      <c r="B69" t="s">
        <v>6120</v>
      </c>
      <c r="C69" t="s">
        <v>6144</v>
      </c>
      <c r="D69" t="s">
        <v>6145</v>
      </c>
    </row>
    <row r="70" customHeight="1" spans="1:4">
      <c r="A70">
        <v>70</v>
      </c>
      <c r="B70" t="s">
        <v>6146</v>
      </c>
      <c r="C70" t="s">
        <v>6146</v>
      </c>
      <c r="D70" t="s">
        <v>6147</v>
      </c>
    </row>
    <row r="71" customHeight="1" spans="1:4">
      <c r="A71">
        <v>71</v>
      </c>
      <c r="B71" t="s">
        <v>6146</v>
      </c>
      <c r="C71" t="s">
        <v>6148</v>
      </c>
      <c r="D71" t="s">
        <v>6149</v>
      </c>
    </row>
    <row r="72" customHeight="1" spans="1:4">
      <c r="A72">
        <v>72</v>
      </c>
      <c r="B72" t="s">
        <v>6146</v>
      </c>
      <c r="C72" t="s">
        <v>6150</v>
      </c>
      <c r="D72" t="s">
        <v>6151</v>
      </c>
    </row>
    <row r="73" customHeight="1" spans="1:4">
      <c r="A73">
        <v>73</v>
      </c>
      <c r="B73" t="s">
        <v>6146</v>
      </c>
      <c r="C73" t="s">
        <v>6152</v>
      </c>
      <c r="D73" t="s">
        <v>6153</v>
      </c>
    </row>
    <row r="74" customHeight="1" spans="1:4">
      <c r="A74">
        <v>74</v>
      </c>
      <c r="B74" t="s">
        <v>6146</v>
      </c>
      <c r="C74" t="s">
        <v>6154</v>
      </c>
      <c r="D74" t="s">
        <v>6155</v>
      </c>
    </row>
    <row r="75" customHeight="1" spans="1:4">
      <c r="A75">
        <v>75</v>
      </c>
      <c r="B75" t="s">
        <v>6146</v>
      </c>
      <c r="C75" t="s">
        <v>6156</v>
      </c>
      <c r="D75" t="s">
        <v>6157</v>
      </c>
    </row>
    <row r="76" customHeight="1" spans="1:4">
      <c r="A76">
        <v>76</v>
      </c>
      <c r="B76" t="s">
        <v>6146</v>
      </c>
      <c r="C76" t="s">
        <v>6158</v>
      </c>
      <c r="D76" t="s">
        <v>6159</v>
      </c>
    </row>
    <row r="77" customHeight="1" spans="1:4">
      <c r="A77">
        <v>77</v>
      </c>
      <c r="B77" t="s">
        <v>6146</v>
      </c>
      <c r="C77" t="s">
        <v>6160</v>
      </c>
      <c r="D77" t="s">
        <v>6161</v>
      </c>
    </row>
    <row r="78" customHeight="1" spans="1:4">
      <c r="A78">
        <v>78</v>
      </c>
      <c r="B78" t="s">
        <v>6146</v>
      </c>
      <c r="C78" t="s">
        <v>6162</v>
      </c>
      <c r="D78" t="s">
        <v>6163</v>
      </c>
    </row>
    <row r="79" customHeight="1" spans="1:4">
      <c r="A79">
        <v>79</v>
      </c>
      <c r="B79" t="s">
        <v>6146</v>
      </c>
      <c r="C79" t="s">
        <v>6164</v>
      </c>
      <c r="D79" t="s">
        <v>6165</v>
      </c>
    </row>
    <row r="80" customHeight="1" spans="1:4">
      <c r="A80">
        <v>80</v>
      </c>
      <c r="B80" t="s">
        <v>6166</v>
      </c>
      <c r="C80" t="s">
        <v>6167</v>
      </c>
      <c r="D80" t="s">
        <v>6168</v>
      </c>
    </row>
    <row r="81" customHeight="1" spans="1:4">
      <c r="A81">
        <v>81</v>
      </c>
      <c r="B81" t="s">
        <v>6166</v>
      </c>
      <c r="C81" t="s">
        <v>6166</v>
      </c>
      <c r="D81" t="s">
        <v>6169</v>
      </c>
    </row>
    <row r="82" customHeight="1" spans="1:4">
      <c r="A82">
        <v>82</v>
      </c>
      <c r="B82" t="s">
        <v>6166</v>
      </c>
      <c r="C82" t="s">
        <v>6170</v>
      </c>
      <c r="D82" t="s">
        <v>6171</v>
      </c>
    </row>
    <row r="83" customHeight="1" spans="1:4">
      <c r="A83">
        <v>83</v>
      </c>
      <c r="B83" t="s">
        <v>6166</v>
      </c>
      <c r="C83" t="s">
        <v>6172</v>
      </c>
      <c r="D83" t="s">
        <v>6173</v>
      </c>
    </row>
    <row r="84" customHeight="1" spans="1:4">
      <c r="A84">
        <v>84</v>
      </c>
      <c r="B84" t="s">
        <v>6166</v>
      </c>
      <c r="C84" t="s">
        <v>6174</v>
      </c>
      <c r="D84" t="s">
        <v>6175</v>
      </c>
    </row>
    <row r="85" customHeight="1" spans="1:4">
      <c r="A85">
        <v>85</v>
      </c>
      <c r="B85" t="s">
        <v>6166</v>
      </c>
      <c r="C85" t="s">
        <v>6176</v>
      </c>
      <c r="D85" t="s">
        <v>6177</v>
      </c>
    </row>
    <row r="86" customHeight="1" spans="1:4">
      <c r="A86">
        <v>86</v>
      </c>
      <c r="B86" t="s">
        <v>6166</v>
      </c>
      <c r="C86" t="s">
        <v>6178</v>
      </c>
      <c r="D86" t="s">
        <v>6179</v>
      </c>
    </row>
    <row r="87" customHeight="1" spans="1:4">
      <c r="A87">
        <v>87</v>
      </c>
      <c r="B87" t="s">
        <v>6166</v>
      </c>
      <c r="C87" t="s">
        <v>6180</v>
      </c>
      <c r="D87" t="s">
        <v>6181</v>
      </c>
    </row>
    <row r="88" customHeight="1" spans="1:4">
      <c r="A88">
        <v>88</v>
      </c>
      <c r="B88" t="s">
        <v>6166</v>
      </c>
      <c r="C88" t="s">
        <v>6182</v>
      </c>
      <c r="D88" t="s">
        <v>6183</v>
      </c>
    </row>
    <row r="89" customHeight="1" spans="1:4">
      <c r="A89">
        <v>89</v>
      </c>
      <c r="B89" t="s">
        <v>6184</v>
      </c>
      <c r="C89" t="s">
        <v>6185</v>
      </c>
      <c r="D89" t="s">
        <v>6186</v>
      </c>
    </row>
    <row r="90" customHeight="1" spans="1:4">
      <c r="A90">
        <v>90</v>
      </c>
      <c r="B90" t="s">
        <v>6184</v>
      </c>
      <c r="C90" t="s">
        <v>6187</v>
      </c>
      <c r="D90" t="s">
        <v>6188</v>
      </c>
    </row>
    <row r="91" customHeight="1" spans="1:4">
      <c r="A91">
        <v>91</v>
      </c>
      <c r="B91" t="s">
        <v>6184</v>
      </c>
      <c r="C91" t="s">
        <v>6184</v>
      </c>
      <c r="D91" t="s">
        <v>6189</v>
      </c>
    </row>
    <row r="92" customHeight="1" spans="1:4">
      <c r="A92">
        <v>92</v>
      </c>
      <c r="B92" t="s">
        <v>6184</v>
      </c>
      <c r="C92" t="s">
        <v>6190</v>
      </c>
      <c r="D92" t="s">
        <v>6191</v>
      </c>
    </row>
    <row r="93" customHeight="1" spans="1:4">
      <c r="A93">
        <v>93</v>
      </c>
      <c r="B93" t="s">
        <v>6184</v>
      </c>
      <c r="C93" t="s">
        <v>6192</v>
      </c>
      <c r="D93" t="s">
        <v>6193</v>
      </c>
    </row>
    <row r="94" customHeight="1" spans="1:4">
      <c r="A94">
        <v>94</v>
      </c>
      <c r="B94" t="s">
        <v>6184</v>
      </c>
      <c r="C94" t="s">
        <v>6194</v>
      </c>
      <c r="D94" t="s">
        <v>6195</v>
      </c>
    </row>
    <row r="95" customHeight="1" spans="1:4">
      <c r="A95">
        <v>95</v>
      </c>
      <c r="B95" t="s">
        <v>6184</v>
      </c>
      <c r="C95" t="s">
        <v>6196</v>
      </c>
      <c r="D95" t="s">
        <v>6197</v>
      </c>
    </row>
    <row r="96" customHeight="1" spans="1:4">
      <c r="A96">
        <v>96</v>
      </c>
      <c r="B96" t="s">
        <v>6184</v>
      </c>
      <c r="C96" t="s">
        <v>6198</v>
      </c>
      <c r="D96" t="s">
        <v>6199</v>
      </c>
    </row>
    <row r="97" customHeight="1" spans="1:4">
      <c r="A97">
        <v>97</v>
      </c>
      <c r="B97" t="s">
        <v>6184</v>
      </c>
      <c r="C97" t="s">
        <v>6200</v>
      </c>
      <c r="D97" t="s">
        <v>6201</v>
      </c>
    </row>
    <row r="98" customHeight="1" spans="1:4">
      <c r="A98">
        <v>98</v>
      </c>
      <c r="B98" t="s">
        <v>6184</v>
      </c>
      <c r="C98" t="s">
        <v>6202</v>
      </c>
      <c r="D98" t="s">
        <v>6203</v>
      </c>
    </row>
    <row r="99" customHeight="1" spans="1:4">
      <c r="A99">
        <v>99</v>
      </c>
      <c r="B99" t="s">
        <v>6184</v>
      </c>
      <c r="C99" t="s">
        <v>6204</v>
      </c>
      <c r="D99" t="s">
        <v>6205</v>
      </c>
    </row>
    <row r="100" customHeight="1" spans="1:4">
      <c r="A100">
        <v>100</v>
      </c>
      <c r="B100" t="s">
        <v>6184</v>
      </c>
      <c r="C100" t="s">
        <v>6206</v>
      </c>
      <c r="D100" t="s">
        <v>6207</v>
      </c>
    </row>
    <row r="101" customHeight="1" spans="1:4">
      <c r="A101">
        <v>101</v>
      </c>
      <c r="B101" t="s">
        <v>6208</v>
      </c>
      <c r="C101" t="s">
        <v>6208</v>
      </c>
      <c r="D101" t="s">
        <v>6209</v>
      </c>
    </row>
    <row r="102" customHeight="1" spans="1:4">
      <c r="A102">
        <v>102</v>
      </c>
      <c r="B102" t="s">
        <v>6210</v>
      </c>
      <c r="C102" t="s">
        <v>6210</v>
      </c>
      <c r="D102" t="s">
        <v>6211</v>
      </c>
    </row>
    <row r="103" customHeight="1" spans="1:4">
      <c r="A103">
        <v>103</v>
      </c>
      <c r="B103" t="s">
        <v>6212</v>
      </c>
      <c r="C103" t="s">
        <v>6212</v>
      </c>
      <c r="D103" t="s">
        <v>6213</v>
      </c>
    </row>
    <row r="104" customHeight="1" spans="1:4">
      <c r="A104">
        <v>104</v>
      </c>
      <c r="B104" t="s">
        <v>6214</v>
      </c>
      <c r="C104" t="s">
        <v>6214</v>
      </c>
      <c r="D104" t="s">
        <v>6215</v>
      </c>
    </row>
    <row r="105" customHeight="1" spans="1:4">
      <c r="A105">
        <v>105</v>
      </c>
      <c r="B105" t="s">
        <v>6216</v>
      </c>
      <c r="C105" t="s">
        <v>6216</v>
      </c>
      <c r="D105" t="s">
        <v>6217</v>
      </c>
    </row>
    <row r="106" customHeight="1" spans="1:4">
      <c r="A106">
        <v>106</v>
      </c>
      <c r="B106" t="s">
        <v>6218</v>
      </c>
      <c r="C106" t="s">
        <v>6218</v>
      </c>
      <c r="D106" t="s">
        <v>6219</v>
      </c>
    </row>
    <row r="107" customHeight="1" spans="1:4">
      <c r="A107">
        <v>107</v>
      </c>
      <c r="B107" t="s">
        <v>6220</v>
      </c>
      <c r="C107" t="s">
        <v>6220</v>
      </c>
      <c r="D107" t="s">
        <v>6221</v>
      </c>
    </row>
    <row r="108" customHeight="1" spans="1:4">
      <c r="A108">
        <v>108</v>
      </c>
      <c r="B108" t="s">
        <v>6222</v>
      </c>
      <c r="C108" t="s">
        <v>6222</v>
      </c>
      <c r="D108" t="s">
        <v>6223</v>
      </c>
    </row>
    <row r="109" customHeight="1" spans="1:4">
      <c r="A109">
        <v>109</v>
      </c>
      <c r="B109" t="s">
        <v>6224</v>
      </c>
      <c r="C109" t="s">
        <v>6224</v>
      </c>
      <c r="D109" t="s">
        <v>6225</v>
      </c>
    </row>
    <row r="110" customHeight="1" spans="1:4">
      <c r="A110">
        <v>110</v>
      </c>
      <c r="B110" t="s">
        <v>6226</v>
      </c>
      <c r="C110" t="s">
        <v>6226</v>
      </c>
      <c r="D110" t="s">
        <v>6227</v>
      </c>
    </row>
    <row r="111" customHeight="1" spans="1:4">
      <c r="A111">
        <v>111</v>
      </c>
      <c r="B111" t="s">
        <v>6226</v>
      </c>
      <c r="C111" t="s">
        <v>6228</v>
      </c>
      <c r="D111" t="s">
        <v>6229</v>
      </c>
    </row>
    <row r="112" customHeight="1" spans="1:4">
      <c r="A112">
        <v>112</v>
      </c>
      <c r="B112" t="s">
        <v>6226</v>
      </c>
      <c r="C112" t="s">
        <v>6230</v>
      </c>
      <c r="D112" t="s">
        <v>6231</v>
      </c>
    </row>
    <row r="113" customHeight="1" spans="1:4">
      <c r="A113">
        <v>113</v>
      </c>
      <c r="B113" t="s">
        <v>6226</v>
      </c>
      <c r="C113" t="s">
        <v>6232</v>
      </c>
      <c r="D113" t="s">
        <v>6233</v>
      </c>
    </row>
    <row r="114" customHeight="1" spans="1:4">
      <c r="A114">
        <v>114</v>
      </c>
      <c r="B114" t="s">
        <v>6226</v>
      </c>
      <c r="C114" t="s">
        <v>6234</v>
      </c>
      <c r="D114" t="s">
        <v>6235</v>
      </c>
    </row>
    <row r="115" customHeight="1" spans="1:4">
      <c r="A115">
        <v>115</v>
      </c>
      <c r="B115" t="s">
        <v>6226</v>
      </c>
      <c r="C115" t="s">
        <v>6110</v>
      </c>
      <c r="D115" t="s">
        <v>6236</v>
      </c>
    </row>
    <row r="116" customHeight="1" spans="1:4">
      <c r="A116">
        <v>116</v>
      </c>
      <c r="B116" t="s">
        <v>6226</v>
      </c>
      <c r="C116" t="s">
        <v>6114</v>
      </c>
      <c r="D116" t="s">
        <v>6237</v>
      </c>
    </row>
    <row r="117" customHeight="1" spans="1:4">
      <c r="A117">
        <v>117</v>
      </c>
      <c r="B117" t="s">
        <v>6226</v>
      </c>
      <c r="C117" t="s">
        <v>6238</v>
      </c>
      <c r="D117" t="s">
        <v>6239</v>
      </c>
    </row>
    <row r="118" customHeight="1" spans="1:4">
      <c r="A118">
        <v>118</v>
      </c>
      <c r="B118" t="s">
        <v>6226</v>
      </c>
      <c r="C118" t="s">
        <v>6240</v>
      </c>
      <c r="D118" t="s">
        <v>6241</v>
      </c>
    </row>
    <row r="119" customHeight="1" spans="1:4">
      <c r="A119">
        <v>119</v>
      </c>
      <c r="B119" t="s">
        <v>6242</v>
      </c>
      <c r="C119" t="s">
        <v>6243</v>
      </c>
      <c r="D119" t="s">
        <v>6244</v>
      </c>
    </row>
    <row r="120" customHeight="1" spans="1:4">
      <c r="A120">
        <v>120</v>
      </c>
      <c r="B120" t="s">
        <v>6242</v>
      </c>
      <c r="C120" t="s">
        <v>6242</v>
      </c>
      <c r="D120" t="s">
        <v>6245</v>
      </c>
    </row>
    <row r="121" customHeight="1" spans="1:4">
      <c r="A121">
        <v>121</v>
      </c>
      <c r="B121" t="s">
        <v>6242</v>
      </c>
      <c r="C121" t="s">
        <v>6246</v>
      </c>
      <c r="D121" t="s">
        <v>6247</v>
      </c>
    </row>
    <row r="122" customHeight="1" spans="1:4">
      <c r="A122">
        <v>122</v>
      </c>
      <c r="B122" t="s">
        <v>6242</v>
      </c>
      <c r="C122" t="s">
        <v>6248</v>
      </c>
      <c r="D122" t="s">
        <v>6249</v>
      </c>
    </row>
    <row r="123" customHeight="1" spans="1:4">
      <c r="A123">
        <v>123</v>
      </c>
      <c r="B123" t="s">
        <v>6242</v>
      </c>
      <c r="C123" t="s">
        <v>6250</v>
      </c>
      <c r="D123" t="s">
        <v>6251</v>
      </c>
    </row>
    <row r="124" customHeight="1" spans="1:4">
      <c r="A124">
        <v>124</v>
      </c>
      <c r="B124" t="s">
        <v>6242</v>
      </c>
      <c r="C124" t="s">
        <v>6252</v>
      </c>
      <c r="D124" t="s">
        <v>6253</v>
      </c>
    </row>
    <row r="125" customHeight="1" spans="1:4">
      <c r="A125">
        <v>125</v>
      </c>
      <c r="B125" t="s">
        <v>6242</v>
      </c>
      <c r="C125" t="s">
        <v>6254</v>
      </c>
      <c r="D125" t="s">
        <v>6255</v>
      </c>
    </row>
    <row r="126" customHeight="1" spans="1:4">
      <c r="A126">
        <v>126</v>
      </c>
      <c r="B126" t="s">
        <v>6256</v>
      </c>
      <c r="C126" t="s">
        <v>6256</v>
      </c>
      <c r="D126" t="s">
        <v>6257</v>
      </c>
    </row>
    <row r="127" customHeight="1" spans="1:4">
      <c r="A127">
        <v>127</v>
      </c>
      <c r="B127" t="s">
        <v>6258</v>
      </c>
      <c r="C127" t="s">
        <v>6259</v>
      </c>
      <c r="D127" t="s">
        <v>6260</v>
      </c>
    </row>
    <row r="128" customHeight="1" spans="1:4">
      <c r="A128">
        <v>128</v>
      </c>
      <c r="B128" t="s">
        <v>6258</v>
      </c>
      <c r="C128" t="s">
        <v>6261</v>
      </c>
      <c r="D128" t="s">
        <v>6262</v>
      </c>
    </row>
    <row r="129" customHeight="1" spans="1:4">
      <c r="A129">
        <v>129</v>
      </c>
      <c r="B129" t="s">
        <v>6258</v>
      </c>
      <c r="C129" t="s">
        <v>6263</v>
      </c>
      <c r="D129" t="s">
        <v>6264</v>
      </c>
    </row>
    <row r="130" customHeight="1" spans="1:4">
      <c r="A130">
        <v>130</v>
      </c>
      <c r="B130" t="s">
        <v>6258</v>
      </c>
      <c r="C130" t="s">
        <v>6258</v>
      </c>
      <c r="D130" t="s">
        <v>6265</v>
      </c>
    </row>
    <row r="131" customHeight="1" spans="1:4">
      <c r="A131">
        <v>131</v>
      </c>
      <c r="B131" t="s">
        <v>6258</v>
      </c>
      <c r="C131" t="s">
        <v>6266</v>
      </c>
      <c r="D131" t="s">
        <v>6267</v>
      </c>
    </row>
    <row r="132" customHeight="1" spans="1:4">
      <c r="A132">
        <v>132</v>
      </c>
      <c r="B132" t="s">
        <v>6258</v>
      </c>
      <c r="C132" t="s">
        <v>6268</v>
      </c>
      <c r="D132" t="s">
        <v>6269</v>
      </c>
    </row>
    <row r="133" customHeight="1" spans="1:4">
      <c r="A133">
        <v>133</v>
      </c>
      <c r="B133" t="s">
        <v>6258</v>
      </c>
      <c r="C133" t="s">
        <v>6270</v>
      </c>
      <c r="D133" t="s">
        <v>6271</v>
      </c>
    </row>
    <row r="134" customHeight="1" spans="1:4">
      <c r="A134">
        <v>134</v>
      </c>
      <c r="B134" t="s">
        <v>6258</v>
      </c>
      <c r="C134" t="s">
        <v>6272</v>
      </c>
      <c r="D134" t="s">
        <v>6273</v>
      </c>
    </row>
    <row r="135" customHeight="1" spans="1:4">
      <c r="A135">
        <v>135</v>
      </c>
      <c r="B135" t="s">
        <v>6258</v>
      </c>
      <c r="C135" t="s">
        <v>6274</v>
      </c>
      <c r="D135" t="s">
        <v>6275</v>
      </c>
    </row>
    <row r="136" customHeight="1" spans="1:4">
      <c r="A136">
        <v>136</v>
      </c>
      <c r="B136" t="s">
        <v>6258</v>
      </c>
      <c r="C136" t="s">
        <v>6276</v>
      </c>
      <c r="D136" t="s">
        <v>6277</v>
      </c>
    </row>
    <row r="137" customHeight="1" spans="1:4">
      <c r="A137">
        <v>137</v>
      </c>
      <c r="B137" t="s">
        <v>6258</v>
      </c>
      <c r="C137" t="s">
        <v>6278</v>
      </c>
      <c r="D137" t="s">
        <v>6279</v>
      </c>
    </row>
    <row r="138" customHeight="1" spans="1:4">
      <c r="A138">
        <v>138</v>
      </c>
      <c r="B138" t="s">
        <v>6258</v>
      </c>
      <c r="C138" t="s">
        <v>6280</v>
      </c>
      <c r="D138" t="s">
        <v>6281</v>
      </c>
    </row>
    <row r="139" customHeight="1" spans="1:4">
      <c r="A139">
        <v>139</v>
      </c>
      <c r="B139" t="s">
        <v>6258</v>
      </c>
      <c r="C139" t="s">
        <v>6282</v>
      </c>
      <c r="D139" t="s">
        <v>6283</v>
      </c>
    </row>
    <row r="140" customHeight="1" spans="1:4">
      <c r="A140">
        <v>140</v>
      </c>
      <c r="B140" t="s">
        <v>6284</v>
      </c>
      <c r="C140" t="s">
        <v>6284</v>
      </c>
      <c r="D140" t="s">
        <v>6285</v>
      </c>
    </row>
    <row r="141" customHeight="1" spans="1:4">
      <c r="A141">
        <v>141</v>
      </c>
      <c r="B141" t="s">
        <v>6286</v>
      </c>
      <c r="C141" t="s">
        <v>6287</v>
      </c>
      <c r="D141" t="s">
        <v>6288</v>
      </c>
    </row>
    <row r="142" customHeight="1" spans="1:4">
      <c r="A142">
        <v>142</v>
      </c>
      <c r="B142" t="s">
        <v>6286</v>
      </c>
      <c r="C142" t="s">
        <v>6289</v>
      </c>
      <c r="D142" t="s">
        <v>6290</v>
      </c>
    </row>
    <row r="143" customHeight="1" spans="1:4">
      <c r="A143">
        <v>143</v>
      </c>
      <c r="B143" t="s">
        <v>6286</v>
      </c>
      <c r="C143" t="s">
        <v>6291</v>
      </c>
      <c r="D143" t="s">
        <v>6292</v>
      </c>
    </row>
    <row r="144" customHeight="1" spans="1:4">
      <c r="A144">
        <v>144</v>
      </c>
      <c r="B144" t="s">
        <v>6286</v>
      </c>
      <c r="C144" t="s">
        <v>6293</v>
      </c>
      <c r="D144" t="s">
        <v>6294</v>
      </c>
    </row>
    <row r="145" customHeight="1" spans="1:4">
      <c r="A145">
        <v>145</v>
      </c>
      <c r="B145" t="s">
        <v>6286</v>
      </c>
      <c r="C145" t="s">
        <v>6295</v>
      </c>
      <c r="D145" t="s">
        <v>6296</v>
      </c>
    </row>
    <row r="146" customHeight="1" spans="1:4">
      <c r="A146">
        <v>146</v>
      </c>
      <c r="B146" t="s">
        <v>6286</v>
      </c>
      <c r="C146" t="s">
        <v>6297</v>
      </c>
      <c r="D146" t="s">
        <v>6298</v>
      </c>
    </row>
    <row r="147" customHeight="1" spans="1:4">
      <c r="A147">
        <v>147</v>
      </c>
      <c r="B147" t="s">
        <v>6286</v>
      </c>
      <c r="C147" t="s">
        <v>6299</v>
      </c>
      <c r="D147" t="s">
        <v>6300</v>
      </c>
    </row>
    <row r="148" customHeight="1" spans="1:4">
      <c r="A148">
        <v>148</v>
      </c>
      <c r="B148" t="s">
        <v>6286</v>
      </c>
      <c r="C148" t="s">
        <v>6286</v>
      </c>
      <c r="D148" t="s">
        <v>6301</v>
      </c>
    </row>
    <row r="149" customHeight="1" spans="1:4">
      <c r="A149">
        <v>149</v>
      </c>
      <c r="B149" t="s">
        <v>6286</v>
      </c>
      <c r="C149" t="s">
        <v>6302</v>
      </c>
      <c r="D149" t="s">
        <v>6303</v>
      </c>
    </row>
    <row r="150" customHeight="1" spans="1:4">
      <c r="A150">
        <v>150</v>
      </c>
      <c r="B150" t="s">
        <v>6286</v>
      </c>
      <c r="C150" t="s">
        <v>6304</v>
      </c>
      <c r="D150" t="s">
        <v>6305</v>
      </c>
    </row>
    <row r="151" customHeight="1" spans="1:4">
      <c r="A151">
        <v>151</v>
      </c>
      <c r="B151" t="s">
        <v>6286</v>
      </c>
      <c r="C151" t="s">
        <v>6306</v>
      </c>
      <c r="D151" t="s">
        <v>6307</v>
      </c>
    </row>
    <row r="152" customHeight="1" spans="1:4">
      <c r="A152">
        <v>152</v>
      </c>
      <c r="B152" t="s">
        <v>6286</v>
      </c>
      <c r="C152" t="s">
        <v>6308</v>
      </c>
      <c r="D152" t="s">
        <v>6309</v>
      </c>
    </row>
    <row r="153" customHeight="1" spans="1:4">
      <c r="A153">
        <v>153</v>
      </c>
      <c r="B153" t="s">
        <v>6286</v>
      </c>
      <c r="C153" t="s">
        <v>6310</v>
      </c>
      <c r="D153" t="s">
        <v>6311</v>
      </c>
    </row>
    <row r="154" customHeight="1" spans="1:4">
      <c r="A154">
        <v>154</v>
      </c>
      <c r="B154" t="s">
        <v>6286</v>
      </c>
      <c r="C154" t="s">
        <v>6312</v>
      </c>
      <c r="D154" t="s">
        <v>6313</v>
      </c>
    </row>
    <row r="155" customHeight="1" spans="1:4">
      <c r="A155">
        <v>155</v>
      </c>
      <c r="B155" t="s">
        <v>6286</v>
      </c>
      <c r="C155" t="s">
        <v>6314</v>
      </c>
      <c r="D155" t="s">
        <v>6315</v>
      </c>
    </row>
    <row r="156" customHeight="1" spans="1:4">
      <c r="A156">
        <v>156</v>
      </c>
      <c r="B156" t="s">
        <v>6286</v>
      </c>
      <c r="C156" t="s">
        <v>6316</v>
      </c>
      <c r="D156" t="s">
        <v>6317</v>
      </c>
    </row>
    <row r="157" customHeight="1" spans="1:4">
      <c r="A157">
        <v>157</v>
      </c>
      <c r="B157" t="s">
        <v>6286</v>
      </c>
      <c r="C157" t="s">
        <v>6318</v>
      </c>
      <c r="D157" t="s">
        <v>6319</v>
      </c>
    </row>
    <row r="158" customHeight="1" spans="1:4">
      <c r="A158">
        <v>158</v>
      </c>
      <c r="B158" t="s">
        <v>6286</v>
      </c>
      <c r="C158" t="s">
        <v>6320</v>
      </c>
      <c r="D158" t="s">
        <v>6321</v>
      </c>
    </row>
    <row r="159" customHeight="1" spans="1:4">
      <c r="A159">
        <v>159</v>
      </c>
      <c r="B159" t="s">
        <v>6286</v>
      </c>
      <c r="C159" t="s">
        <v>6322</v>
      </c>
      <c r="D159" t="s">
        <v>6323</v>
      </c>
    </row>
    <row r="160" customHeight="1" spans="1:4">
      <c r="A160">
        <v>160</v>
      </c>
      <c r="B160" t="s">
        <v>6286</v>
      </c>
      <c r="C160" t="s">
        <v>6324</v>
      </c>
      <c r="D160" t="s">
        <v>6325</v>
      </c>
    </row>
    <row r="161" customHeight="1" spans="1:4">
      <c r="A161">
        <v>161</v>
      </c>
      <c r="B161" t="s">
        <v>6286</v>
      </c>
      <c r="C161" t="s">
        <v>6326</v>
      </c>
      <c r="D161" t="s">
        <v>6327</v>
      </c>
    </row>
    <row r="162" customHeight="1" spans="1:4">
      <c r="A162">
        <v>162</v>
      </c>
      <c r="B162" t="s">
        <v>6328</v>
      </c>
      <c r="C162" t="s">
        <v>6329</v>
      </c>
      <c r="D162" t="s">
        <v>6330</v>
      </c>
    </row>
    <row r="163" customHeight="1" spans="1:4">
      <c r="A163">
        <v>163</v>
      </c>
      <c r="B163" t="s">
        <v>6328</v>
      </c>
      <c r="C163" t="s">
        <v>6328</v>
      </c>
      <c r="D163" t="s">
        <v>6331</v>
      </c>
    </row>
    <row r="164" customHeight="1" spans="1:4">
      <c r="A164">
        <v>164</v>
      </c>
      <c r="B164" t="s">
        <v>6328</v>
      </c>
      <c r="C164" t="s">
        <v>6332</v>
      </c>
      <c r="D164" t="s">
        <v>6333</v>
      </c>
    </row>
    <row r="165" customHeight="1" spans="1:4">
      <c r="A165">
        <v>165</v>
      </c>
      <c r="B165" t="s">
        <v>6328</v>
      </c>
      <c r="C165" t="s">
        <v>6334</v>
      </c>
      <c r="D165" t="s">
        <v>6335</v>
      </c>
    </row>
    <row r="166" customHeight="1" spans="1:4">
      <c r="A166">
        <v>166</v>
      </c>
      <c r="B166" t="s">
        <v>6328</v>
      </c>
      <c r="C166" t="s">
        <v>6336</v>
      </c>
      <c r="D166" t="s">
        <v>6337</v>
      </c>
    </row>
    <row r="167" customHeight="1" spans="1:4">
      <c r="A167">
        <v>167</v>
      </c>
      <c r="B167" t="s">
        <v>6328</v>
      </c>
      <c r="C167" t="s">
        <v>6338</v>
      </c>
      <c r="D167" t="s">
        <v>6339</v>
      </c>
    </row>
    <row r="168" customHeight="1" spans="1:4">
      <c r="A168">
        <v>168</v>
      </c>
      <c r="B168" t="s">
        <v>6328</v>
      </c>
      <c r="C168" t="s">
        <v>6340</v>
      </c>
      <c r="D168" t="s">
        <v>6341</v>
      </c>
    </row>
    <row r="169" customHeight="1" spans="1:4">
      <c r="A169">
        <v>169</v>
      </c>
      <c r="B169" t="s">
        <v>6328</v>
      </c>
      <c r="C169" t="s">
        <v>6342</v>
      </c>
      <c r="D169" t="s">
        <v>6343</v>
      </c>
    </row>
    <row r="170" customHeight="1" spans="1:4">
      <c r="A170">
        <v>170</v>
      </c>
      <c r="B170" t="s">
        <v>6328</v>
      </c>
      <c r="C170" t="s">
        <v>6344</v>
      </c>
      <c r="D170" t="s">
        <v>6345</v>
      </c>
    </row>
    <row r="171" customHeight="1" spans="1:4">
      <c r="A171">
        <v>171</v>
      </c>
      <c r="B171" t="s">
        <v>6346</v>
      </c>
      <c r="C171" t="s">
        <v>6347</v>
      </c>
      <c r="D171" t="s">
        <v>6348</v>
      </c>
    </row>
    <row r="172" customHeight="1" spans="1:4">
      <c r="A172">
        <v>172</v>
      </c>
      <c r="B172" t="s">
        <v>6346</v>
      </c>
      <c r="C172" t="s">
        <v>6346</v>
      </c>
      <c r="D172" t="s">
        <v>6349</v>
      </c>
    </row>
    <row r="173" customHeight="1" spans="1:4">
      <c r="A173">
        <v>173</v>
      </c>
      <c r="B173" t="s">
        <v>6346</v>
      </c>
      <c r="C173" t="s">
        <v>6350</v>
      </c>
      <c r="D173" t="s">
        <v>6351</v>
      </c>
    </row>
    <row r="174" customHeight="1" spans="1:4">
      <c r="A174">
        <v>174</v>
      </c>
      <c r="B174" t="s">
        <v>6346</v>
      </c>
      <c r="C174" t="s">
        <v>6352</v>
      </c>
      <c r="D174" t="s">
        <v>6353</v>
      </c>
    </row>
    <row r="175" customHeight="1" spans="1:4">
      <c r="A175">
        <v>175</v>
      </c>
      <c r="B175" t="s">
        <v>6346</v>
      </c>
      <c r="C175" t="s">
        <v>6354</v>
      </c>
      <c r="D175" t="s">
        <v>6355</v>
      </c>
    </row>
    <row r="176" customHeight="1" spans="1:4">
      <c r="A176">
        <v>176</v>
      </c>
      <c r="B176" t="s">
        <v>6346</v>
      </c>
      <c r="C176" t="s">
        <v>6336</v>
      </c>
      <c r="D176" t="s">
        <v>6356</v>
      </c>
    </row>
    <row r="177" customHeight="1" spans="1:4">
      <c r="A177">
        <v>177</v>
      </c>
      <c r="B177" t="s">
        <v>6346</v>
      </c>
      <c r="C177" t="s">
        <v>6357</v>
      </c>
      <c r="D177" t="s">
        <v>6358</v>
      </c>
    </row>
    <row r="178" customHeight="1" spans="1:4">
      <c r="A178">
        <v>178</v>
      </c>
      <c r="B178" t="s">
        <v>6346</v>
      </c>
      <c r="C178" t="s">
        <v>6359</v>
      </c>
      <c r="D178" t="s">
        <v>6360</v>
      </c>
    </row>
    <row r="179" customHeight="1" spans="1:4">
      <c r="A179">
        <v>179</v>
      </c>
      <c r="B179" t="s">
        <v>6346</v>
      </c>
      <c r="C179" t="s">
        <v>6361</v>
      </c>
      <c r="D179" t="s">
        <v>6362</v>
      </c>
    </row>
    <row r="180" customHeight="1" spans="1:4">
      <c r="A180">
        <v>180</v>
      </c>
      <c r="B180" t="s">
        <v>6346</v>
      </c>
      <c r="C180" t="s">
        <v>6363</v>
      </c>
      <c r="D180" t="s">
        <v>6364</v>
      </c>
    </row>
    <row r="181" customHeight="1" spans="1:4">
      <c r="A181">
        <v>181</v>
      </c>
      <c r="B181" t="s">
        <v>6365</v>
      </c>
      <c r="C181" t="s">
        <v>6366</v>
      </c>
      <c r="D181" t="s">
        <v>6367</v>
      </c>
    </row>
    <row r="182" customHeight="1" spans="1:4">
      <c r="A182">
        <v>182</v>
      </c>
      <c r="B182" t="s">
        <v>6365</v>
      </c>
      <c r="C182" t="s">
        <v>6368</v>
      </c>
      <c r="D182" t="s">
        <v>6369</v>
      </c>
    </row>
    <row r="183" customHeight="1" spans="1:4">
      <c r="A183">
        <v>183</v>
      </c>
      <c r="B183" t="s">
        <v>6365</v>
      </c>
      <c r="C183" t="s">
        <v>6370</v>
      </c>
      <c r="D183" t="s">
        <v>6371</v>
      </c>
    </row>
    <row r="184" customHeight="1" spans="1:4">
      <c r="A184">
        <v>184</v>
      </c>
      <c r="B184" t="s">
        <v>6365</v>
      </c>
      <c r="C184" t="s">
        <v>6365</v>
      </c>
      <c r="D184" t="s">
        <v>6372</v>
      </c>
    </row>
    <row r="185" customHeight="1" spans="1:4">
      <c r="A185">
        <v>185</v>
      </c>
      <c r="B185" t="s">
        <v>6365</v>
      </c>
      <c r="C185" t="s">
        <v>6373</v>
      </c>
      <c r="D185" t="s">
        <v>6374</v>
      </c>
    </row>
    <row r="186" customHeight="1" spans="1:4">
      <c r="A186">
        <v>186</v>
      </c>
      <c r="B186" t="s">
        <v>6365</v>
      </c>
      <c r="C186" t="s">
        <v>6375</v>
      </c>
      <c r="D186" t="s">
        <v>6376</v>
      </c>
    </row>
    <row r="187" customHeight="1" spans="1:4">
      <c r="A187">
        <v>187</v>
      </c>
      <c r="B187" t="s">
        <v>6365</v>
      </c>
      <c r="C187" t="s">
        <v>6377</v>
      </c>
      <c r="D187" t="s">
        <v>6378</v>
      </c>
    </row>
    <row r="188" customHeight="1" spans="1:4">
      <c r="A188">
        <v>188</v>
      </c>
      <c r="B188" t="s">
        <v>6365</v>
      </c>
      <c r="C188" t="s">
        <v>6379</v>
      </c>
      <c r="D188" t="s">
        <v>6380</v>
      </c>
    </row>
    <row r="189" customHeight="1" spans="1:4">
      <c r="A189">
        <v>189</v>
      </c>
      <c r="B189" t="s">
        <v>6365</v>
      </c>
      <c r="C189" t="s">
        <v>6381</v>
      </c>
      <c r="D189" t="s">
        <v>6382</v>
      </c>
    </row>
    <row r="190" customHeight="1" spans="1:4">
      <c r="A190">
        <v>190</v>
      </c>
      <c r="B190" t="s">
        <v>6365</v>
      </c>
      <c r="C190" t="s">
        <v>6383</v>
      </c>
      <c r="D190" t="s">
        <v>6384</v>
      </c>
    </row>
    <row r="191" customHeight="1" spans="1:4">
      <c r="A191">
        <v>191</v>
      </c>
      <c r="B191" t="s">
        <v>6365</v>
      </c>
      <c r="C191" t="s">
        <v>6385</v>
      </c>
      <c r="D191" t="s">
        <v>6386</v>
      </c>
    </row>
    <row r="192" customHeight="1" spans="1:4">
      <c r="A192">
        <v>192</v>
      </c>
      <c r="B192" t="s">
        <v>6387</v>
      </c>
      <c r="C192" t="s">
        <v>6388</v>
      </c>
      <c r="D192" t="s">
        <v>6389</v>
      </c>
    </row>
    <row r="193" customHeight="1" spans="1:4">
      <c r="A193">
        <v>193</v>
      </c>
      <c r="B193" t="s">
        <v>6387</v>
      </c>
      <c r="C193" t="s">
        <v>6390</v>
      </c>
      <c r="D193" t="s">
        <v>6391</v>
      </c>
    </row>
    <row r="194" customHeight="1" spans="1:4">
      <c r="A194">
        <v>194</v>
      </c>
      <c r="B194" t="s">
        <v>6387</v>
      </c>
      <c r="C194" t="s">
        <v>6263</v>
      </c>
      <c r="D194" t="s">
        <v>6392</v>
      </c>
    </row>
    <row r="195" customHeight="1" spans="1:4">
      <c r="A195">
        <v>195</v>
      </c>
      <c r="B195" t="s">
        <v>6387</v>
      </c>
      <c r="C195" t="s">
        <v>6387</v>
      </c>
      <c r="D195" t="s">
        <v>6393</v>
      </c>
    </row>
    <row r="196" customHeight="1" spans="1:4">
      <c r="A196">
        <v>196</v>
      </c>
      <c r="B196" t="s">
        <v>6387</v>
      </c>
      <c r="C196" t="s">
        <v>6394</v>
      </c>
      <c r="D196" t="s">
        <v>6395</v>
      </c>
    </row>
    <row r="197" customHeight="1" spans="1:4">
      <c r="A197">
        <v>197</v>
      </c>
      <c r="B197" t="s">
        <v>6387</v>
      </c>
      <c r="C197" t="s">
        <v>6396</v>
      </c>
      <c r="D197" t="s">
        <v>6397</v>
      </c>
    </row>
    <row r="198" customHeight="1" spans="1:4">
      <c r="A198">
        <v>198</v>
      </c>
      <c r="B198" t="s">
        <v>6387</v>
      </c>
      <c r="C198" t="s">
        <v>6398</v>
      </c>
      <c r="D198" t="s">
        <v>6399</v>
      </c>
    </row>
    <row r="199" customHeight="1" spans="1:4">
      <c r="A199">
        <v>199</v>
      </c>
      <c r="B199" t="s">
        <v>6387</v>
      </c>
      <c r="C199" t="s">
        <v>6400</v>
      </c>
      <c r="D199" t="s">
        <v>6401</v>
      </c>
    </row>
    <row r="200" customHeight="1" spans="1:4">
      <c r="A200">
        <v>200</v>
      </c>
      <c r="B200" t="s">
        <v>6387</v>
      </c>
      <c r="C200" t="s">
        <v>6402</v>
      </c>
      <c r="D200" t="s">
        <v>6403</v>
      </c>
    </row>
    <row r="201" customHeight="1" spans="1:4">
      <c r="A201">
        <v>201</v>
      </c>
      <c r="B201" t="s">
        <v>6387</v>
      </c>
      <c r="C201" t="s">
        <v>6404</v>
      </c>
      <c r="D201" t="s">
        <v>6405</v>
      </c>
    </row>
    <row r="202" customHeight="1" spans="1:4">
      <c r="A202">
        <v>202</v>
      </c>
      <c r="B202" t="s">
        <v>6387</v>
      </c>
      <c r="C202" t="s">
        <v>6406</v>
      </c>
      <c r="D202" t="s">
        <v>6407</v>
      </c>
    </row>
    <row r="203" customHeight="1" spans="1:4">
      <c r="A203">
        <v>203</v>
      </c>
      <c r="B203" t="s">
        <v>6387</v>
      </c>
      <c r="C203" t="s">
        <v>6408</v>
      </c>
      <c r="D203" t="s">
        <v>6409</v>
      </c>
    </row>
    <row r="204" customHeight="1" spans="1:4">
      <c r="A204">
        <v>204</v>
      </c>
      <c r="B204" t="s">
        <v>6387</v>
      </c>
      <c r="C204" t="s">
        <v>6410</v>
      </c>
      <c r="D204" t="s">
        <v>6411</v>
      </c>
    </row>
    <row r="205" customHeight="1" spans="1:4">
      <c r="A205">
        <v>205</v>
      </c>
      <c r="B205" t="s">
        <v>6387</v>
      </c>
      <c r="C205" t="s">
        <v>6412</v>
      </c>
      <c r="D205" t="s">
        <v>6413</v>
      </c>
    </row>
    <row r="206" customHeight="1" spans="1:4">
      <c r="A206">
        <v>206</v>
      </c>
      <c r="B206" t="s">
        <v>6387</v>
      </c>
      <c r="C206" t="s">
        <v>6414</v>
      </c>
      <c r="D206" t="s">
        <v>6415</v>
      </c>
    </row>
    <row r="207" customHeight="1" spans="1:4">
      <c r="A207">
        <v>207</v>
      </c>
      <c r="B207" t="s">
        <v>6416</v>
      </c>
      <c r="C207" t="s">
        <v>6417</v>
      </c>
      <c r="D207" t="s">
        <v>6418</v>
      </c>
    </row>
    <row r="208" customHeight="1" spans="1:4">
      <c r="A208">
        <v>208</v>
      </c>
      <c r="B208" t="s">
        <v>6416</v>
      </c>
      <c r="C208" t="s">
        <v>6419</v>
      </c>
      <c r="D208" t="s">
        <v>6420</v>
      </c>
    </row>
    <row r="209" customHeight="1" spans="1:4">
      <c r="A209">
        <v>209</v>
      </c>
      <c r="B209" t="s">
        <v>6416</v>
      </c>
      <c r="C209" t="s">
        <v>6421</v>
      </c>
      <c r="D209" t="s">
        <v>6422</v>
      </c>
    </row>
    <row r="210" customHeight="1" spans="1:4">
      <c r="A210">
        <v>210</v>
      </c>
      <c r="B210" t="s">
        <v>6416</v>
      </c>
      <c r="C210" t="s">
        <v>6423</v>
      </c>
      <c r="D210" t="s">
        <v>6424</v>
      </c>
    </row>
    <row r="211" customHeight="1" spans="1:4">
      <c r="A211">
        <v>211</v>
      </c>
      <c r="B211" t="s">
        <v>6416</v>
      </c>
      <c r="C211" t="s">
        <v>6416</v>
      </c>
      <c r="D211" t="s">
        <v>6425</v>
      </c>
    </row>
    <row r="212" customHeight="1" spans="1:4">
      <c r="A212">
        <v>212</v>
      </c>
      <c r="B212" t="s">
        <v>6416</v>
      </c>
      <c r="C212" t="s">
        <v>6426</v>
      </c>
      <c r="D212" t="s">
        <v>6427</v>
      </c>
    </row>
    <row r="213" customHeight="1" spans="1:4">
      <c r="A213">
        <v>213</v>
      </c>
      <c r="B213" t="s">
        <v>6416</v>
      </c>
      <c r="C213" t="s">
        <v>6428</v>
      </c>
      <c r="D213" t="s">
        <v>6429</v>
      </c>
    </row>
    <row r="214" customHeight="1" spans="1:4">
      <c r="A214">
        <v>214</v>
      </c>
      <c r="B214" t="s">
        <v>6416</v>
      </c>
      <c r="C214" t="s">
        <v>6430</v>
      </c>
      <c r="D214" t="s">
        <v>6431</v>
      </c>
    </row>
    <row r="215" customHeight="1" spans="1:4">
      <c r="A215">
        <v>215</v>
      </c>
      <c r="B215" t="s">
        <v>6416</v>
      </c>
      <c r="C215" t="s">
        <v>6432</v>
      </c>
      <c r="D215" t="s">
        <v>6433</v>
      </c>
    </row>
    <row r="216" customHeight="1" spans="1:4">
      <c r="A216">
        <v>216</v>
      </c>
      <c r="B216" t="s">
        <v>6416</v>
      </c>
      <c r="C216" t="s">
        <v>6434</v>
      </c>
      <c r="D216" t="s">
        <v>6435</v>
      </c>
    </row>
    <row r="217" customHeight="1" spans="1:4">
      <c r="A217">
        <v>217</v>
      </c>
      <c r="B217" t="s">
        <v>6416</v>
      </c>
      <c r="C217" t="s">
        <v>6436</v>
      </c>
      <c r="D217" t="s">
        <v>6437</v>
      </c>
    </row>
    <row r="218" customHeight="1" spans="1:4">
      <c r="A218">
        <v>218</v>
      </c>
      <c r="B218" t="s">
        <v>6438</v>
      </c>
      <c r="C218" t="s">
        <v>6439</v>
      </c>
      <c r="D218" t="s">
        <v>6440</v>
      </c>
    </row>
    <row r="219" customHeight="1" spans="1:4">
      <c r="A219">
        <v>219</v>
      </c>
      <c r="B219" t="s">
        <v>6438</v>
      </c>
      <c r="C219" t="s">
        <v>6441</v>
      </c>
      <c r="D219" t="s">
        <v>6442</v>
      </c>
    </row>
    <row r="220" customHeight="1" spans="1:4">
      <c r="A220">
        <v>220</v>
      </c>
      <c r="B220" t="s">
        <v>6438</v>
      </c>
      <c r="C220" t="s">
        <v>6443</v>
      </c>
      <c r="D220" t="s">
        <v>6444</v>
      </c>
    </row>
    <row r="221" customHeight="1" spans="1:4">
      <c r="A221">
        <v>221</v>
      </c>
      <c r="B221" t="s">
        <v>6438</v>
      </c>
      <c r="C221" t="s">
        <v>6445</v>
      </c>
      <c r="D221" t="s">
        <v>6446</v>
      </c>
    </row>
    <row r="222" customHeight="1" spans="1:4">
      <c r="A222">
        <v>222</v>
      </c>
      <c r="B222" t="s">
        <v>6438</v>
      </c>
      <c r="C222" t="s">
        <v>6447</v>
      </c>
      <c r="D222" t="s">
        <v>6448</v>
      </c>
    </row>
    <row r="223" customHeight="1" spans="1:4">
      <c r="A223">
        <v>223</v>
      </c>
      <c r="B223" t="s">
        <v>6438</v>
      </c>
      <c r="C223" t="s">
        <v>6438</v>
      </c>
      <c r="D223" t="s">
        <v>6449</v>
      </c>
    </row>
    <row r="224" customHeight="1" spans="1:4">
      <c r="A224">
        <v>224</v>
      </c>
      <c r="B224" t="s">
        <v>6438</v>
      </c>
      <c r="C224" t="s">
        <v>6450</v>
      </c>
      <c r="D224" t="s">
        <v>6451</v>
      </c>
    </row>
    <row r="225" customHeight="1" spans="1:4">
      <c r="A225">
        <v>225</v>
      </c>
      <c r="B225" t="s">
        <v>6438</v>
      </c>
      <c r="C225" t="s">
        <v>6452</v>
      </c>
      <c r="D225" t="s">
        <v>6453</v>
      </c>
    </row>
    <row r="226" customHeight="1" spans="1:4">
      <c r="A226">
        <v>226</v>
      </c>
      <c r="B226" t="s">
        <v>6438</v>
      </c>
      <c r="C226" t="s">
        <v>6454</v>
      </c>
      <c r="D226" t="s">
        <v>6455</v>
      </c>
    </row>
    <row r="227" customHeight="1" spans="1:4">
      <c r="A227">
        <v>227</v>
      </c>
      <c r="B227" t="s">
        <v>6438</v>
      </c>
      <c r="C227" t="s">
        <v>6456</v>
      </c>
      <c r="D227" t="s">
        <v>6457</v>
      </c>
    </row>
    <row r="228" customHeight="1" spans="1:4">
      <c r="A228">
        <v>228</v>
      </c>
      <c r="B228" t="s">
        <v>6438</v>
      </c>
      <c r="C228" t="s">
        <v>6398</v>
      </c>
      <c r="D228" t="s">
        <v>6458</v>
      </c>
    </row>
    <row r="229" customHeight="1" spans="1:4">
      <c r="A229">
        <v>229</v>
      </c>
      <c r="B229" t="s">
        <v>6438</v>
      </c>
      <c r="C229" t="s">
        <v>6459</v>
      </c>
      <c r="D229" t="s">
        <v>6460</v>
      </c>
    </row>
    <row r="230" customHeight="1" spans="1:4">
      <c r="A230">
        <v>230</v>
      </c>
      <c r="B230" t="s">
        <v>6461</v>
      </c>
      <c r="C230" t="s">
        <v>6185</v>
      </c>
      <c r="D230" t="s">
        <v>6462</v>
      </c>
    </row>
    <row r="231" customHeight="1" spans="1:4">
      <c r="A231">
        <v>231</v>
      </c>
      <c r="B231" t="s">
        <v>6461</v>
      </c>
      <c r="C231" t="s">
        <v>6463</v>
      </c>
      <c r="D231" t="s">
        <v>6464</v>
      </c>
    </row>
    <row r="232" customHeight="1" spans="1:4">
      <c r="A232">
        <v>232</v>
      </c>
      <c r="B232" t="s">
        <v>6461</v>
      </c>
      <c r="C232" t="s">
        <v>6461</v>
      </c>
      <c r="D232" t="s">
        <v>6465</v>
      </c>
    </row>
    <row r="233" customHeight="1" spans="1:4">
      <c r="A233">
        <v>233</v>
      </c>
      <c r="B233" t="s">
        <v>6461</v>
      </c>
      <c r="C233" t="s">
        <v>6466</v>
      </c>
      <c r="D233" t="s">
        <v>6467</v>
      </c>
    </row>
    <row r="234" customHeight="1" spans="1:4">
      <c r="A234">
        <v>234</v>
      </c>
      <c r="B234" t="s">
        <v>6461</v>
      </c>
      <c r="C234" t="s">
        <v>6468</v>
      </c>
      <c r="D234" t="s">
        <v>6469</v>
      </c>
    </row>
    <row r="235" customHeight="1" spans="1:4">
      <c r="A235">
        <v>235</v>
      </c>
      <c r="B235" t="s">
        <v>6461</v>
      </c>
      <c r="C235" t="s">
        <v>6470</v>
      </c>
      <c r="D235" t="s">
        <v>6471</v>
      </c>
    </row>
    <row r="236" customHeight="1" spans="1:4">
      <c r="A236">
        <v>236</v>
      </c>
      <c r="B236" t="s">
        <v>6461</v>
      </c>
      <c r="C236" t="s">
        <v>6472</v>
      </c>
      <c r="D236" t="s">
        <v>6473</v>
      </c>
    </row>
    <row r="237" customHeight="1" spans="1:4">
      <c r="A237">
        <v>237</v>
      </c>
      <c r="B237" t="s">
        <v>6461</v>
      </c>
      <c r="C237" t="s">
        <v>6474</v>
      </c>
      <c r="D237" t="s">
        <v>6475</v>
      </c>
    </row>
    <row r="238" customHeight="1" spans="1:4">
      <c r="A238">
        <v>238</v>
      </c>
      <c r="B238" t="s">
        <v>6461</v>
      </c>
      <c r="C238" t="s">
        <v>6476</v>
      </c>
      <c r="D238" t="s">
        <v>6477</v>
      </c>
    </row>
    <row r="239" customHeight="1" spans="1:4">
      <c r="A239">
        <v>239</v>
      </c>
      <c r="B239" t="s">
        <v>6478</v>
      </c>
      <c r="C239" t="s">
        <v>6479</v>
      </c>
      <c r="D239" t="s">
        <v>6480</v>
      </c>
    </row>
    <row r="240" customHeight="1" spans="1:4">
      <c r="A240">
        <v>240</v>
      </c>
      <c r="B240" t="s">
        <v>6478</v>
      </c>
      <c r="C240" t="s">
        <v>6185</v>
      </c>
      <c r="D240" t="s">
        <v>6481</v>
      </c>
    </row>
    <row r="241" customHeight="1" spans="1:4">
      <c r="A241">
        <v>241</v>
      </c>
      <c r="B241" t="s">
        <v>6478</v>
      </c>
      <c r="C241" t="s">
        <v>6289</v>
      </c>
      <c r="D241" t="s">
        <v>6482</v>
      </c>
    </row>
    <row r="242" customHeight="1" spans="1:4">
      <c r="A242">
        <v>242</v>
      </c>
      <c r="B242" t="s">
        <v>6478</v>
      </c>
      <c r="C242" t="s">
        <v>6483</v>
      </c>
      <c r="D242" t="s">
        <v>6484</v>
      </c>
    </row>
    <row r="243" customHeight="1" spans="1:4">
      <c r="A243">
        <v>243</v>
      </c>
      <c r="B243" t="s">
        <v>6478</v>
      </c>
      <c r="C243" t="s">
        <v>6478</v>
      </c>
      <c r="D243" t="s">
        <v>6485</v>
      </c>
    </row>
    <row r="244" customHeight="1" spans="1:4">
      <c r="A244">
        <v>244</v>
      </c>
      <c r="B244" t="s">
        <v>6478</v>
      </c>
      <c r="C244" t="s">
        <v>6486</v>
      </c>
      <c r="D244" t="s">
        <v>6487</v>
      </c>
    </row>
    <row r="245" customHeight="1" spans="1:4">
      <c r="A245">
        <v>245</v>
      </c>
      <c r="B245" t="s">
        <v>6478</v>
      </c>
      <c r="C245" t="s">
        <v>6488</v>
      </c>
      <c r="D245" t="s">
        <v>6489</v>
      </c>
    </row>
    <row r="246" customHeight="1" spans="1:4">
      <c r="A246">
        <v>246</v>
      </c>
      <c r="B246" t="s">
        <v>6478</v>
      </c>
      <c r="C246" t="s">
        <v>6490</v>
      </c>
      <c r="D246" t="s">
        <v>6491</v>
      </c>
    </row>
    <row r="247" customHeight="1" spans="1:4">
      <c r="A247">
        <v>247</v>
      </c>
      <c r="B247" t="s">
        <v>6478</v>
      </c>
      <c r="C247" t="s">
        <v>6492</v>
      </c>
      <c r="D247" t="s">
        <v>6493</v>
      </c>
    </row>
    <row r="248" customHeight="1" spans="1:4">
      <c r="A248">
        <v>248</v>
      </c>
      <c r="B248" t="s">
        <v>6478</v>
      </c>
      <c r="C248" t="s">
        <v>6494</v>
      </c>
      <c r="D248" t="s">
        <v>6495</v>
      </c>
    </row>
    <row r="249" customHeight="1" spans="1:4">
      <c r="A249">
        <v>249</v>
      </c>
      <c r="B249" t="s">
        <v>6478</v>
      </c>
      <c r="C249" t="s">
        <v>6496</v>
      </c>
      <c r="D249" t="s">
        <v>6497</v>
      </c>
    </row>
    <row r="250" customHeight="1" spans="1:4">
      <c r="A250">
        <v>250</v>
      </c>
      <c r="B250" t="s">
        <v>6478</v>
      </c>
      <c r="C250" t="s">
        <v>6498</v>
      </c>
      <c r="D250" t="s">
        <v>6499</v>
      </c>
    </row>
    <row r="251" customHeight="1" spans="1:4">
      <c r="A251">
        <v>251</v>
      </c>
      <c r="B251" t="s">
        <v>6478</v>
      </c>
      <c r="C251" t="s">
        <v>6500</v>
      </c>
      <c r="D251" t="s">
        <v>6501</v>
      </c>
    </row>
    <row r="252" customHeight="1" spans="1:4">
      <c r="A252">
        <v>252</v>
      </c>
      <c r="B252" t="s">
        <v>6478</v>
      </c>
      <c r="C252" t="s">
        <v>6502</v>
      </c>
      <c r="D252" t="s">
        <v>6503</v>
      </c>
    </row>
    <row r="253" customHeight="1" spans="1:4">
      <c r="A253">
        <v>253</v>
      </c>
      <c r="B253" t="s">
        <v>6504</v>
      </c>
      <c r="C253" t="s">
        <v>6019</v>
      </c>
      <c r="D253" t="s">
        <v>6505</v>
      </c>
    </row>
    <row r="254" customHeight="1" spans="1:4">
      <c r="A254">
        <v>254</v>
      </c>
      <c r="B254" t="s">
        <v>6504</v>
      </c>
      <c r="C254" t="s">
        <v>6506</v>
      </c>
      <c r="D254" t="s">
        <v>6507</v>
      </c>
    </row>
    <row r="255" customHeight="1" spans="1:4">
      <c r="A255">
        <v>255</v>
      </c>
      <c r="B255" t="s">
        <v>6504</v>
      </c>
      <c r="C255" t="s">
        <v>6508</v>
      </c>
      <c r="D255" t="s">
        <v>6509</v>
      </c>
    </row>
    <row r="256" customHeight="1" spans="1:4">
      <c r="A256">
        <v>256</v>
      </c>
      <c r="B256" t="s">
        <v>6504</v>
      </c>
      <c r="C256" t="s">
        <v>6510</v>
      </c>
      <c r="D256" t="s">
        <v>6511</v>
      </c>
    </row>
    <row r="257" customHeight="1" spans="1:4">
      <c r="A257">
        <v>257</v>
      </c>
      <c r="B257" t="s">
        <v>6504</v>
      </c>
      <c r="C257" t="s">
        <v>6504</v>
      </c>
      <c r="D257" t="s">
        <v>6512</v>
      </c>
    </row>
    <row r="258" customHeight="1" spans="1:4">
      <c r="A258">
        <v>258</v>
      </c>
      <c r="B258" t="s">
        <v>6504</v>
      </c>
      <c r="C258" t="s">
        <v>6513</v>
      </c>
      <c r="D258" t="s">
        <v>6514</v>
      </c>
    </row>
    <row r="259" customHeight="1" spans="1:4">
      <c r="A259">
        <v>259</v>
      </c>
      <c r="B259" t="s">
        <v>6504</v>
      </c>
      <c r="C259" t="s">
        <v>6515</v>
      </c>
      <c r="D259" t="s">
        <v>6516</v>
      </c>
    </row>
    <row r="260" customHeight="1" spans="1:4">
      <c r="A260">
        <v>260</v>
      </c>
      <c r="B260" t="s">
        <v>6504</v>
      </c>
      <c r="C260" t="s">
        <v>6517</v>
      </c>
      <c r="D260" t="s">
        <v>6518</v>
      </c>
    </row>
    <row r="261" customHeight="1" spans="1:4">
      <c r="A261">
        <v>261</v>
      </c>
      <c r="B261" t="s">
        <v>6504</v>
      </c>
      <c r="C261" t="s">
        <v>6519</v>
      </c>
      <c r="D261" t="s">
        <v>6520</v>
      </c>
    </row>
    <row r="262" customHeight="1" spans="1:4">
      <c r="A262">
        <v>262</v>
      </c>
      <c r="B262" t="s">
        <v>6504</v>
      </c>
      <c r="C262" t="s">
        <v>6521</v>
      </c>
      <c r="D262" t="s">
        <v>6522</v>
      </c>
    </row>
    <row r="263" customHeight="1" spans="1:4">
      <c r="A263">
        <v>263</v>
      </c>
      <c r="B263" t="s">
        <v>6523</v>
      </c>
      <c r="C263" t="s">
        <v>6524</v>
      </c>
      <c r="D263" t="s">
        <v>6525</v>
      </c>
    </row>
    <row r="264" customHeight="1" spans="1:4">
      <c r="A264">
        <v>264</v>
      </c>
      <c r="B264" t="s">
        <v>6523</v>
      </c>
      <c r="C264" t="s">
        <v>6526</v>
      </c>
      <c r="D264" t="s">
        <v>6527</v>
      </c>
    </row>
    <row r="265" customHeight="1" spans="1:4">
      <c r="A265">
        <v>265</v>
      </c>
      <c r="B265" t="s">
        <v>6523</v>
      </c>
      <c r="C265" t="s">
        <v>6528</v>
      </c>
      <c r="D265" t="s">
        <v>6529</v>
      </c>
    </row>
    <row r="266" customHeight="1" spans="1:4">
      <c r="A266">
        <v>266</v>
      </c>
      <c r="B266" t="s">
        <v>6523</v>
      </c>
      <c r="C266" t="s">
        <v>6530</v>
      </c>
      <c r="D266" t="s">
        <v>6531</v>
      </c>
    </row>
    <row r="267" customHeight="1" spans="1:4">
      <c r="A267">
        <v>267</v>
      </c>
      <c r="B267" t="s">
        <v>6523</v>
      </c>
      <c r="C267" t="s">
        <v>6523</v>
      </c>
      <c r="D267" t="s">
        <v>6532</v>
      </c>
    </row>
    <row r="268" customHeight="1" spans="1:4">
      <c r="A268">
        <v>268</v>
      </c>
      <c r="B268" t="s">
        <v>6523</v>
      </c>
      <c r="C268" t="s">
        <v>6533</v>
      </c>
      <c r="D268" t="s">
        <v>6534</v>
      </c>
    </row>
    <row r="269" customHeight="1" spans="1:4">
      <c r="A269">
        <v>269</v>
      </c>
      <c r="B269" t="s">
        <v>6523</v>
      </c>
      <c r="C269" t="s">
        <v>6535</v>
      </c>
      <c r="D269" t="s">
        <v>6536</v>
      </c>
    </row>
    <row r="270" customHeight="1" spans="1:4">
      <c r="A270">
        <v>270</v>
      </c>
      <c r="B270" t="s">
        <v>6523</v>
      </c>
      <c r="C270" t="s">
        <v>6537</v>
      </c>
      <c r="D270" t="s">
        <v>6538</v>
      </c>
    </row>
    <row r="271" customHeight="1" spans="1:4">
      <c r="A271">
        <v>271</v>
      </c>
      <c r="B271" t="s">
        <v>6523</v>
      </c>
      <c r="C271" t="s">
        <v>6336</v>
      </c>
      <c r="D271" t="s">
        <v>6539</v>
      </c>
    </row>
    <row r="272" customHeight="1" spans="1:4">
      <c r="A272">
        <v>272</v>
      </c>
      <c r="B272" t="s">
        <v>6523</v>
      </c>
      <c r="C272" t="s">
        <v>6540</v>
      </c>
      <c r="D272" t="s">
        <v>6541</v>
      </c>
    </row>
    <row r="273" customHeight="1" spans="1:4">
      <c r="A273">
        <v>273</v>
      </c>
      <c r="B273" t="s">
        <v>6542</v>
      </c>
      <c r="C273" t="s">
        <v>6543</v>
      </c>
      <c r="D273" t="s">
        <v>6544</v>
      </c>
    </row>
    <row r="274" customHeight="1" spans="1:4">
      <c r="A274">
        <v>274</v>
      </c>
      <c r="B274" t="s">
        <v>6542</v>
      </c>
      <c r="C274" t="s">
        <v>6545</v>
      </c>
      <c r="D274" t="s">
        <v>6546</v>
      </c>
    </row>
    <row r="275" customHeight="1" spans="1:4">
      <c r="A275">
        <v>275</v>
      </c>
      <c r="B275" t="s">
        <v>6542</v>
      </c>
      <c r="C275" t="s">
        <v>6547</v>
      </c>
      <c r="D275" t="s">
        <v>6548</v>
      </c>
    </row>
    <row r="276" customHeight="1" spans="1:4">
      <c r="A276">
        <v>276</v>
      </c>
      <c r="B276" t="s">
        <v>6542</v>
      </c>
      <c r="C276" t="s">
        <v>6549</v>
      </c>
      <c r="D276" t="s">
        <v>6550</v>
      </c>
    </row>
    <row r="277" customHeight="1" spans="1:4">
      <c r="A277">
        <v>277</v>
      </c>
      <c r="B277" t="s">
        <v>6542</v>
      </c>
      <c r="C277" t="s">
        <v>6551</v>
      </c>
      <c r="D277" t="s">
        <v>6552</v>
      </c>
    </row>
    <row r="278" customHeight="1" spans="1:4">
      <c r="A278">
        <v>278</v>
      </c>
      <c r="B278" t="s">
        <v>6542</v>
      </c>
      <c r="C278" t="s">
        <v>6553</v>
      </c>
      <c r="D278" t="s">
        <v>6554</v>
      </c>
    </row>
    <row r="279" customHeight="1" spans="1:4">
      <c r="A279">
        <v>279</v>
      </c>
      <c r="B279" t="s">
        <v>6542</v>
      </c>
      <c r="C279" t="s">
        <v>6542</v>
      </c>
      <c r="D279" t="s">
        <v>6555</v>
      </c>
    </row>
    <row r="280" customHeight="1" spans="1:4">
      <c r="A280">
        <v>280</v>
      </c>
      <c r="B280" t="s">
        <v>6542</v>
      </c>
      <c r="C280" t="s">
        <v>6556</v>
      </c>
      <c r="D280" t="s">
        <v>6557</v>
      </c>
    </row>
    <row r="281" customHeight="1" spans="1:4">
      <c r="A281">
        <v>281</v>
      </c>
      <c r="B281" t="s">
        <v>6542</v>
      </c>
      <c r="C281" t="s">
        <v>6558</v>
      </c>
      <c r="D281" t="s">
        <v>6559</v>
      </c>
    </row>
    <row r="282" customHeight="1" spans="1:4">
      <c r="A282">
        <v>282</v>
      </c>
      <c r="B282" t="s">
        <v>6542</v>
      </c>
      <c r="C282" t="s">
        <v>6560</v>
      </c>
      <c r="D282" t="s">
        <v>6561</v>
      </c>
    </row>
    <row r="283" customHeight="1" spans="1:4">
      <c r="A283">
        <v>283</v>
      </c>
      <c r="B283" t="s">
        <v>6542</v>
      </c>
      <c r="C283" t="s">
        <v>6562</v>
      </c>
      <c r="D283" t="s">
        <v>6563</v>
      </c>
    </row>
    <row r="284" customHeight="1" spans="1:4">
      <c r="A284">
        <v>284</v>
      </c>
      <c r="B284" t="s">
        <v>6564</v>
      </c>
      <c r="C284" t="s">
        <v>6565</v>
      </c>
      <c r="D284" t="s">
        <v>6566</v>
      </c>
    </row>
    <row r="285" customHeight="1" spans="1:4">
      <c r="A285">
        <v>285</v>
      </c>
      <c r="B285" t="s">
        <v>6564</v>
      </c>
      <c r="C285" t="s">
        <v>6564</v>
      </c>
      <c r="D285" t="s">
        <v>6567</v>
      </c>
    </row>
    <row r="286" customHeight="1" spans="1:4">
      <c r="A286">
        <v>286</v>
      </c>
      <c r="B286" t="s">
        <v>6564</v>
      </c>
      <c r="C286" t="s">
        <v>6568</v>
      </c>
      <c r="D286" t="s">
        <v>6569</v>
      </c>
    </row>
    <row r="287" customHeight="1" spans="1:4">
      <c r="A287">
        <v>287</v>
      </c>
      <c r="B287" t="s">
        <v>6564</v>
      </c>
      <c r="C287" t="s">
        <v>6570</v>
      </c>
      <c r="D287" t="s">
        <v>6571</v>
      </c>
    </row>
    <row r="288" customHeight="1" spans="1:4">
      <c r="A288">
        <v>288</v>
      </c>
      <c r="B288" t="s">
        <v>6564</v>
      </c>
      <c r="C288" t="s">
        <v>6336</v>
      </c>
      <c r="D288" t="s">
        <v>6572</v>
      </c>
    </row>
    <row r="289" customHeight="1" spans="1:4">
      <c r="A289">
        <v>289</v>
      </c>
      <c r="B289" t="s">
        <v>6564</v>
      </c>
      <c r="C289" t="s">
        <v>6573</v>
      </c>
      <c r="D289" t="s">
        <v>6574</v>
      </c>
    </row>
    <row r="290" customHeight="1" spans="1:4">
      <c r="A290">
        <v>290</v>
      </c>
      <c r="B290" t="s">
        <v>6564</v>
      </c>
      <c r="C290" t="s">
        <v>6575</v>
      </c>
      <c r="D290" t="s">
        <v>6576</v>
      </c>
    </row>
    <row r="291" customHeight="1" spans="1:4">
      <c r="A291">
        <v>291</v>
      </c>
      <c r="B291" t="s">
        <v>6564</v>
      </c>
      <c r="C291" t="s">
        <v>6577</v>
      </c>
      <c r="D291" t="s">
        <v>6578</v>
      </c>
    </row>
    <row r="292" customHeight="1" spans="1:4">
      <c r="A292">
        <v>292</v>
      </c>
      <c r="B292" t="s">
        <v>6564</v>
      </c>
      <c r="C292" t="s">
        <v>6320</v>
      </c>
      <c r="D292" t="s">
        <v>6579</v>
      </c>
    </row>
    <row r="293" customHeight="1" spans="1:4">
      <c r="A293">
        <v>293</v>
      </c>
      <c r="B293" t="s">
        <v>6564</v>
      </c>
      <c r="C293" t="s">
        <v>6580</v>
      </c>
      <c r="D293" t="s">
        <v>6581</v>
      </c>
    </row>
    <row r="294" customHeight="1" spans="1:4">
      <c r="A294">
        <v>294</v>
      </c>
      <c r="B294" t="s">
        <v>6564</v>
      </c>
      <c r="C294" t="s">
        <v>6582</v>
      </c>
      <c r="D294" t="s">
        <v>6583</v>
      </c>
    </row>
    <row r="295" customHeight="1" spans="1:4">
      <c r="A295">
        <v>295</v>
      </c>
      <c r="B295" t="s">
        <v>6584</v>
      </c>
      <c r="C295" t="s">
        <v>6585</v>
      </c>
      <c r="D295" t="s">
        <v>6586</v>
      </c>
    </row>
    <row r="296" customHeight="1" spans="1:4">
      <c r="A296">
        <v>296</v>
      </c>
      <c r="B296" t="s">
        <v>6584</v>
      </c>
      <c r="C296" t="s">
        <v>6587</v>
      </c>
      <c r="D296" t="s">
        <v>6588</v>
      </c>
    </row>
    <row r="297" customHeight="1" spans="1:4">
      <c r="A297">
        <v>297</v>
      </c>
      <c r="B297" t="s">
        <v>6584</v>
      </c>
      <c r="C297" t="s">
        <v>6589</v>
      </c>
      <c r="D297" t="s">
        <v>6590</v>
      </c>
    </row>
    <row r="298" customHeight="1" spans="1:4">
      <c r="A298">
        <v>298</v>
      </c>
      <c r="B298" t="s">
        <v>6584</v>
      </c>
      <c r="C298" t="s">
        <v>6259</v>
      </c>
      <c r="D298" t="s">
        <v>6591</v>
      </c>
    </row>
    <row r="299" customHeight="1" spans="1:4">
      <c r="A299">
        <v>299</v>
      </c>
      <c r="B299" t="s">
        <v>6584</v>
      </c>
      <c r="C299" t="s">
        <v>6592</v>
      </c>
      <c r="D299" t="s">
        <v>6593</v>
      </c>
    </row>
    <row r="300" customHeight="1" spans="1:4">
      <c r="A300">
        <v>300</v>
      </c>
      <c r="B300" t="s">
        <v>6584</v>
      </c>
      <c r="C300" t="s">
        <v>6594</v>
      </c>
      <c r="D300" t="s">
        <v>6595</v>
      </c>
    </row>
    <row r="301" customHeight="1" spans="1:4">
      <c r="A301">
        <v>301</v>
      </c>
      <c r="B301" t="s">
        <v>6584</v>
      </c>
      <c r="C301" t="s">
        <v>6596</v>
      </c>
      <c r="D301" t="s">
        <v>6597</v>
      </c>
    </row>
    <row r="302" customHeight="1" spans="1:4">
      <c r="A302">
        <v>302</v>
      </c>
      <c r="B302" t="s">
        <v>6584</v>
      </c>
      <c r="C302" t="s">
        <v>6029</v>
      </c>
      <c r="D302" t="s">
        <v>6598</v>
      </c>
    </row>
    <row r="303" customHeight="1" spans="1:4">
      <c r="A303">
        <v>303</v>
      </c>
      <c r="B303" t="s">
        <v>6584</v>
      </c>
      <c r="C303" t="s">
        <v>6584</v>
      </c>
      <c r="D303" t="s">
        <v>6599</v>
      </c>
    </row>
    <row r="304" customHeight="1" spans="1:4">
      <c r="A304">
        <v>304</v>
      </c>
      <c r="B304" t="s">
        <v>6584</v>
      </c>
      <c r="C304" t="s">
        <v>6600</v>
      </c>
      <c r="D304" t="s">
        <v>6601</v>
      </c>
    </row>
    <row r="305" customHeight="1" spans="1:4">
      <c r="A305">
        <v>305</v>
      </c>
      <c r="B305" t="s">
        <v>6584</v>
      </c>
      <c r="C305" t="s">
        <v>6602</v>
      </c>
      <c r="D305" t="s">
        <v>6603</v>
      </c>
    </row>
    <row r="306" customHeight="1" spans="1:4">
      <c r="A306">
        <v>306</v>
      </c>
      <c r="B306" t="s">
        <v>6584</v>
      </c>
      <c r="C306" t="s">
        <v>6132</v>
      </c>
      <c r="D306" t="s">
        <v>6604</v>
      </c>
    </row>
    <row r="307" customHeight="1" spans="1:4">
      <c r="A307">
        <v>307</v>
      </c>
      <c r="B307" t="s">
        <v>6584</v>
      </c>
      <c r="C307" t="s">
        <v>6605</v>
      </c>
      <c r="D307" t="s">
        <v>6606</v>
      </c>
    </row>
    <row r="308" customHeight="1" spans="1:4">
      <c r="A308">
        <v>308</v>
      </c>
      <c r="B308" t="s">
        <v>6584</v>
      </c>
      <c r="C308" t="s">
        <v>6607</v>
      </c>
      <c r="D308" t="s">
        <v>6608</v>
      </c>
    </row>
    <row r="309" customHeight="1" spans="1:4">
      <c r="A309">
        <v>309</v>
      </c>
      <c r="B309" t="s">
        <v>6584</v>
      </c>
      <c r="C309" t="s">
        <v>6434</v>
      </c>
      <c r="D309" t="s">
        <v>6609</v>
      </c>
    </row>
    <row r="310" customHeight="1" spans="1:4">
      <c r="A310">
        <v>310</v>
      </c>
      <c r="B310" t="s">
        <v>6584</v>
      </c>
      <c r="C310" t="s">
        <v>6610</v>
      </c>
      <c r="D310" t="s">
        <v>6611</v>
      </c>
    </row>
    <row r="311" customHeight="1" spans="1:4">
      <c r="A311">
        <v>311</v>
      </c>
      <c r="B311" t="s">
        <v>6584</v>
      </c>
      <c r="C311" t="s">
        <v>6612</v>
      </c>
      <c r="D311" t="s">
        <v>6613</v>
      </c>
    </row>
    <row r="312" customHeight="1" spans="1:4">
      <c r="A312">
        <v>312</v>
      </c>
      <c r="B312" t="s">
        <v>6584</v>
      </c>
      <c r="C312" t="s">
        <v>6614</v>
      </c>
      <c r="D312" t="s">
        <v>6615</v>
      </c>
    </row>
    <row r="313" customHeight="1" spans="1:4">
      <c r="A313">
        <v>313</v>
      </c>
      <c r="B313" t="s">
        <v>6584</v>
      </c>
      <c r="C313" t="s">
        <v>6164</v>
      </c>
      <c r="D313" t="s">
        <v>6616</v>
      </c>
    </row>
    <row r="314" customHeight="1" spans="1:4">
      <c r="A314">
        <v>314</v>
      </c>
      <c r="B314" t="s">
        <v>6617</v>
      </c>
      <c r="C314" t="s">
        <v>6618</v>
      </c>
      <c r="D314" t="s">
        <v>6619</v>
      </c>
    </row>
    <row r="315" customHeight="1" spans="1:4">
      <c r="A315">
        <v>315</v>
      </c>
      <c r="B315" t="s">
        <v>6617</v>
      </c>
      <c r="C315" t="s">
        <v>6620</v>
      </c>
      <c r="D315" t="s">
        <v>6621</v>
      </c>
    </row>
    <row r="316" customHeight="1" spans="1:4">
      <c r="A316">
        <v>316</v>
      </c>
      <c r="B316" t="s">
        <v>6617</v>
      </c>
      <c r="C316" t="s">
        <v>6622</v>
      </c>
      <c r="D316" t="s">
        <v>6623</v>
      </c>
    </row>
    <row r="317" customHeight="1" spans="1:4">
      <c r="A317">
        <v>317</v>
      </c>
      <c r="B317" t="s">
        <v>6617</v>
      </c>
      <c r="C317" t="s">
        <v>6624</v>
      </c>
      <c r="D317" t="s">
        <v>6625</v>
      </c>
    </row>
    <row r="318" customHeight="1" spans="1:4">
      <c r="A318">
        <v>318</v>
      </c>
      <c r="B318" t="s">
        <v>6617</v>
      </c>
      <c r="C318" t="s">
        <v>6626</v>
      </c>
      <c r="D318" t="s">
        <v>6627</v>
      </c>
    </row>
    <row r="319" customHeight="1" spans="1:4">
      <c r="A319">
        <v>319</v>
      </c>
      <c r="B319" t="s">
        <v>6617</v>
      </c>
      <c r="C319" t="s">
        <v>6628</v>
      </c>
      <c r="D319" t="s">
        <v>6629</v>
      </c>
    </row>
    <row r="320" customHeight="1" spans="1:4">
      <c r="A320">
        <v>320</v>
      </c>
      <c r="B320" t="s">
        <v>6617</v>
      </c>
      <c r="C320" t="s">
        <v>6630</v>
      </c>
      <c r="D320" t="s">
        <v>6631</v>
      </c>
    </row>
    <row r="321" customHeight="1" spans="1:4">
      <c r="A321">
        <v>321</v>
      </c>
      <c r="B321" t="s">
        <v>6617</v>
      </c>
      <c r="C321" t="s">
        <v>6617</v>
      </c>
      <c r="D321" t="s">
        <v>6632</v>
      </c>
    </row>
    <row r="322" customHeight="1" spans="1:4">
      <c r="A322">
        <v>322</v>
      </c>
      <c r="B322" t="s">
        <v>6617</v>
      </c>
      <c r="C322" t="s">
        <v>6633</v>
      </c>
      <c r="D322" t="s">
        <v>6634</v>
      </c>
    </row>
    <row r="323" customHeight="1" spans="1:4">
      <c r="A323">
        <v>323</v>
      </c>
      <c r="B323" t="s">
        <v>6617</v>
      </c>
      <c r="C323" t="s">
        <v>6635</v>
      </c>
      <c r="D323" t="s">
        <v>6636</v>
      </c>
    </row>
    <row r="324" customHeight="1" spans="1:4">
      <c r="A324">
        <v>324</v>
      </c>
      <c r="B324" t="s">
        <v>6617</v>
      </c>
      <c r="C324" t="s">
        <v>6434</v>
      </c>
      <c r="D324" t="s">
        <v>6637</v>
      </c>
    </row>
    <row r="325" customHeight="1" spans="1:4">
      <c r="A325">
        <v>325</v>
      </c>
      <c r="B325" t="s">
        <v>6617</v>
      </c>
      <c r="C325" t="s">
        <v>6638</v>
      </c>
      <c r="D325" t="s">
        <v>6639</v>
      </c>
    </row>
    <row r="326" customHeight="1" spans="1:4">
      <c r="A326">
        <v>326</v>
      </c>
      <c r="B326" t="s">
        <v>6617</v>
      </c>
      <c r="C326" t="s">
        <v>6640</v>
      </c>
      <c r="D326" t="s">
        <v>6641</v>
      </c>
    </row>
    <row r="327" customHeight="1" spans="1:4">
      <c r="A327">
        <v>327</v>
      </c>
      <c r="B327" t="s">
        <v>6617</v>
      </c>
      <c r="C327" t="s">
        <v>6642</v>
      </c>
      <c r="D327" t="s">
        <v>6643</v>
      </c>
    </row>
    <row r="328" customHeight="1" spans="1:4">
      <c r="A328">
        <v>328</v>
      </c>
      <c r="B328" t="s">
        <v>6644</v>
      </c>
      <c r="C328" t="s">
        <v>6645</v>
      </c>
      <c r="D328" t="s">
        <v>6646</v>
      </c>
    </row>
    <row r="329" customHeight="1" spans="1:4">
      <c r="A329">
        <v>329</v>
      </c>
      <c r="B329" t="s">
        <v>6644</v>
      </c>
      <c r="C329" t="s">
        <v>6647</v>
      </c>
      <c r="D329" t="s">
        <v>6648</v>
      </c>
    </row>
    <row r="330" customHeight="1" spans="1:4">
      <c r="A330">
        <v>330</v>
      </c>
      <c r="B330" t="s">
        <v>6644</v>
      </c>
      <c r="C330" t="s">
        <v>6649</v>
      </c>
      <c r="D330" t="s">
        <v>6650</v>
      </c>
    </row>
    <row r="331" customHeight="1" spans="1:4">
      <c r="A331">
        <v>331</v>
      </c>
      <c r="B331" t="s">
        <v>6644</v>
      </c>
      <c r="C331" t="s">
        <v>6644</v>
      </c>
      <c r="D331" t="s">
        <v>6651</v>
      </c>
    </row>
    <row r="332" customHeight="1" spans="1:4">
      <c r="A332">
        <v>332</v>
      </c>
      <c r="B332" t="s">
        <v>6644</v>
      </c>
      <c r="C332" t="s">
        <v>6150</v>
      </c>
      <c r="D332" t="s">
        <v>6652</v>
      </c>
    </row>
    <row r="333" customHeight="1" spans="1:4">
      <c r="A333">
        <v>333</v>
      </c>
      <c r="B333" t="s">
        <v>6644</v>
      </c>
      <c r="C333" t="s">
        <v>6653</v>
      </c>
      <c r="D333" t="s">
        <v>6654</v>
      </c>
    </row>
    <row r="334" customHeight="1" spans="1:4">
      <c r="A334">
        <v>334</v>
      </c>
      <c r="B334" t="s">
        <v>6644</v>
      </c>
      <c r="C334" t="s">
        <v>6132</v>
      </c>
      <c r="D334" t="s">
        <v>6655</v>
      </c>
    </row>
    <row r="335" customHeight="1" spans="1:4">
      <c r="A335">
        <v>335</v>
      </c>
      <c r="B335" t="s">
        <v>6644</v>
      </c>
      <c r="C335" t="s">
        <v>6656</v>
      </c>
      <c r="D335" t="s">
        <v>6657</v>
      </c>
    </row>
    <row r="336" customHeight="1" spans="1:4">
      <c r="A336">
        <v>336</v>
      </c>
      <c r="B336" t="s">
        <v>6644</v>
      </c>
      <c r="C336" t="s">
        <v>6658</v>
      </c>
      <c r="D336" t="s">
        <v>6659</v>
      </c>
    </row>
    <row r="337" customHeight="1" spans="1:4">
      <c r="A337">
        <v>337</v>
      </c>
      <c r="B337" t="s">
        <v>6660</v>
      </c>
      <c r="C337" t="s">
        <v>6661</v>
      </c>
      <c r="D337" t="s">
        <v>6662</v>
      </c>
    </row>
    <row r="338" customHeight="1" spans="1:4">
      <c r="A338">
        <v>338</v>
      </c>
      <c r="B338" t="s">
        <v>6660</v>
      </c>
      <c r="C338" t="s">
        <v>6663</v>
      </c>
      <c r="D338" t="s">
        <v>6664</v>
      </c>
    </row>
    <row r="339" customHeight="1" spans="1:4">
      <c r="A339">
        <v>339</v>
      </c>
      <c r="B339" t="s">
        <v>6660</v>
      </c>
      <c r="C339" t="s">
        <v>6665</v>
      </c>
      <c r="D339" t="s">
        <v>6666</v>
      </c>
    </row>
    <row r="340" customHeight="1" spans="1:4">
      <c r="A340">
        <v>340</v>
      </c>
      <c r="B340" t="s">
        <v>6660</v>
      </c>
      <c r="C340" t="s">
        <v>6667</v>
      </c>
      <c r="D340" t="s">
        <v>6668</v>
      </c>
    </row>
    <row r="341" customHeight="1" spans="1:4">
      <c r="A341">
        <v>341</v>
      </c>
      <c r="B341" t="s">
        <v>6660</v>
      </c>
      <c r="C341" t="s">
        <v>6669</v>
      </c>
      <c r="D341" t="s">
        <v>6670</v>
      </c>
    </row>
    <row r="342" customHeight="1" spans="1:4">
      <c r="A342">
        <v>342</v>
      </c>
      <c r="B342" t="s">
        <v>6660</v>
      </c>
      <c r="C342" t="s">
        <v>6660</v>
      </c>
      <c r="D342" t="s">
        <v>6671</v>
      </c>
    </row>
    <row r="343" customHeight="1" spans="1:4">
      <c r="A343">
        <v>343</v>
      </c>
      <c r="B343" t="s">
        <v>6660</v>
      </c>
      <c r="C343" t="s">
        <v>6132</v>
      </c>
      <c r="D343" t="s">
        <v>6672</v>
      </c>
    </row>
    <row r="344" customHeight="1" spans="1:4">
      <c r="A344">
        <v>344</v>
      </c>
      <c r="B344" t="s">
        <v>6660</v>
      </c>
      <c r="C344" t="s">
        <v>6673</v>
      </c>
      <c r="D344" t="s">
        <v>6674</v>
      </c>
    </row>
    <row r="345" customHeight="1" spans="1:4">
      <c r="A345">
        <v>345</v>
      </c>
      <c r="B345" t="s">
        <v>6660</v>
      </c>
      <c r="C345" t="s">
        <v>6675</v>
      </c>
      <c r="D345" t="s">
        <v>6676</v>
      </c>
    </row>
    <row r="346" customHeight="1" spans="1:4">
      <c r="A346">
        <v>346</v>
      </c>
      <c r="B346" t="s">
        <v>6660</v>
      </c>
      <c r="C346" t="s">
        <v>6677</v>
      </c>
      <c r="D346" t="s">
        <v>6678</v>
      </c>
    </row>
    <row r="347" customHeight="1" spans="1:4">
      <c r="A347">
        <v>347</v>
      </c>
      <c r="B347" t="s">
        <v>6660</v>
      </c>
      <c r="C347" t="s">
        <v>6679</v>
      </c>
      <c r="D347" t="s">
        <v>6680</v>
      </c>
    </row>
    <row r="348" customHeight="1" spans="1:4">
      <c r="A348">
        <v>348</v>
      </c>
      <c r="B348" t="s">
        <v>6660</v>
      </c>
      <c r="C348" t="s">
        <v>6681</v>
      </c>
      <c r="D348" t="s">
        <v>6682</v>
      </c>
    </row>
    <row r="349" customHeight="1" spans="1:4">
      <c r="A349">
        <v>349</v>
      </c>
      <c r="B349" t="s">
        <v>6660</v>
      </c>
      <c r="C349" t="s">
        <v>6683</v>
      </c>
      <c r="D349" t="s">
        <v>6684</v>
      </c>
    </row>
    <row r="350" customHeight="1" spans="1:4">
      <c r="A350">
        <v>350</v>
      </c>
      <c r="B350" t="s">
        <v>6685</v>
      </c>
      <c r="C350" t="s">
        <v>6686</v>
      </c>
      <c r="D350" t="s">
        <v>6687</v>
      </c>
    </row>
    <row r="351" customHeight="1" spans="1:4">
      <c r="A351">
        <v>351</v>
      </c>
      <c r="B351" t="s">
        <v>6685</v>
      </c>
      <c r="C351" t="s">
        <v>6688</v>
      </c>
      <c r="D351" t="s">
        <v>6689</v>
      </c>
    </row>
    <row r="352" customHeight="1" spans="1:4">
      <c r="A352">
        <v>352</v>
      </c>
      <c r="B352" t="s">
        <v>6685</v>
      </c>
      <c r="C352" t="s">
        <v>6690</v>
      </c>
      <c r="D352" t="s">
        <v>6691</v>
      </c>
    </row>
    <row r="353" customHeight="1" spans="1:4">
      <c r="A353">
        <v>353</v>
      </c>
      <c r="B353" t="s">
        <v>6685</v>
      </c>
      <c r="C353" t="s">
        <v>6685</v>
      </c>
      <c r="D353" t="s">
        <v>6692</v>
      </c>
    </row>
    <row r="354" customHeight="1" spans="1:4">
      <c r="A354">
        <v>354</v>
      </c>
      <c r="B354" t="s">
        <v>6685</v>
      </c>
      <c r="C354" t="s">
        <v>6693</v>
      </c>
      <c r="D354" t="s">
        <v>6694</v>
      </c>
    </row>
    <row r="355" customHeight="1" spans="1:4">
      <c r="A355">
        <v>355</v>
      </c>
      <c r="B355" t="s">
        <v>6685</v>
      </c>
      <c r="C355" t="s">
        <v>6695</v>
      </c>
      <c r="D355" t="s">
        <v>6696</v>
      </c>
    </row>
    <row r="356" customHeight="1" spans="1:4">
      <c r="A356">
        <v>356</v>
      </c>
      <c r="B356" t="s">
        <v>6685</v>
      </c>
      <c r="C356" t="s">
        <v>6204</v>
      </c>
      <c r="D356" t="s">
        <v>6697</v>
      </c>
    </row>
    <row r="357" customHeight="1" spans="1:4">
      <c r="A357">
        <v>357</v>
      </c>
      <c r="B357" t="s">
        <v>6685</v>
      </c>
      <c r="C357" t="s">
        <v>6698</v>
      </c>
      <c r="D357" t="s">
        <v>6699</v>
      </c>
    </row>
    <row r="358" customHeight="1" spans="1:4">
      <c r="A358">
        <v>358</v>
      </c>
      <c r="B358" t="s">
        <v>6700</v>
      </c>
      <c r="C358" t="s">
        <v>6701</v>
      </c>
      <c r="D358" t="s">
        <v>6702</v>
      </c>
    </row>
    <row r="359" customHeight="1" spans="1:4">
      <c r="A359">
        <v>359</v>
      </c>
      <c r="B359" t="s">
        <v>6700</v>
      </c>
      <c r="C359" t="s">
        <v>6366</v>
      </c>
      <c r="D359" t="s">
        <v>6703</v>
      </c>
    </row>
    <row r="360" customHeight="1" spans="1:4">
      <c r="A360">
        <v>360</v>
      </c>
      <c r="B360" t="s">
        <v>6700</v>
      </c>
      <c r="C360" t="s">
        <v>6704</v>
      </c>
      <c r="D360" t="s">
        <v>6705</v>
      </c>
    </row>
    <row r="361" customHeight="1" spans="1:4">
      <c r="A361">
        <v>361</v>
      </c>
      <c r="B361" t="s">
        <v>6700</v>
      </c>
      <c r="C361" t="s">
        <v>6549</v>
      </c>
      <c r="D361" t="s">
        <v>6706</v>
      </c>
    </row>
    <row r="362" customHeight="1" spans="1:4">
      <c r="A362">
        <v>362</v>
      </c>
      <c r="B362" t="s">
        <v>6700</v>
      </c>
      <c r="C362" t="s">
        <v>6624</v>
      </c>
      <c r="D362" t="s">
        <v>6707</v>
      </c>
    </row>
    <row r="363" customHeight="1" spans="1:4">
      <c r="A363">
        <v>363</v>
      </c>
      <c r="B363" t="s">
        <v>6700</v>
      </c>
      <c r="C363" t="s">
        <v>6230</v>
      </c>
      <c r="D363" t="s">
        <v>6708</v>
      </c>
    </row>
    <row r="364" customHeight="1" spans="1:4">
      <c r="A364">
        <v>364</v>
      </c>
      <c r="B364" t="s">
        <v>6700</v>
      </c>
      <c r="C364" t="s">
        <v>6709</v>
      </c>
      <c r="D364" t="s">
        <v>6710</v>
      </c>
    </row>
    <row r="365" customHeight="1" spans="1:4">
      <c r="A365">
        <v>365</v>
      </c>
      <c r="B365" t="s">
        <v>6700</v>
      </c>
      <c r="C365" t="s">
        <v>6700</v>
      </c>
      <c r="D365" t="s">
        <v>6711</v>
      </c>
    </row>
    <row r="366" customHeight="1" spans="1:4">
      <c r="A366">
        <v>366</v>
      </c>
      <c r="B366" t="s">
        <v>6700</v>
      </c>
      <c r="C366" t="s">
        <v>6712</v>
      </c>
      <c r="D366" t="s">
        <v>6713</v>
      </c>
    </row>
    <row r="367" customHeight="1" spans="1:4">
      <c r="A367">
        <v>367</v>
      </c>
      <c r="B367" t="s">
        <v>6700</v>
      </c>
      <c r="C367" t="s">
        <v>6714</v>
      </c>
      <c r="D367" t="s">
        <v>6715</v>
      </c>
    </row>
    <row r="368" customHeight="1" spans="1:4">
      <c r="A368">
        <v>368</v>
      </c>
      <c r="B368" t="s">
        <v>6700</v>
      </c>
      <c r="C368" t="s">
        <v>6716</v>
      </c>
      <c r="D368" t="s">
        <v>6717</v>
      </c>
    </row>
    <row r="369" customHeight="1" spans="1:4">
      <c r="A369">
        <v>369</v>
      </c>
      <c r="B369" t="s">
        <v>6700</v>
      </c>
      <c r="C369" t="s">
        <v>6718</v>
      </c>
      <c r="D369" t="s">
        <v>6719</v>
      </c>
    </row>
    <row r="370" customHeight="1" spans="1:4">
      <c r="A370">
        <v>370</v>
      </c>
      <c r="B370" t="s">
        <v>6700</v>
      </c>
      <c r="C370" t="s">
        <v>6720</v>
      </c>
      <c r="D370" t="s">
        <v>6721</v>
      </c>
    </row>
    <row r="371" customHeight="1" spans="1:4">
      <c r="A371">
        <v>371</v>
      </c>
      <c r="B371" t="s">
        <v>6700</v>
      </c>
      <c r="C371" t="s">
        <v>6722</v>
      </c>
      <c r="D371" t="s">
        <v>6723</v>
      </c>
    </row>
    <row r="372" customHeight="1" spans="1:4">
      <c r="A372">
        <v>372</v>
      </c>
      <c r="B372" t="s">
        <v>6700</v>
      </c>
      <c r="C372" t="s">
        <v>6724</v>
      </c>
      <c r="D372" t="s">
        <v>6725</v>
      </c>
    </row>
    <row r="373" customHeight="1" spans="1:4">
      <c r="A373">
        <v>373</v>
      </c>
      <c r="B373" t="s">
        <v>6700</v>
      </c>
      <c r="C373" t="s">
        <v>6726</v>
      </c>
      <c r="D373" t="s">
        <v>6727</v>
      </c>
    </row>
    <row r="374" customHeight="1" spans="1:4">
      <c r="A374">
        <v>374</v>
      </c>
      <c r="B374" t="s">
        <v>6728</v>
      </c>
      <c r="C374" t="s">
        <v>6729</v>
      </c>
      <c r="D374" t="s">
        <v>6730</v>
      </c>
    </row>
    <row r="375" customHeight="1" spans="1:4">
      <c r="A375">
        <v>375</v>
      </c>
      <c r="B375" t="s">
        <v>6728</v>
      </c>
      <c r="C375" t="s">
        <v>6731</v>
      </c>
      <c r="D375" t="s">
        <v>6732</v>
      </c>
    </row>
    <row r="376" customHeight="1" spans="1:4">
      <c r="A376">
        <v>376</v>
      </c>
      <c r="B376" t="s">
        <v>6728</v>
      </c>
      <c r="C376" t="s">
        <v>6733</v>
      </c>
      <c r="D376" t="s">
        <v>6734</v>
      </c>
    </row>
    <row r="377" customHeight="1" spans="1:4">
      <c r="A377">
        <v>377</v>
      </c>
      <c r="B377" t="s">
        <v>6728</v>
      </c>
      <c r="C377" t="s">
        <v>6735</v>
      </c>
      <c r="D377" t="s">
        <v>6736</v>
      </c>
    </row>
    <row r="378" customHeight="1" spans="1:4">
      <c r="A378">
        <v>378</v>
      </c>
      <c r="B378" t="s">
        <v>6728</v>
      </c>
      <c r="C378" t="s">
        <v>6737</v>
      </c>
      <c r="D378" t="s">
        <v>6738</v>
      </c>
    </row>
    <row r="379" customHeight="1" spans="1:4">
      <c r="A379">
        <v>379</v>
      </c>
      <c r="B379" t="s">
        <v>6728</v>
      </c>
      <c r="C379" t="s">
        <v>6728</v>
      </c>
      <c r="D379" t="s">
        <v>6739</v>
      </c>
    </row>
    <row r="380" customHeight="1" spans="1:4">
      <c r="A380">
        <v>380</v>
      </c>
      <c r="B380" t="s">
        <v>6728</v>
      </c>
      <c r="C380" t="s">
        <v>6740</v>
      </c>
      <c r="D380" t="s">
        <v>6741</v>
      </c>
    </row>
    <row r="381" customHeight="1" spans="1:4">
      <c r="A381">
        <v>381</v>
      </c>
      <c r="B381" t="s">
        <v>6728</v>
      </c>
      <c r="C381" t="s">
        <v>6742</v>
      </c>
      <c r="D381" t="s">
        <v>6743</v>
      </c>
    </row>
    <row r="382" customHeight="1" spans="1:4">
      <c r="A382">
        <v>382</v>
      </c>
      <c r="B382" t="s">
        <v>6728</v>
      </c>
      <c r="C382" t="s">
        <v>6744</v>
      </c>
      <c r="D382" t="s">
        <v>6745</v>
      </c>
    </row>
    <row r="383" customHeight="1" spans="1:4">
      <c r="A383">
        <v>383</v>
      </c>
      <c r="B383" t="s">
        <v>6728</v>
      </c>
      <c r="C383" t="s">
        <v>6746</v>
      </c>
      <c r="D383" t="s">
        <v>6747</v>
      </c>
    </row>
    <row r="384" customHeight="1" spans="1:4">
      <c r="A384">
        <v>384</v>
      </c>
      <c r="B384" t="s">
        <v>6748</v>
      </c>
      <c r="C384" t="s">
        <v>6749</v>
      </c>
      <c r="D384" t="s">
        <v>6750</v>
      </c>
    </row>
    <row r="385" customHeight="1" spans="1:4">
      <c r="A385">
        <v>385</v>
      </c>
      <c r="B385" t="s">
        <v>6748</v>
      </c>
      <c r="C385" t="s">
        <v>6751</v>
      </c>
      <c r="D385" t="s">
        <v>6752</v>
      </c>
    </row>
    <row r="386" customHeight="1" spans="1:4">
      <c r="A386">
        <v>386</v>
      </c>
      <c r="B386" t="s">
        <v>6748</v>
      </c>
      <c r="C386" t="s">
        <v>6185</v>
      </c>
      <c r="D386" t="s">
        <v>6753</v>
      </c>
    </row>
    <row r="387" customHeight="1" spans="1:4">
      <c r="A387">
        <v>387</v>
      </c>
      <c r="B387" t="s">
        <v>6748</v>
      </c>
      <c r="C387" t="s">
        <v>6754</v>
      </c>
      <c r="D387" t="s">
        <v>6755</v>
      </c>
    </row>
    <row r="388" customHeight="1" spans="1:4">
      <c r="A388">
        <v>388</v>
      </c>
      <c r="B388" t="s">
        <v>6748</v>
      </c>
      <c r="C388" t="s">
        <v>6756</v>
      </c>
      <c r="D388" t="s">
        <v>6757</v>
      </c>
    </row>
    <row r="389" customHeight="1" spans="1:4">
      <c r="A389">
        <v>389</v>
      </c>
      <c r="B389" t="s">
        <v>6748</v>
      </c>
      <c r="C389" t="s">
        <v>6758</v>
      </c>
      <c r="D389" t="s">
        <v>6759</v>
      </c>
    </row>
    <row r="390" customHeight="1" spans="1:4">
      <c r="A390">
        <v>390</v>
      </c>
      <c r="B390" t="s">
        <v>6748</v>
      </c>
      <c r="C390" t="s">
        <v>6760</v>
      </c>
      <c r="D390" t="s">
        <v>6761</v>
      </c>
    </row>
    <row r="391" customHeight="1" spans="1:4">
      <c r="A391">
        <v>391</v>
      </c>
      <c r="B391" t="s">
        <v>6748</v>
      </c>
      <c r="C391" t="s">
        <v>6762</v>
      </c>
      <c r="D391" t="s">
        <v>6763</v>
      </c>
    </row>
    <row r="392" customHeight="1" spans="1:4">
      <c r="A392">
        <v>392</v>
      </c>
      <c r="B392" t="s">
        <v>6748</v>
      </c>
      <c r="C392" t="s">
        <v>6764</v>
      </c>
      <c r="D392" t="s">
        <v>6765</v>
      </c>
    </row>
    <row r="393" customHeight="1" spans="1:4">
      <c r="A393">
        <v>393</v>
      </c>
      <c r="B393" t="s">
        <v>6748</v>
      </c>
      <c r="C393" t="s">
        <v>6766</v>
      </c>
      <c r="D393" t="s">
        <v>6767</v>
      </c>
    </row>
    <row r="394" customHeight="1" spans="1:4">
      <c r="A394">
        <v>394</v>
      </c>
      <c r="B394" t="s">
        <v>6748</v>
      </c>
      <c r="C394" t="s">
        <v>6748</v>
      </c>
      <c r="D394" t="s">
        <v>6768</v>
      </c>
    </row>
    <row r="395" customHeight="1" spans="1:4">
      <c r="A395">
        <v>395</v>
      </c>
      <c r="B395" t="s">
        <v>6748</v>
      </c>
      <c r="C395" t="s">
        <v>6110</v>
      </c>
      <c r="D395" t="s">
        <v>6769</v>
      </c>
    </row>
    <row r="396" customHeight="1" spans="1:4">
      <c r="A396">
        <v>396</v>
      </c>
      <c r="B396" t="s">
        <v>6748</v>
      </c>
      <c r="C396" t="s">
        <v>6770</v>
      </c>
      <c r="D396" t="s">
        <v>6771</v>
      </c>
    </row>
    <row r="397" customHeight="1" spans="1:4">
      <c r="A397">
        <v>397</v>
      </c>
      <c r="B397" t="s">
        <v>6748</v>
      </c>
      <c r="C397" t="s">
        <v>6772</v>
      </c>
      <c r="D397" t="s">
        <v>6773</v>
      </c>
    </row>
    <row r="398" customHeight="1" spans="1:4">
      <c r="A398">
        <v>398</v>
      </c>
      <c r="B398" t="s">
        <v>6748</v>
      </c>
      <c r="C398" t="s">
        <v>6774</v>
      </c>
      <c r="D398" t="s">
        <v>6775</v>
      </c>
    </row>
    <row r="399" customHeight="1" spans="1:4">
      <c r="A399">
        <v>399</v>
      </c>
      <c r="B399" t="s">
        <v>6748</v>
      </c>
      <c r="C399" t="s">
        <v>6776</v>
      </c>
      <c r="D399" t="s">
        <v>6777</v>
      </c>
    </row>
    <row r="400" customHeight="1" spans="1:4">
      <c r="A400">
        <v>400</v>
      </c>
      <c r="B400" t="s">
        <v>6748</v>
      </c>
      <c r="C400" t="s">
        <v>6778</v>
      </c>
      <c r="D400" t="s">
        <v>6779</v>
      </c>
    </row>
    <row r="401" customHeight="1" spans="1:4">
      <c r="A401">
        <v>401</v>
      </c>
      <c r="B401" t="s">
        <v>6748</v>
      </c>
      <c r="C401" t="s">
        <v>6780</v>
      </c>
      <c r="D401" t="s">
        <v>6781</v>
      </c>
    </row>
    <row r="402" customHeight="1" spans="1:4">
      <c r="A402">
        <v>402</v>
      </c>
      <c r="B402" t="s">
        <v>6748</v>
      </c>
      <c r="C402" t="s">
        <v>6782</v>
      </c>
      <c r="D402" t="s">
        <v>6783</v>
      </c>
    </row>
    <row r="403" customHeight="1" spans="1:4">
      <c r="A403">
        <v>403</v>
      </c>
      <c r="B403" t="s">
        <v>6784</v>
      </c>
      <c r="C403" t="s">
        <v>6121</v>
      </c>
      <c r="D403" t="s">
        <v>6785</v>
      </c>
    </row>
    <row r="404" customHeight="1" spans="1:4">
      <c r="A404">
        <v>404</v>
      </c>
      <c r="B404" t="s">
        <v>6784</v>
      </c>
      <c r="C404" t="s">
        <v>6786</v>
      </c>
      <c r="D404" t="s">
        <v>6787</v>
      </c>
    </row>
    <row r="405" customHeight="1" spans="1:4">
      <c r="A405">
        <v>405</v>
      </c>
      <c r="B405" t="s">
        <v>6784</v>
      </c>
      <c r="C405" t="s">
        <v>6788</v>
      </c>
      <c r="D405" t="s">
        <v>6789</v>
      </c>
    </row>
    <row r="406" customHeight="1" spans="1:4">
      <c r="A406">
        <v>406</v>
      </c>
      <c r="B406" t="s">
        <v>6784</v>
      </c>
      <c r="C406" t="s">
        <v>6268</v>
      </c>
      <c r="D406" t="s">
        <v>6790</v>
      </c>
    </row>
    <row r="407" customHeight="1" spans="1:4">
      <c r="A407">
        <v>407</v>
      </c>
      <c r="B407" t="s">
        <v>6784</v>
      </c>
      <c r="C407" t="s">
        <v>6132</v>
      </c>
      <c r="D407" t="s">
        <v>6791</v>
      </c>
    </row>
    <row r="408" customHeight="1" spans="1:4">
      <c r="A408">
        <v>408</v>
      </c>
      <c r="B408" t="s">
        <v>6784</v>
      </c>
      <c r="C408" t="s">
        <v>6792</v>
      </c>
      <c r="D408" t="s">
        <v>6793</v>
      </c>
    </row>
    <row r="409" customHeight="1" spans="1:4">
      <c r="A409">
        <v>409</v>
      </c>
      <c r="B409" t="s">
        <v>6784</v>
      </c>
      <c r="C409" t="s">
        <v>6794</v>
      </c>
      <c r="D409" t="s">
        <v>6795</v>
      </c>
    </row>
    <row r="410" customHeight="1" spans="1:4">
      <c r="A410">
        <v>410</v>
      </c>
      <c r="B410" t="s">
        <v>6784</v>
      </c>
      <c r="C410" t="s">
        <v>6784</v>
      </c>
      <c r="D410" t="s">
        <v>6796</v>
      </c>
    </row>
    <row r="411" customHeight="1" spans="1:4">
      <c r="A411">
        <v>411</v>
      </c>
      <c r="B411" t="s">
        <v>6784</v>
      </c>
      <c r="C411" t="s">
        <v>6797</v>
      </c>
      <c r="D411" t="s">
        <v>6798</v>
      </c>
    </row>
    <row r="412" customHeight="1" spans="1:4">
      <c r="A412">
        <v>412</v>
      </c>
      <c r="B412" t="s">
        <v>6784</v>
      </c>
      <c r="C412" t="s">
        <v>6799</v>
      </c>
      <c r="D412" t="s">
        <v>6800</v>
      </c>
    </row>
    <row r="413" customHeight="1" spans="1:4">
      <c r="A413">
        <v>413</v>
      </c>
      <c r="B413" t="s">
        <v>6801</v>
      </c>
      <c r="C413" t="s">
        <v>6802</v>
      </c>
      <c r="D413" t="s">
        <v>6803</v>
      </c>
    </row>
    <row r="414" customHeight="1" spans="1:4">
      <c r="A414">
        <v>414</v>
      </c>
      <c r="B414" t="s">
        <v>6801</v>
      </c>
      <c r="C414" t="s">
        <v>6804</v>
      </c>
      <c r="D414" t="s">
        <v>6805</v>
      </c>
    </row>
    <row r="415" customHeight="1" spans="1:4">
      <c r="A415">
        <v>415</v>
      </c>
      <c r="B415" t="s">
        <v>6801</v>
      </c>
      <c r="C415" t="s">
        <v>6806</v>
      </c>
      <c r="D415" t="s">
        <v>6807</v>
      </c>
    </row>
    <row r="416" customHeight="1" spans="1:4">
      <c r="A416">
        <v>416</v>
      </c>
      <c r="B416" t="s">
        <v>6801</v>
      </c>
      <c r="C416" t="s">
        <v>6808</v>
      </c>
      <c r="D416" t="s">
        <v>6809</v>
      </c>
    </row>
    <row r="417" customHeight="1" spans="1:4">
      <c r="A417">
        <v>417</v>
      </c>
      <c r="B417" t="s">
        <v>6801</v>
      </c>
      <c r="C417" t="s">
        <v>6810</v>
      </c>
      <c r="D417" t="s">
        <v>6811</v>
      </c>
    </row>
    <row r="418" customHeight="1" spans="1:4">
      <c r="A418">
        <v>418</v>
      </c>
      <c r="B418" t="s">
        <v>6801</v>
      </c>
      <c r="C418" t="s">
        <v>6812</v>
      </c>
      <c r="D418" t="s">
        <v>6813</v>
      </c>
    </row>
    <row r="419" customHeight="1" spans="1:4">
      <c r="A419">
        <v>419</v>
      </c>
      <c r="B419" t="s">
        <v>6801</v>
      </c>
      <c r="C419" t="s">
        <v>6633</v>
      </c>
      <c r="D419" t="s">
        <v>6814</v>
      </c>
    </row>
    <row r="420" customHeight="1" spans="1:4">
      <c r="A420">
        <v>420</v>
      </c>
      <c r="B420" t="s">
        <v>6801</v>
      </c>
      <c r="C420" t="s">
        <v>6132</v>
      </c>
      <c r="D420" t="s">
        <v>6815</v>
      </c>
    </row>
    <row r="421" customHeight="1" spans="1:4">
      <c r="A421">
        <v>421</v>
      </c>
      <c r="B421" t="s">
        <v>6801</v>
      </c>
      <c r="C421" t="s">
        <v>6816</v>
      </c>
      <c r="D421" t="s">
        <v>6817</v>
      </c>
    </row>
    <row r="422" customHeight="1" spans="1:4">
      <c r="A422">
        <v>422</v>
      </c>
      <c r="B422" t="s">
        <v>6801</v>
      </c>
      <c r="C422" t="s">
        <v>6818</v>
      </c>
      <c r="D422" t="s">
        <v>6819</v>
      </c>
    </row>
    <row r="423" customHeight="1" spans="1:4">
      <c r="A423">
        <v>423</v>
      </c>
      <c r="B423" t="s">
        <v>6801</v>
      </c>
      <c r="C423" t="s">
        <v>6801</v>
      </c>
      <c r="D423" t="s">
        <v>6820</v>
      </c>
    </row>
    <row r="424" customHeight="1" spans="1:4">
      <c r="A424">
        <v>424</v>
      </c>
      <c r="B424" t="s">
        <v>6801</v>
      </c>
      <c r="C424" t="s">
        <v>6821</v>
      </c>
      <c r="D424" t="s">
        <v>6822</v>
      </c>
    </row>
    <row r="425" customHeight="1" spans="1:4">
      <c r="A425">
        <v>425</v>
      </c>
      <c r="B425" t="s">
        <v>6823</v>
      </c>
      <c r="C425" t="s">
        <v>6055</v>
      </c>
      <c r="D425" t="s">
        <v>6824</v>
      </c>
    </row>
    <row r="426" customHeight="1" spans="1:4">
      <c r="A426">
        <v>426</v>
      </c>
      <c r="B426" t="s">
        <v>6823</v>
      </c>
      <c r="C426" t="s">
        <v>6825</v>
      </c>
      <c r="D426" t="s">
        <v>6826</v>
      </c>
    </row>
    <row r="427" customHeight="1" spans="1:4">
      <c r="A427">
        <v>427</v>
      </c>
      <c r="B427" t="s">
        <v>6823</v>
      </c>
      <c r="C427" t="s">
        <v>6827</v>
      </c>
      <c r="D427" t="s">
        <v>6828</v>
      </c>
    </row>
    <row r="428" customHeight="1" spans="1:4">
      <c r="A428">
        <v>428</v>
      </c>
      <c r="B428" t="s">
        <v>6823</v>
      </c>
      <c r="C428" t="s">
        <v>6829</v>
      </c>
      <c r="D428" t="s">
        <v>6830</v>
      </c>
    </row>
    <row r="429" customHeight="1" spans="1:4">
      <c r="A429">
        <v>429</v>
      </c>
      <c r="B429" t="s">
        <v>6823</v>
      </c>
      <c r="C429" t="s">
        <v>6831</v>
      </c>
      <c r="D429" t="s">
        <v>6832</v>
      </c>
    </row>
    <row r="430" customHeight="1" spans="1:4">
      <c r="A430">
        <v>430</v>
      </c>
      <c r="B430" t="s">
        <v>6823</v>
      </c>
      <c r="C430" t="s">
        <v>6833</v>
      </c>
      <c r="D430" t="s">
        <v>6834</v>
      </c>
    </row>
    <row r="431" customHeight="1" spans="1:4">
      <c r="A431">
        <v>431</v>
      </c>
      <c r="B431" t="s">
        <v>6823</v>
      </c>
      <c r="C431" t="s">
        <v>6835</v>
      </c>
      <c r="D431" t="s">
        <v>6836</v>
      </c>
    </row>
    <row r="432" customHeight="1" spans="1:4">
      <c r="A432">
        <v>432</v>
      </c>
      <c r="B432" t="s">
        <v>6823</v>
      </c>
      <c r="C432" t="s">
        <v>6837</v>
      </c>
      <c r="D432" t="s">
        <v>6838</v>
      </c>
    </row>
    <row r="433" customHeight="1" spans="1:4">
      <c r="A433">
        <v>433</v>
      </c>
      <c r="B433" t="s">
        <v>6823</v>
      </c>
      <c r="C433" t="s">
        <v>6839</v>
      </c>
      <c r="D433" t="s">
        <v>6840</v>
      </c>
    </row>
    <row r="434" customHeight="1" spans="1:4">
      <c r="A434">
        <v>434</v>
      </c>
      <c r="B434" t="s">
        <v>6823</v>
      </c>
      <c r="C434" t="s">
        <v>6823</v>
      </c>
      <c r="D434" t="s">
        <v>6841</v>
      </c>
    </row>
    <row r="435" customHeight="1" spans="1:4">
      <c r="A435">
        <v>435</v>
      </c>
      <c r="B435" t="s">
        <v>6823</v>
      </c>
      <c r="C435" t="s">
        <v>6842</v>
      </c>
      <c r="D435" t="s">
        <v>6843</v>
      </c>
    </row>
    <row r="436" customHeight="1" spans="1:4">
      <c r="A436">
        <v>436</v>
      </c>
      <c r="B436" t="s">
        <v>6823</v>
      </c>
      <c r="C436" t="s">
        <v>6844</v>
      </c>
      <c r="D436" t="s">
        <v>6845</v>
      </c>
    </row>
    <row r="437" customHeight="1" spans="1:4">
      <c r="A437">
        <v>437</v>
      </c>
      <c r="B437" t="s">
        <v>6823</v>
      </c>
      <c r="C437" t="s">
        <v>6846</v>
      </c>
      <c r="D437" t="s">
        <v>6847</v>
      </c>
    </row>
    <row r="438" customHeight="1" spans="1:4">
      <c r="A438">
        <v>438</v>
      </c>
      <c r="B438" t="s">
        <v>6823</v>
      </c>
      <c r="C438" t="s">
        <v>6848</v>
      </c>
      <c r="D438" t="s">
        <v>6849</v>
      </c>
    </row>
    <row r="439" customHeight="1" spans="1:4">
      <c r="A439">
        <v>439</v>
      </c>
      <c r="B439" t="s">
        <v>6850</v>
      </c>
      <c r="C439" t="s">
        <v>6851</v>
      </c>
      <c r="D439" t="s">
        <v>6852</v>
      </c>
    </row>
    <row r="440" customHeight="1" spans="1:4">
      <c r="A440">
        <v>440</v>
      </c>
      <c r="B440" t="s">
        <v>6850</v>
      </c>
      <c r="C440" t="s">
        <v>6853</v>
      </c>
      <c r="D440" t="s">
        <v>6854</v>
      </c>
    </row>
    <row r="441" customHeight="1" spans="1:4">
      <c r="A441">
        <v>441</v>
      </c>
      <c r="B441" t="s">
        <v>6850</v>
      </c>
      <c r="C441" t="s">
        <v>6855</v>
      </c>
      <c r="D441" t="s">
        <v>6856</v>
      </c>
    </row>
    <row r="442" customHeight="1" spans="1:4">
      <c r="A442">
        <v>442</v>
      </c>
      <c r="B442" t="s">
        <v>6850</v>
      </c>
      <c r="C442" t="s">
        <v>6857</v>
      </c>
      <c r="D442" t="s">
        <v>6858</v>
      </c>
    </row>
    <row r="443" customHeight="1" spans="1:4">
      <c r="A443">
        <v>443</v>
      </c>
      <c r="B443" t="s">
        <v>6850</v>
      </c>
      <c r="C443" t="s">
        <v>6434</v>
      </c>
      <c r="D443" t="s">
        <v>6859</v>
      </c>
    </row>
    <row r="444" customHeight="1" spans="1:4">
      <c r="A444">
        <v>444</v>
      </c>
      <c r="B444" t="s">
        <v>6850</v>
      </c>
      <c r="C444" t="s">
        <v>6860</v>
      </c>
      <c r="D444" t="s">
        <v>6861</v>
      </c>
    </row>
    <row r="445" customHeight="1" spans="1:4">
      <c r="A445">
        <v>445</v>
      </c>
      <c r="B445" t="s">
        <v>6850</v>
      </c>
      <c r="C445" t="s">
        <v>6850</v>
      </c>
      <c r="D445" t="s">
        <v>6862</v>
      </c>
    </row>
    <row r="446" customHeight="1" spans="1:4">
      <c r="A446">
        <v>446</v>
      </c>
      <c r="B446" t="s">
        <v>6850</v>
      </c>
      <c r="C446" t="s">
        <v>6863</v>
      </c>
      <c r="D446" t="s">
        <v>6864</v>
      </c>
    </row>
    <row r="447" customHeight="1" spans="1:4">
      <c r="A447">
        <v>447</v>
      </c>
      <c r="B447" t="s">
        <v>6850</v>
      </c>
      <c r="C447" t="s">
        <v>6865</v>
      </c>
      <c r="D447" t="s">
        <v>6866</v>
      </c>
    </row>
    <row r="448" customHeight="1" spans="1:4">
      <c r="A448">
        <v>448</v>
      </c>
      <c r="B448" t="s">
        <v>6850</v>
      </c>
      <c r="C448" t="s">
        <v>6867</v>
      </c>
      <c r="D448" t="s">
        <v>6868</v>
      </c>
    </row>
    <row r="449" customHeight="1" spans="1:4">
      <c r="A449">
        <v>449</v>
      </c>
      <c r="B449" t="s">
        <v>6850</v>
      </c>
      <c r="C449" t="s">
        <v>6869</v>
      </c>
      <c r="D449" t="s">
        <v>6870</v>
      </c>
    </row>
    <row r="450" customHeight="1" spans="1:4">
      <c r="A450">
        <v>450</v>
      </c>
      <c r="B450" t="s">
        <v>6850</v>
      </c>
      <c r="C450" t="s">
        <v>6871</v>
      </c>
      <c r="D450" t="s">
        <v>6872</v>
      </c>
    </row>
    <row r="451" customHeight="1" spans="1:4">
      <c r="A451">
        <v>451</v>
      </c>
      <c r="B451" t="s">
        <v>6850</v>
      </c>
      <c r="C451" t="s">
        <v>6873</v>
      </c>
      <c r="D451" t="s">
        <v>6874</v>
      </c>
    </row>
    <row r="452" customHeight="1" spans="1:4">
      <c r="A452">
        <v>452</v>
      </c>
      <c r="B452" t="s">
        <v>6875</v>
      </c>
      <c r="C452" t="s">
        <v>6876</v>
      </c>
      <c r="D452" t="s">
        <v>6877</v>
      </c>
    </row>
    <row r="453" customHeight="1" spans="1:4">
      <c r="A453">
        <v>453</v>
      </c>
      <c r="B453" t="s">
        <v>6875</v>
      </c>
      <c r="C453" t="s">
        <v>6878</v>
      </c>
      <c r="D453" t="s">
        <v>6879</v>
      </c>
    </row>
    <row r="454" customHeight="1" spans="1:4">
      <c r="A454">
        <v>454</v>
      </c>
      <c r="B454" t="s">
        <v>6875</v>
      </c>
      <c r="C454" t="s">
        <v>6880</v>
      </c>
      <c r="D454" t="s">
        <v>6881</v>
      </c>
    </row>
    <row r="455" customHeight="1" spans="1:4">
      <c r="A455">
        <v>455</v>
      </c>
      <c r="B455" t="s">
        <v>6875</v>
      </c>
      <c r="C455" t="s">
        <v>6882</v>
      </c>
      <c r="D455" t="s">
        <v>6883</v>
      </c>
    </row>
    <row r="456" customHeight="1" spans="1:4">
      <c r="A456">
        <v>456</v>
      </c>
      <c r="B456" t="s">
        <v>6875</v>
      </c>
      <c r="C456" t="s">
        <v>6884</v>
      </c>
      <c r="D456" t="s">
        <v>6885</v>
      </c>
    </row>
    <row r="457" customHeight="1" spans="1:4">
      <c r="A457">
        <v>457</v>
      </c>
      <c r="B457" t="s">
        <v>6875</v>
      </c>
      <c r="C457" t="s">
        <v>6547</v>
      </c>
      <c r="D457" t="s">
        <v>6886</v>
      </c>
    </row>
    <row r="458" customHeight="1" spans="1:4">
      <c r="A458">
        <v>458</v>
      </c>
      <c r="B458" t="s">
        <v>6875</v>
      </c>
      <c r="C458" t="s">
        <v>6887</v>
      </c>
      <c r="D458" t="s">
        <v>6888</v>
      </c>
    </row>
    <row r="459" customHeight="1" spans="1:4">
      <c r="A459">
        <v>459</v>
      </c>
      <c r="B459" t="s">
        <v>6875</v>
      </c>
      <c r="C459" t="s">
        <v>6889</v>
      </c>
      <c r="D459" t="s">
        <v>6890</v>
      </c>
    </row>
    <row r="460" customHeight="1" spans="1:4">
      <c r="A460">
        <v>460</v>
      </c>
      <c r="B460" t="s">
        <v>6875</v>
      </c>
      <c r="C460" t="s">
        <v>6891</v>
      </c>
      <c r="D460" t="s">
        <v>6892</v>
      </c>
    </row>
    <row r="461" customHeight="1" spans="1:4">
      <c r="A461">
        <v>461</v>
      </c>
      <c r="B461" t="s">
        <v>6875</v>
      </c>
      <c r="C461" t="s">
        <v>6875</v>
      </c>
      <c r="D461" t="s">
        <v>6893</v>
      </c>
    </row>
    <row r="462" customHeight="1" spans="1:4">
      <c r="A462">
        <v>462</v>
      </c>
      <c r="B462" t="s">
        <v>6875</v>
      </c>
      <c r="C462" t="s">
        <v>6744</v>
      </c>
      <c r="D462" t="s">
        <v>6894</v>
      </c>
    </row>
    <row r="463" customHeight="1" spans="1:4">
      <c r="A463">
        <v>463</v>
      </c>
      <c r="B463" t="s">
        <v>6875</v>
      </c>
      <c r="C463" t="s">
        <v>6895</v>
      </c>
      <c r="D463" t="s">
        <v>6896</v>
      </c>
    </row>
    <row r="464" customHeight="1" spans="1:4">
      <c r="A464">
        <v>464</v>
      </c>
      <c r="B464" t="s">
        <v>6875</v>
      </c>
      <c r="C464" t="s">
        <v>6897</v>
      </c>
      <c r="D464" t="s">
        <v>6898</v>
      </c>
    </row>
    <row r="465" customHeight="1" spans="1:4">
      <c r="A465">
        <v>465</v>
      </c>
      <c r="B465" t="s">
        <v>6899</v>
      </c>
      <c r="C465" t="s">
        <v>6900</v>
      </c>
      <c r="D465" t="s">
        <v>6901</v>
      </c>
    </row>
    <row r="466" customHeight="1" spans="1:4">
      <c r="A466">
        <v>466</v>
      </c>
      <c r="B466" t="s">
        <v>6899</v>
      </c>
      <c r="C466" t="s">
        <v>6902</v>
      </c>
      <c r="D466" t="s">
        <v>6903</v>
      </c>
    </row>
    <row r="467" customHeight="1" spans="1:4">
      <c r="A467">
        <v>467</v>
      </c>
      <c r="B467" t="s">
        <v>6899</v>
      </c>
      <c r="C467" t="s">
        <v>6904</v>
      </c>
      <c r="D467" t="s">
        <v>6905</v>
      </c>
    </row>
    <row r="468" customHeight="1" spans="1:4">
      <c r="A468">
        <v>468</v>
      </c>
      <c r="B468" t="s">
        <v>6899</v>
      </c>
      <c r="C468" t="s">
        <v>6906</v>
      </c>
      <c r="D468" t="s">
        <v>6907</v>
      </c>
    </row>
    <row r="469" customHeight="1" spans="1:4">
      <c r="A469">
        <v>469</v>
      </c>
      <c r="B469" t="s">
        <v>6899</v>
      </c>
      <c r="C469" t="s">
        <v>6908</v>
      </c>
      <c r="D469" t="s">
        <v>6909</v>
      </c>
    </row>
    <row r="470" customHeight="1" spans="1:4">
      <c r="A470">
        <v>470</v>
      </c>
      <c r="B470" t="s">
        <v>6899</v>
      </c>
      <c r="C470" t="s">
        <v>6910</v>
      </c>
      <c r="D470" t="s">
        <v>6911</v>
      </c>
    </row>
    <row r="471" customHeight="1" spans="1:4">
      <c r="A471">
        <v>471</v>
      </c>
      <c r="B471" t="s">
        <v>6899</v>
      </c>
      <c r="C471" t="s">
        <v>6912</v>
      </c>
      <c r="D471" t="s">
        <v>6913</v>
      </c>
    </row>
    <row r="472" customHeight="1" spans="1:4">
      <c r="A472">
        <v>472</v>
      </c>
      <c r="B472" t="s">
        <v>6899</v>
      </c>
      <c r="C472" t="s">
        <v>6914</v>
      </c>
      <c r="D472" t="s">
        <v>6915</v>
      </c>
    </row>
    <row r="473" customHeight="1" spans="1:4">
      <c r="A473">
        <v>473</v>
      </c>
      <c r="B473" t="s">
        <v>6899</v>
      </c>
      <c r="C473" t="s">
        <v>6916</v>
      </c>
      <c r="D473" t="s">
        <v>6917</v>
      </c>
    </row>
    <row r="474" customHeight="1" spans="1:4">
      <c r="A474">
        <v>474</v>
      </c>
      <c r="B474" t="s">
        <v>6899</v>
      </c>
      <c r="C474" t="s">
        <v>6918</v>
      </c>
      <c r="D474" t="s">
        <v>6919</v>
      </c>
    </row>
    <row r="475" customHeight="1" spans="1:4">
      <c r="A475">
        <v>475</v>
      </c>
      <c r="B475" t="s">
        <v>6899</v>
      </c>
      <c r="C475" t="s">
        <v>6920</v>
      </c>
      <c r="D475" t="s">
        <v>6921</v>
      </c>
    </row>
    <row r="476" customHeight="1" spans="1:4">
      <c r="A476">
        <v>476</v>
      </c>
      <c r="B476" t="s">
        <v>6899</v>
      </c>
      <c r="C476" t="s">
        <v>6922</v>
      </c>
      <c r="D476" t="s">
        <v>6923</v>
      </c>
    </row>
    <row r="477" customHeight="1" spans="1:4">
      <c r="A477">
        <v>477</v>
      </c>
      <c r="B477" t="s">
        <v>6899</v>
      </c>
      <c r="C477" t="s">
        <v>6658</v>
      </c>
      <c r="D477" t="s">
        <v>6924</v>
      </c>
    </row>
    <row r="478" customHeight="1" spans="1:4">
      <c r="A478">
        <v>478</v>
      </c>
      <c r="B478" t="s">
        <v>6899</v>
      </c>
      <c r="C478" t="s">
        <v>6899</v>
      </c>
      <c r="D478" t="s">
        <v>6925</v>
      </c>
    </row>
    <row r="479" customHeight="1" spans="1:4">
      <c r="A479">
        <v>479</v>
      </c>
      <c r="B479" t="s">
        <v>6899</v>
      </c>
      <c r="C479" t="s">
        <v>6926</v>
      </c>
      <c r="D479" t="s">
        <v>6927</v>
      </c>
    </row>
    <row r="480" customHeight="1" spans="1:4">
      <c r="A480">
        <v>480</v>
      </c>
      <c r="B480" t="s">
        <v>6899</v>
      </c>
      <c r="C480" t="s">
        <v>6612</v>
      </c>
      <c r="D480" t="s">
        <v>6928</v>
      </c>
    </row>
    <row r="481" customHeight="1" spans="1:4">
      <c r="A481">
        <v>481</v>
      </c>
      <c r="B481" t="s">
        <v>6899</v>
      </c>
      <c r="C481" t="s">
        <v>6929</v>
      </c>
      <c r="D481" t="s">
        <v>6930</v>
      </c>
    </row>
    <row r="482" customHeight="1" spans="1:4">
      <c r="A482">
        <v>482</v>
      </c>
      <c r="B482" t="s">
        <v>6899</v>
      </c>
      <c r="C482" t="s">
        <v>6931</v>
      </c>
      <c r="D482" t="s">
        <v>6932</v>
      </c>
    </row>
    <row r="483" customHeight="1" spans="1:4">
      <c r="A483">
        <v>483</v>
      </c>
      <c r="B483" t="s">
        <v>6933</v>
      </c>
      <c r="C483" t="s">
        <v>6934</v>
      </c>
      <c r="D483" t="s">
        <v>6935</v>
      </c>
    </row>
    <row r="484" customHeight="1" spans="1:4">
      <c r="A484">
        <v>484</v>
      </c>
      <c r="B484" t="s">
        <v>6933</v>
      </c>
      <c r="C484" t="s">
        <v>6936</v>
      </c>
      <c r="D484" t="s">
        <v>6937</v>
      </c>
    </row>
    <row r="485" customHeight="1" spans="1:4">
      <c r="A485">
        <v>485</v>
      </c>
      <c r="B485" t="s">
        <v>6933</v>
      </c>
      <c r="C485" t="s">
        <v>6029</v>
      </c>
      <c r="D485" t="s">
        <v>6938</v>
      </c>
    </row>
    <row r="486" customHeight="1" spans="1:4">
      <c r="A486">
        <v>486</v>
      </c>
      <c r="B486" t="s">
        <v>6933</v>
      </c>
      <c r="C486" t="s">
        <v>6939</v>
      </c>
      <c r="D486" t="s">
        <v>6940</v>
      </c>
    </row>
    <row r="487" customHeight="1" spans="1:4">
      <c r="A487">
        <v>487</v>
      </c>
      <c r="B487" t="s">
        <v>6933</v>
      </c>
      <c r="C487" t="s">
        <v>6941</v>
      </c>
      <c r="D487" t="s">
        <v>6942</v>
      </c>
    </row>
    <row r="488" customHeight="1" spans="1:4">
      <c r="A488">
        <v>488</v>
      </c>
      <c r="B488" t="s">
        <v>6933</v>
      </c>
      <c r="C488" t="s">
        <v>6933</v>
      </c>
      <c r="D488" t="s">
        <v>6943</v>
      </c>
    </row>
    <row r="489" customHeight="1" spans="1:4">
      <c r="A489">
        <v>489</v>
      </c>
      <c r="B489" t="s">
        <v>6933</v>
      </c>
      <c r="C489" t="s">
        <v>6944</v>
      </c>
      <c r="D489" t="s">
        <v>6945</v>
      </c>
    </row>
    <row r="490" customHeight="1" spans="1:4">
      <c r="A490">
        <v>490</v>
      </c>
      <c r="B490" t="s">
        <v>6933</v>
      </c>
      <c r="C490" t="s">
        <v>6204</v>
      </c>
      <c r="D490" t="s">
        <v>6946</v>
      </c>
    </row>
    <row r="491" customHeight="1" spans="1:4">
      <c r="A491">
        <v>491</v>
      </c>
      <c r="B491" t="s">
        <v>6933</v>
      </c>
      <c r="C491" t="s">
        <v>6947</v>
      </c>
      <c r="D491" t="s">
        <v>6948</v>
      </c>
    </row>
    <row r="492" customHeight="1" spans="1:4">
      <c r="A492">
        <v>492</v>
      </c>
      <c r="B492" t="s">
        <v>6933</v>
      </c>
      <c r="C492" t="s">
        <v>6949</v>
      </c>
      <c r="D492" t="s">
        <v>6950</v>
      </c>
    </row>
    <row r="493" customHeight="1" spans="1:4">
      <c r="A493">
        <v>493</v>
      </c>
      <c r="B493" t="s">
        <v>6951</v>
      </c>
      <c r="C493" t="s">
        <v>6952</v>
      </c>
      <c r="D493" t="s">
        <v>6953</v>
      </c>
    </row>
    <row r="494" customHeight="1" spans="1:4">
      <c r="A494">
        <v>494</v>
      </c>
      <c r="B494" t="s">
        <v>6951</v>
      </c>
      <c r="C494" t="s">
        <v>6954</v>
      </c>
      <c r="D494" t="s">
        <v>6955</v>
      </c>
    </row>
    <row r="495" customHeight="1" spans="1:4">
      <c r="A495">
        <v>495</v>
      </c>
      <c r="B495" t="s">
        <v>6951</v>
      </c>
      <c r="C495" t="s">
        <v>6812</v>
      </c>
      <c r="D495" t="s">
        <v>6956</v>
      </c>
    </row>
    <row r="496" customHeight="1" spans="1:4">
      <c r="A496">
        <v>496</v>
      </c>
      <c r="B496" t="s">
        <v>6951</v>
      </c>
      <c r="C496" t="s">
        <v>6957</v>
      </c>
      <c r="D496" t="s">
        <v>6958</v>
      </c>
    </row>
    <row r="497" customHeight="1" spans="1:4">
      <c r="A497">
        <v>497</v>
      </c>
      <c r="B497" t="s">
        <v>6951</v>
      </c>
      <c r="C497" t="s">
        <v>6959</v>
      </c>
      <c r="D497" t="s">
        <v>6960</v>
      </c>
    </row>
    <row r="498" customHeight="1" spans="1:4">
      <c r="A498">
        <v>498</v>
      </c>
      <c r="B498" t="s">
        <v>6951</v>
      </c>
      <c r="C498" t="s">
        <v>6961</v>
      </c>
      <c r="D498" t="s">
        <v>6962</v>
      </c>
    </row>
    <row r="499" customHeight="1" spans="1:4">
      <c r="A499">
        <v>499</v>
      </c>
      <c r="B499" t="s">
        <v>6951</v>
      </c>
      <c r="C499" t="s">
        <v>6963</v>
      </c>
      <c r="D499" t="s">
        <v>6964</v>
      </c>
    </row>
    <row r="500" customHeight="1" spans="1:4">
      <c r="A500">
        <v>500</v>
      </c>
      <c r="B500" t="s">
        <v>6951</v>
      </c>
      <c r="C500" t="s">
        <v>6951</v>
      </c>
      <c r="D500" t="s">
        <v>6965</v>
      </c>
    </row>
    <row r="501" customHeight="1" spans="1:4">
      <c r="A501">
        <v>501</v>
      </c>
      <c r="B501" t="s">
        <v>6951</v>
      </c>
      <c r="C501" t="s">
        <v>6966</v>
      </c>
      <c r="D501" t="s">
        <v>6967</v>
      </c>
    </row>
    <row r="502" customHeight="1" spans="1:4">
      <c r="A502">
        <v>502</v>
      </c>
      <c r="B502" t="s">
        <v>6951</v>
      </c>
      <c r="C502" t="s">
        <v>6968</v>
      </c>
      <c r="D502" t="s">
        <v>6969</v>
      </c>
    </row>
    <row r="503" customHeight="1" spans="1:4">
      <c r="A503">
        <v>503</v>
      </c>
      <c r="B503" t="s">
        <v>6951</v>
      </c>
      <c r="C503" t="s">
        <v>6970</v>
      </c>
      <c r="D503" t="s">
        <v>6971</v>
      </c>
    </row>
    <row r="504" customHeight="1" spans="1:4">
      <c r="A504">
        <v>504</v>
      </c>
      <c r="B504" t="s">
        <v>6951</v>
      </c>
      <c r="C504" t="s">
        <v>6972</v>
      </c>
      <c r="D504" t="s">
        <v>6973</v>
      </c>
    </row>
    <row r="505" customHeight="1" spans="1:4">
      <c r="A505">
        <v>505</v>
      </c>
      <c r="B505" t="s">
        <v>6951</v>
      </c>
      <c r="C505" t="s">
        <v>6974</v>
      </c>
      <c r="D505" t="s">
        <v>6975</v>
      </c>
    </row>
    <row r="506" customHeight="1" spans="1:4">
      <c r="A506">
        <v>506</v>
      </c>
      <c r="B506" t="s">
        <v>6976</v>
      </c>
      <c r="C506" t="s">
        <v>6185</v>
      </c>
      <c r="D506" t="s">
        <v>6977</v>
      </c>
    </row>
    <row r="507" customHeight="1" spans="1:4">
      <c r="A507">
        <v>507</v>
      </c>
      <c r="B507" t="s">
        <v>6976</v>
      </c>
      <c r="C507" t="s">
        <v>6483</v>
      </c>
      <c r="D507" t="s">
        <v>6978</v>
      </c>
    </row>
    <row r="508" customHeight="1" spans="1:4">
      <c r="A508">
        <v>508</v>
      </c>
      <c r="B508" t="s">
        <v>6976</v>
      </c>
      <c r="C508" t="s">
        <v>6979</v>
      </c>
      <c r="D508" t="s">
        <v>6980</v>
      </c>
    </row>
    <row r="509" customHeight="1" spans="1:4">
      <c r="A509">
        <v>509</v>
      </c>
      <c r="B509" t="s">
        <v>6976</v>
      </c>
      <c r="C509" t="s">
        <v>6981</v>
      </c>
      <c r="D509" t="s">
        <v>6982</v>
      </c>
    </row>
    <row r="510" customHeight="1" spans="1:4">
      <c r="A510">
        <v>510</v>
      </c>
      <c r="B510" t="s">
        <v>6976</v>
      </c>
      <c r="C510" t="s">
        <v>6976</v>
      </c>
      <c r="D510" t="s">
        <v>6983</v>
      </c>
    </row>
    <row r="511" customHeight="1" spans="1:4">
      <c r="A511">
        <v>511</v>
      </c>
      <c r="B511" t="s">
        <v>6976</v>
      </c>
      <c r="C511" t="s">
        <v>6984</v>
      </c>
      <c r="D511" t="s">
        <v>6985</v>
      </c>
    </row>
    <row r="512" customHeight="1" spans="1:4">
      <c r="A512">
        <v>512</v>
      </c>
      <c r="B512" t="s">
        <v>6976</v>
      </c>
      <c r="C512" t="s">
        <v>6986</v>
      </c>
      <c r="D512" t="s">
        <v>6987</v>
      </c>
    </row>
    <row r="513" customHeight="1" spans="1:4">
      <c r="A513">
        <v>513</v>
      </c>
      <c r="B513" t="s">
        <v>6976</v>
      </c>
      <c r="C513" t="s">
        <v>6988</v>
      </c>
      <c r="D513" t="s">
        <v>6989</v>
      </c>
    </row>
    <row r="514" customHeight="1" spans="1:4">
      <c r="A514">
        <v>514</v>
      </c>
      <c r="B514" t="s">
        <v>6976</v>
      </c>
      <c r="C514" t="s">
        <v>6276</v>
      </c>
      <c r="D514" t="s">
        <v>6990</v>
      </c>
    </row>
    <row r="515" customHeight="1" spans="1:4">
      <c r="A515">
        <v>515</v>
      </c>
      <c r="B515" t="s">
        <v>6991</v>
      </c>
      <c r="C515" t="s">
        <v>6992</v>
      </c>
      <c r="D515" t="s">
        <v>6993</v>
      </c>
    </row>
    <row r="516" customHeight="1" spans="1:4">
      <c r="A516">
        <v>516</v>
      </c>
      <c r="B516" t="s">
        <v>6991</v>
      </c>
      <c r="C516" t="s">
        <v>6061</v>
      </c>
      <c r="D516" t="s">
        <v>6994</v>
      </c>
    </row>
    <row r="517" customHeight="1" spans="1:4">
      <c r="A517">
        <v>517</v>
      </c>
      <c r="B517" t="s">
        <v>6991</v>
      </c>
      <c r="C517" t="s">
        <v>6995</v>
      </c>
      <c r="D517" t="s">
        <v>6996</v>
      </c>
    </row>
    <row r="518" customHeight="1" spans="1:4">
      <c r="A518">
        <v>518</v>
      </c>
      <c r="B518" t="s">
        <v>6991</v>
      </c>
      <c r="C518" t="s">
        <v>6997</v>
      </c>
      <c r="D518" t="s">
        <v>6998</v>
      </c>
    </row>
    <row r="519" customHeight="1" spans="1:4">
      <c r="A519">
        <v>519</v>
      </c>
      <c r="B519" t="s">
        <v>6991</v>
      </c>
      <c r="C519" t="s">
        <v>6991</v>
      </c>
      <c r="D519" t="s">
        <v>6999</v>
      </c>
    </row>
    <row r="520" customHeight="1" spans="1:4">
      <c r="A520">
        <v>520</v>
      </c>
      <c r="B520" t="s">
        <v>6991</v>
      </c>
      <c r="C520" t="s">
        <v>7000</v>
      </c>
      <c r="D520" t="s">
        <v>7001</v>
      </c>
    </row>
    <row r="521" customHeight="1" spans="1:4">
      <c r="A521">
        <v>521</v>
      </c>
      <c r="B521" t="s">
        <v>6991</v>
      </c>
      <c r="C521" t="s">
        <v>7002</v>
      </c>
      <c r="D521" t="s">
        <v>7003</v>
      </c>
    </row>
    <row r="522" customHeight="1" spans="1:4">
      <c r="A522">
        <v>522</v>
      </c>
      <c r="B522" t="s">
        <v>7004</v>
      </c>
      <c r="C522" t="s">
        <v>6585</v>
      </c>
      <c r="D522" t="s">
        <v>7005</v>
      </c>
    </row>
    <row r="523" customHeight="1" spans="1:4">
      <c r="A523">
        <v>523</v>
      </c>
      <c r="B523" t="s">
        <v>7004</v>
      </c>
      <c r="C523" t="s">
        <v>7006</v>
      </c>
      <c r="D523" t="s">
        <v>7007</v>
      </c>
    </row>
    <row r="524" customHeight="1" spans="1:4">
      <c r="A524">
        <v>524</v>
      </c>
      <c r="B524" t="s">
        <v>7004</v>
      </c>
      <c r="C524" t="s">
        <v>7008</v>
      </c>
      <c r="D524" t="s">
        <v>7009</v>
      </c>
    </row>
    <row r="525" customHeight="1" spans="1:4">
      <c r="A525">
        <v>525</v>
      </c>
      <c r="B525" t="s">
        <v>7004</v>
      </c>
      <c r="C525" t="s">
        <v>7010</v>
      </c>
      <c r="D525" t="s">
        <v>7011</v>
      </c>
    </row>
    <row r="526" customHeight="1" spans="1:4">
      <c r="A526">
        <v>526</v>
      </c>
      <c r="B526" t="s">
        <v>7004</v>
      </c>
      <c r="C526" t="s">
        <v>7004</v>
      </c>
      <c r="D526" t="s">
        <v>7012</v>
      </c>
    </row>
    <row r="527" customHeight="1" spans="1:4">
      <c r="A527">
        <v>527</v>
      </c>
      <c r="B527" t="s">
        <v>7013</v>
      </c>
      <c r="C527" t="s">
        <v>6053</v>
      </c>
      <c r="D527" t="s">
        <v>7014</v>
      </c>
    </row>
    <row r="528" customHeight="1" spans="1:4">
      <c r="A528">
        <v>528</v>
      </c>
      <c r="B528" t="s">
        <v>7013</v>
      </c>
      <c r="C528" t="s">
        <v>7015</v>
      </c>
      <c r="D528" t="s">
        <v>7016</v>
      </c>
    </row>
    <row r="529" customHeight="1" spans="1:4">
      <c r="A529">
        <v>529</v>
      </c>
      <c r="B529" t="s">
        <v>7013</v>
      </c>
      <c r="C529" t="s">
        <v>7017</v>
      </c>
      <c r="D529" t="s">
        <v>7018</v>
      </c>
    </row>
    <row r="530" customHeight="1" spans="1:4">
      <c r="A530">
        <v>530</v>
      </c>
      <c r="B530" t="s">
        <v>7013</v>
      </c>
      <c r="C530" t="s">
        <v>7019</v>
      </c>
      <c r="D530" t="s">
        <v>7020</v>
      </c>
    </row>
    <row r="531" customHeight="1" spans="1:4">
      <c r="A531">
        <v>531</v>
      </c>
      <c r="B531" t="s">
        <v>7013</v>
      </c>
      <c r="C531" t="s">
        <v>7013</v>
      </c>
      <c r="D531" t="s">
        <v>7021</v>
      </c>
    </row>
    <row r="532" customHeight="1" spans="1:4">
      <c r="A532">
        <v>532</v>
      </c>
      <c r="B532" t="s">
        <v>7013</v>
      </c>
      <c r="C532" t="s">
        <v>7022</v>
      </c>
      <c r="D532" t="s">
        <v>7023</v>
      </c>
    </row>
    <row r="533" customHeight="1" spans="1:4">
      <c r="A533">
        <v>533</v>
      </c>
      <c r="B533" t="s">
        <v>7024</v>
      </c>
      <c r="C533" t="s">
        <v>7025</v>
      </c>
      <c r="D533" t="s">
        <v>7026</v>
      </c>
    </row>
    <row r="534" customHeight="1" spans="1:4">
      <c r="A534">
        <v>534</v>
      </c>
      <c r="B534" t="s">
        <v>7024</v>
      </c>
      <c r="C534" t="s">
        <v>7027</v>
      </c>
      <c r="D534" t="s">
        <v>7028</v>
      </c>
    </row>
    <row r="535" customHeight="1" spans="1:4">
      <c r="A535">
        <v>535</v>
      </c>
      <c r="B535" t="s">
        <v>7024</v>
      </c>
      <c r="C535" t="s">
        <v>6547</v>
      </c>
      <c r="D535" t="s">
        <v>7029</v>
      </c>
    </row>
    <row r="536" customHeight="1" spans="1:4">
      <c r="A536">
        <v>536</v>
      </c>
      <c r="B536" t="s">
        <v>7024</v>
      </c>
      <c r="C536" t="s">
        <v>7030</v>
      </c>
      <c r="D536" t="s">
        <v>7031</v>
      </c>
    </row>
    <row r="537" customHeight="1" spans="1:4">
      <c r="A537">
        <v>537</v>
      </c>
      <c r="B537" t="s">
        <v>7024</v>
      </c>
      <c r="C537" t="s">
        <v>7032</v>
      </c>
      <c r="D537" t="s">
        <v>7033</v>
      </c>
    </row>
    <row r="538" customHeight="1" spans="1:4">
      <c r="A538">
        <v>538</v>
      </c>
      <c r="B538" t="s">
        <v>7024</v>
      </c>
      <c r="C538" t="s">
        <v>7034</v>
      </c>
      <c r="D538" t="s">
        <v>7035</v>
      </c>
    </row>
    <row r="539" customHeight="1" spans="1:4">
      <c r="A539">
        <v>539</v>
      </c>
      <c r="B539" t="s">
        <v>7024</v>
      </c>
      <c r="C539" t="s">
        <v>6352</v>
      </c>
      <c r="D539" t="s">
        <v>7036</v>
      </c>
    </row>
    <row r="540" customHeight="1" spans="1:4">
      <c r="A540">
        <v>540</v>
      </c>
      <c r="B540" t="s">
        <v>7024</v>
      </c>
      <c r="C540" t="s">
        <v>7037</v>
      </c>
      <c r="D540" t="s">
        <v>7038</v>
      </c>
    </row>
    <row r="541" customHeight="1" spans="1:4">
      <c r="A541">
        <v>541</v>
      </c>
      <c r="B541" t="s">
        <v>7024</v>
      </c>
      <c r="C541" t="s">
        <v>7039</v>
      </c>
      <c r="D541" t="s">
        <v>7040</v>
      </c>
    </row>
    <row r="542" customHeight="1" spans="1:4">
      <c r="A542">
        <v>542</v>
      </c>
      <c r="B542" t="s">
        <v>7024</v>
      </c>
      <c r="C542" t="s">
        <v>7041</v>
      </c>
      <c r="D542" t="s">
        <v>7042</v>
      </c>
    </row>
    <row r="543" customHeight="1" spans="1:4">
      <c r="A543">
        <v>543</v>
      </c>
      <c r="B543" t="s">
        <v>7024</v>
      </c>
      <c r="C543" t="s">
        <v>7043</v>
      </c>
      <c r="D543" t="s">
        <v>7044</v>
      </c>
    </row>
    <row r="544" customHeight="1" spans="1:4">
      <c r="A544">
        <v>544</v>
      </c>
      <c r="B544" t="s">
        <v>7024</v>
      </c>
      <c r="C544" t="s">
        <v>7045</v>
      </c>
      <c r="D544" t="s">
        <v>7046</v>
      </c>
    </row>
    <row r="545" customHeight="1" spans="1:4">
      <c r="A545">
        <v>545</v>
      </c>
      <c r="B545" t="s">
        <v>7024</v>
      </c>
      <c r="C545" t="s">
        <v>7047</v>
      </c>
      <c r="D545" t="s">
        <v>7048</v>
      </c>
    </row>
    <row r="546" customHeight="1" spans="1:4">
      <c r="A546">
        <v>546</v>
      </c>
      <c r="B546" t="s">
        <v>7024</v>
      </c>
      <c r="C546" t="s">
        <v>7049</v>
      </c>
      <c r="D546" t="s">
        <v>7050</v>
      </c>
    </row>
    <row r="547" customHeight="1" spans="1:4">
      <c r="A547">
        <v>547</v>
      </c>
      <c r="B547" t="s">
        <v>7024</v>
      </c>
      <c r="C547" t="s">
        <v>7051</v>
      </c>
      <c r="D547" t="s">
        <v>7052</v>
      </c>
    </row>
    <row r="548" customHeight="1" spans="1:4">
      <c r="A548">
        <v>548</v>
      </c>
      <c r="B548" t="s">
        <v>7024</v>
      </c>
      <c r="C548" t="s">
        <v>7024</v>
      </c>
      <c r="D548" t="s">
        <v>7053</v>
      </c>
    </row>
    <row r="549" customHeight="1" spans="1:4">
      <c r="A549">
        <v>549</v>
      </c>
      <c r="B549" t="s">
        <v>7024</v>
      </c>
      <c r="C549" t="s">
        <v>7054</v>
      </c>
      <c r="D549" t="s">
        <v>7055</v>
      </c>
    </row>
    <row r="550" customHeight="1" spans="1:4">
      <c r="A550">
        <v>550</v>
      </c>
      <c r="B550" t="s">
        <v>7024</v>
      </c>
      <c r="C550" t="s">
        <v>7056</v>
      </c>
      <c r="D550" t="s">
        <v>7057</v>
      </c>
    </row>
    <row r="551" customHeight="1" spans="1:4">
      <c r="A551">
        <v>551</v>
      </c>
      <c r="B551" t="s">
        <v>7024</v>
      </c>
      <c r="C551" t="s">
        <v>7058</v>
      </c>
      <c r="D551" t="s">
        <v>7059</v>
      </c>
    </row>
    <row r="552" customHeight="1" spans="1:4">
      <c r="A552">
        <v>552</v>
      </c>
      <c r="B552" t="s">
        <v>7060</v>
      </c>
      <c r="C552" t="s">
        <v>7061</v>
      </c>
      <c r="D552" t="s">
        <v>7062</v>
      </c>
    </row>
    <row r="553" customHeight="1" spans="1:4">
      <c r="A553">
        <v>553</v>
      </c>
      <c r="B553" t="s">
        <v>7060</v>
      </c>
      <c r="C553" t="s">
        <v>7063</v>
      </c>
      <c r="D553" t="s">
        <v>7064</v>
      </c>
    </row>
    <row r="554" customHeight="1" spans="1:4">
      <c r="A554">
        <v>554</v>
      </c>
      <c r="B554" t="s">
        <v>7060</v>
      </c>
      <c r="C554" t="s">
        <v>7065</v>
      </c>
      <c r="D554" t="s">
        <v>7066</v>
      </c>
    </row>
    <row r="555" customHeight="1" spans="1:4">
      <c r="A555">
        <v>555</v>
      </c>
      <c r="B555" t="s">
        <v>7060</v>
      </c>
      <c r="C555" t="s">
        <v>7060</v>
      </c>
      <c r="D555" t="s">
        <v>7067</v>
      </c>
    </row>
    <row r="556" customHeight="1" spans="1:4">
      <c r="A556">
        <v>556</v>
      </c>
      <c r="B556" t="s">
        <v>7060</v>
      </c>
      <c r="C556" t="s">
        <v>7068</v>
      </c>
      <c r="D556" t="s">
        <v>7069</v>
      </c>
    </row>
    <row r="557" customHeight="1" spans="1:4">
      <c r="A557">
        <v>557</v>
      </c>
      <c r="B557" t="s">
        <v>7060</v>
      </c>
      <c r="C557" t="s">
        <v>7070</v>
      </c>
      <c r="D557" t="s">
        <v>7071</v>
      </c>
    </row>
    <row r="558" customHeight="1" spans="1:4">
      <c r="A558">
        <v>558</v>
      </c>
      <c r="B558" t="s">
        <v>7072</v>
      </c>
      <c r="C558" t="s">
        <v>7073</v>
      </c>
      <c r="D558" t="s">
        <v>7074</v>
      </c>
    </row>
    <row r="559" customHeight="1" spans="1:4">
      <c r="A559">
        <v>559</v>
      </c>
      <c r="B559" t="s">
        <v>7072</v>
      </c>
      <c r="C559" t="s">
        <v>7075</v>
      </c>
      <c r="D559" t="s">
        <v>7076</v>
      </c>
    </row>
    <row r="560" customHeight="1" spans="1:4">
      <c r="A560">
        <v>560</v>
      </c>
      <c r="B560" t="s">
        <v>7072</v>
      </c>
      <c r="C560" t="s">
        <v>6831</v>
      </c>
      <c r="D560" t="s">
        <v>7077</v>
      </c>
    </row>
    <row r="561" customHeight="1" spans="1:4">
      <c r="A561">
        <v>561</v>
      </c>
      <c r="B561" t="s">
        <v>7072</v>
      </c>
      <c r="C561" t="s">
        <v>6029</v>
      </c>
      <c r="D561" t="s">
        <v>7078</v>
      </c>
    </row>
    <row r="562" customHeight="1" spans="1:4">
      <c r="A562">
        <v>562</v>
      </c>
      <c r="B562" t="s">
        <v>7072</v>
      </c>
      <c r="C562" t="s">
        <v>6426</v>
      </c>
      <c r="D562" t="s">
        <v>7079</v>
      </c>
    </row>
    <row r="563" customHeight="1" spans="1:4">
      <c r="A563">
        <v>563</v>
      </c>
      <c r="B563" t="s">
        <v>7072</v>
      </c>
      <c r="C563" t="s">
        <v>6812</v>
      </c>
      <c r="D563" t="s">
        <v>7080</v>
      </c>
    </row>
    <row r="564" customHeight="1" spans="1:4">
      <c r="A564">
        <v>564</v>
      </c>
      <c r="B564" t="s">
        <v>7072</v>
      </c>
      <c r="C564" t="s">
        <v>6061</v>
      </c>
      <c r="D564" t="s">
        <v>7081</v>
      </c>
    </row>
    <row r="565" customHeight="1" spans="1:4">
      <c r="A565">
        <v>565</v>
      </c>
      <c r="B565" t="s">
        <v>7072</v>
      </c>
      <c r="C565" t="s">
        <v>7082</v>
      </c>
      <c r="D565" t="s">
        <v>7083</v>
      </c>
    </row>
    <row r="566" customHeight="1" spans="1:4">
      <c r="A566">
        <v>566</v>
      </c>
      <c r="B566" t="s">
        <v>7072</v>
      </c>
      <c r="C566" t="s">
        <v>7084</v>
      </c>
      <c r="D566" t="s">
        <v>7085</v>
      </c>
    </row>
    <row r="567" customHeight="1" spans="1:4">
      <c r="A567">
        <v>567</v>
      </c>
      <c r="B567" t="s">
        <v>7072</v>
      </c>
      <c r="C567" t="s">
        <v>7086</v>
      </c>
      <c r="D567" t="s">
        <v>7087</v>
      </c>
    </row>
    <row r="568" customHeight="1" spans="1:4">
      <c r="A568">
        <v>568</v>
      </c>
      <c r="B568" t="s">
        <v>7072</v>
      </c>
      <c r="C568" t="s">
        <v>6434</v>
      </c>
      <c r="D568" t="s">
        <v>7088</v>
      </c>
    </row>
    <row r="569" customHeight="1" spans="1:4">
      <c r="A569">
        <v>569</v>
      </c>
      <c r="B569" t="s">
        <v>7072</v>
      </c>
      <c r="C569" t="s">
        <v>6895</v>
      </c>
      <c r="D569" t="s">
        <v>7089</v>
      </c>
    </row>
    <row r="570" customHeight="1" spans="1:4">
      <c r="A570">
        <v>570</v>
      </c>
      <c r="B570" t="s">
        <v>7072</v>
      </c>
      <c r="C570" t="s">
        <v>7072</v>
      </c>
      <c r="D570" t="s">
        <v>7090</v>
      </c>
    </row>
    <row r="571" customHeight="1" spans="1:4">
      <c r="A571">
        <v>571</v>
      </c>
      <c r="B571" t="s">
        <v>7072</v>
      </c>
      <c r="C571" t="s">
        <v>7091</v>
      </c>
      <c r="D571" t="s">
        <v>7092</v>
      </c>
    </row>
    <row r="572" customHeight="1" spans="1:4">
      <c r="A572">
        <v>572</v>
      </c>
      <c r="B572" t="s">
        <v>7072</v>
      </c>
      <c r="C572" t="s">
        <v>7093</v>
      </c>
      <c r="D572" t="s">
        <v>7094</v>
      </c>
    </row>
    <row r="573" customHeight="1" spans="1:4">
      <c r="A573">
        <v>573</v>
      </c>
      <c r="B573" t="s">
        <v>7072</v>
      </c>
      <c r="C573" t="s">
        <v>7095</v>
      </c>
      <c r="D573" t="s">
        <v>7096</v>
      </c>
    </row>
    <row r="574" customHeight="1" spans="1:4">
      <c r="A574">
        <v>574</v>
      </c>
      <c r="B574" t="s">
        <v>7072</v>
      </c>
      <c r="C574" t="s">
        <v>7097</v>
      </c>
      <c r="D574" t="s">
        <v>7098</v>
      </c>
    </row>
    <row r="575" customHeight="1" spans="1:4">
      <c r="A575">
        <v>575</v>
      </c>
      <c r="B575" t="s">
        <v>7072</v>
      </c>
      <c r="C575" t="s">
        <v>7099</v>
      </c>
      <c r="D575" t="s">
        <v>7100</v>
      </c>
    </row>
    <row r="576" customHeight="1" spans="1:4">
      <c r="A576">
        <v>576</v>
      </c>
      <c r="B576" t="s">
        <v>7101</v>
      </c>
      <c r="C576" t="s">
        <v>7102</v>
      </c>
      <c r="D576" t="s">
        <v>7103</v>
      </c>
    </row>
    <row r="577" customHeight="1" spans="1:4">
      <c r="A577">
        <v>577</v>
      </c>
      <c r="B577" t="s">
        <v>7101</v>
      </c>
      <c r="C577" t="s">
        <v>7104</v>
      </c>
      <c r="D577" t="s">
        <v>7105</v>
      </c>
    </row>
    <row r="578" customHeight="1" spans="1:4">
      <c r="A578">
        <v>578</v>
      </c>
      <c r="B578" t="s">
        <v>7101</v>
      </c>
      <c r="C578" t="s">
        <v>7106</v>
      </c>
      <c r="D578" t="s">
        <v>7107</v>
      </c>
    </row>
    <row r="579" customHeight="1" spans="1:4">
      <c r="A579">
        <v>579</v>
      </c>
      <c r="B579" t="s">
        <v>7101</v>
      </c>
      <c r="C579" t="s">
        <v>7108</v>
      </c>
      <c r="D579" t="s">
        <v>7109</v>
      </c>
    </row>
    <row r="580" customHeight="1" spans="1:4">
      <c r="A580">
        <v>580</v>
      </c>
      <c r="B580" t="s">
        <v>7101</v>
      </c>
      <c r="C580" t="s">
        <v>7110</v>
      </c>
      <c r="D580" t="s">
        <v>7111</v>
      </c>
    </row>
    <row r="581" customHeight="1" spans="1:4">
      <c r="A581">
        <v>581</v>
      </c>
      <c r="B581" t="s">
        <v>7101</v>
      </c>
      <c r="C581" t="s">
        <v>7112</v>
      </c>
      <c r="D581" t="s">
        <v>7113</v>
      </c>
    </row>
    <row r="582" customHeight="1" spans="1:4">
      <c r="A582">
        <v>582</v>
      </c>
      <c r="B582" t="s">
        <v>7101</v>
      </c>
      <c r="C582" t="s">
        <v>7114</v>
      </c>
      <c r="D582" t="s">
        <v>7115</v>
      </c>
    </row>
    <row r="583" customHeight="1" spans="1:4">
      <c r="A583">
        <v>583</v>
      </c>
      <c r="B583" t="s">
        <v>7101</v>
      </c>
      <c r="C583" t="s">
        <v>7101</v>
      </c>
      <c r="D583" t="s">
        <v>7116</v>
      </c>
    </row>
    <row r="584" customHeight="1" spans="1:4">
      <c r="A584">
        <v>584</v>
      </c>
      <c r="B584" t="s">
        <v>7101</v>
      </c>
      <c r="C584" t="s">
        <v>7117</v>
      </c>
      <c r="D584" t="s">
        <v>7118</v>
      </c>
    </row>
    <row r="585" customHeight="1" spans="1:4">
      <c r="A585">
        <v>585</v>
      </c>
      <c r="B585" t="s">
        <v>7101</v>
      </c>
      <c r="C585" t="s">
        <v>7119</v>
      </c>
      <c r="D585" t="s">
        <v>7120</v>
      </c>
    </row>
    <row r="586" customHeight="1" spans="1:4">
      <c r="A586">
        <v>586</v>
      </c>
      <c r="B586" t="s">
        <v>7121</v>
      </c>
      <c r="C586" t="s">
        <v>6055</v>
      </c>
      <c r="D586" t="s">
        <v>7122</v>
      </c>
    </row>
    <row r="587" customHeight="1" spans="1:4">
      <c r="A587">
        <v>587</v>
      </c>
      <c r="B587" t="s">
        <v>7121</v>
      </c>
      <c r="C587" t="s">
        <v>6825</v>
      </c>
      <c r="D587" t="s">
        <v>7123</v>
      </c>
    </row>
    <row r="588" customHeight="1" spans="1:4">
      <c r="A588">
        <v>588</v>
      </c>
      <c r="B588" t="s">
        <v>7121</v>
      </c>
      <c r="C588" t="s">
        <v>7124</v>
      </c>
      <c r="D588" t="s">
        <v>7125</v>
      </c>
    </row>
    <row r="589" customHeight="1" spans="1:4">
      <c r="A589">
        <v>589</v>
      </c>
      <c r="B589" t="s">
        <v>7121</v>
      </c>
      <c r="C589" t="s">
        <v>7126</v>
      </c>
      <c r="D589" t="s">
        <v>7127</v>
      </c>
    </row>
    <row r="590" customHeight="1" spans="1:4">
      <c r="A590">
        <v>590</v>
      </c>
      <c r="B590" t="s">
        <v>7121</v>
      </c>
      <c r="C590" t="s">
        <v>7128</v>
      </c>
      <c r="D590" t="s">
        <v>7129</v>
      </c>
    </row>
    <row r="591" customHeight="1" spans="1:4">
      <c r="A591">
        <v>591</v>
      </c>
      <c r="B591" t="s">
        <v>7121</v>
      </c>
      <c r="C591" t="s">
        <v>6419</v>
      </c>
      <c r="D591" t="s">
        <v>7130</v>
      </c>
    </row>
    <row r="592" customHeight="1" spans="1:4">
      <c r="A592">
        <v>592</v>
      </c>
      <c r="B592" t="s">
        <v>7121</v>
      </c>
      <c r="C592" t="s">
        <v>7131</v>
      </c>
      <c r="D592" t="s">
        <v>7132</v>
      </c>
    </row>
    <row r="593" customHeight="1" spans="1:4">
      <c r="A593">
        <v>593</v>
      </c>
      <c r="B593" t="s">
        <v>7121</v>
      </c>
      <c r="C593" t="s">
        <v>7133</v>
      </c>
      <c r="D593" t="s">
        <v>7134</v>
      </c>
    </row>
    <row r="594" customHeight="1" spans="1:4">
      <c r="A594">
        <v>594</v>
      </c>
      <c r="B594" t="s">
        <v>7121</v>
      </c>
      <c r="C594" t="s">
        <v>7121</v>
      </c>
      <c r="D594" t="s">
        <v>7135</v>
      </c>
    </row>
    <row r="595" customHeight="1" spans="1:4">
      <c r="A595">
        <v>595</v>
      </c>
      <c r="B595" t="s">
        <v>7121</v>
      </c>
      <c r="C595" t="s">
        <v>7136</v>
      </c>
      <c r="D595" t="s">
        <v>7137</v>
      </c>
    </row>
    <row r="596" customHeight="1" spans="1:4">
      <c r="A596">
        <v>596</v>
      </c>
      <c r="B596" t="s">
        <v>7121</v>
      </c>
      <c r="C596" t="s">
        <v>7138</v>
      </c>
      <c r="D596" t="s">
        <v>7139</v>
      </c>
    </row>
    <row r="597" customHeight="1" spans="1:4">
      <c r="A597">
        <v>597</v>
      </c>
      <c r="B597" t="s">
        <v>7121</v>
      </c>
      <c r="C597" t="s">
        <v>7140</v>
      </c>
      <c r="D597" t="s">
        <v>7141</v>
      </c>
    </row>
    <row r="598" customHeight="1" spans="1:4">
      <c r="A598">
        <v>598</v>
      </c>
      <c r="B598" t="s">
        <v>7142</v>
      </c>
      <c r="C598" t="s">
        <v>7143</v>
      </c>
      <c r="D598" t="s">
        <v>7144</v>
      </c>
    </row>
    <row r="599" customHeight="1" spans="1:4">
      <c r="A599">
        <v>599</v>
      </c>
      <c r="B599" t="s">
        <v>7142</v>
      </c>
      <c r="C599" t="s">
        <v>6185</v>
      </c>
      <c r="D599" t="s">
        <v>7145</v>
      </c>
    </row>
    <row r="600" customHeight="1" spans="1:4">
      <c r="A600">
        <v>600</v>
      </c>
      <c r="B600" t="s">
        <v>7142</v>
      </c>
      <c r="C600" t="s">
        <v>7146</v>
      </c>
      <c r="D600" t="s">
        <v>7147</v>
      </c>
    </row>
    <row r="601" customHeight="1" spans="1:4">
      <c r="A601">
        <v>601</v>
      </c>
      <c r="B601" t="s">
        <v>7142</v>
      </c>
      <c r="C601" t="s">
        <v>7148</v>
      </c>
      <c r="D601" t="s">
        <v>7149</v>
      </c>
    </row>
    <row r="602" customHeight="1" spans="1:4">
      <c r="A602">
        <v>602</v>
      </c>
      <c r="B602" t="s">
        <v>7142</v>
      </c>
      <c r="C602" t="s">
        <v>7128</v>
      </c>
      <c r="D602" t="s">
        <v>7150</v>
      </c>
    </row>
    <row r="603" customHeight="1" spans="1:4">
      <c r="A603">
        <v>603</v>
      </c>
      <c r="B603" t="s">
        <v>7142</v>
      </c>
      <c r="C603" t="s">
        <v>7151</v>
      </c>
      <c r="D603" t="s">
        <v>7152</v>
      </c>
    </row>
    <row r="604" customHeight="1" spans="1:4">
      <c r="A604">
        <v>604</v>
      </c>
      <c r="B604" t="s">
        <v>7142</v>
      </c>
      <c r="C604" t="s">
        <v>7153</v>
      </c>
      <c r="D604" t="s">
        <v>7154</v>
      </c>
    </row>
    <row r="605" customHeight="1" spans="1:4">
      <c r="A605">
        <v>605</v>
      </c>
      <c r="B605" t="s">
        <v>7142</v>
      </c>
      <c r="C605" t="s">
        <v>7155</v>
      </c>
      <c r="D605" t="s">
        <v>7156</v>
      </c>
    </row>
    <row r="606" customHeight="1" spans="1:4">
      <c r="A606">
        <v>606</v>
      </c>
      <c r="B606" t="s">
        <v>7142</v>
      </c>
      <c r="C606" t="s">
        <v>7157</v>
      </c>
      <c r="D606" t="s">
        <v>7158</v>
      </c>
    </row>
    <row r="607" customHeight="1" spans="1:4">
      <c r="A607">
        <v>607</v>
      </c>
      <c r="B607" t="s">
        <v>7142</v>
      </c>
      <c r="C607" t="s">
        <v>7142</v>
      </c>
      <c r="D607" t="s">
        <v>7159</v>
      </c>
    </row>
    <row r="608" customHeight="1" spans="1:4">
      <c r="A608">
        <v>608</v>
      </c>
      <c r="B608" t="s">
        <v>7142</v>
      </c>
      <c r="C608" t="s">
        <v>7160</v>
      </c>
      <c r="D608" t="s">
        <v>7161</v>
      </c>
    </row>
    <row r="609" customHeight="1" spans="1:4">
      <c r="A609">
        <v>609</v>
      </c>
      <c r="B609" t="s">
        <v>7142</v>
      </c>
      <c r="C609" t="s">
        <v>7162</v>
      </c>
      <c r="D609" t="s">
        <v>7163</v>
      </c>
    </row>
    <row r="610" customHeight="1" spans="1:4">
      <c r="A610">
        <v>610</v>
      </c>
      <c r="B610" t="s">
        <v>7142</v>
      </c>
      <c r="C610" t="s">
        <v>6254</v>
      </c>
      <c r="D610" t="s">
        <v>7164</v>
      </c>
    </row>
    <row r="611" customHeight="1" spans="1:4">
      <c r="A611">
        <v>611</v>
      </c>
      <c r="B611" t="s">
        <v>7142</v>
      </c>
      <c r="C611" t="s">
        <v>7165</v>
      </c>
      <c r="D611" t="s">
        <v>7166</v>
      </c>
    </row>
    <row r="612" customHeight="1" spans="1:4">
      <c r="A612">
        <v>612</v>
      </c>
      <c r="B612" t="s">
        <v>7142</v>
      </c>
      <c r="C612" t="s">
        <v>7167</v>
      </c>
      <c r="D612" t="s">
        <v>7168</v>
      </c>
    </row>
    <row r="613" customHeight="1" spans="1:4">
      <c r="A613">
        <v>613</v>
      </c>
      <c r="B613" t="s">
        <v>7169</v>
      </c>
      <c r="C613" t="s">
        <v>7170</v>
      </c>
      <c r="D613" t="s">
        <v>7171</v>
      </c>
    </row>
    <row r="614" customHeight="1" spans="1:4">
      <c r="A614">
        <v>614</v>
      </c>
      <c r="B614" t="s">
        <v>7169</v>
      </c>
      <c r="C614" t="s">
        <v>7172</v>
      </c>
      <c r="D614" t="s">
        <v>7173</v>
      </c>
    </row>
    <row r="615" customHeight="1" spans="1:4">
      <c r="A615">
        <v>615</v>
      </c>
      <c r="B615" t="s">
        <v>7169</v>
      </c>
      <c r="C615" t="s">
        <v>7174</v>
      </c>
      <c r="D615" t="s">
        <v>7175</v>
      </c>
    </row>
    <row r="616" customHeight="1" spans="1:4">
      <c r="A616">
        <v>616</v>
      </c>
      <c r="B616" t="s">
        <v>7169</v>
      </c>
      <c r="C616" t="s">
        <v>6712</v>
      </c>
      <c r="D616" t="s">
        <v>7176</v>
      </c>
    </row>
    <row r="617" customHeight="1" spans="1:4">
      <c r="A617">
        <v>617</v>
      </c>
      <c r="B617" t="s">
        <v>7169</v>
      </c>
      <c r="C617" t="s">
        <v>7177</v>
      </c>
      <c r="D617" t="s">
        <v>7178</v>
      </c>
    </row>
    <row r="618" customHeight="1" spans="1:4">
      <c r="A618">
        <v>618</v>
      </c>
      <c r="B618" t="s">
        <v>7169</v>
      </c>
      <c r="C618" t="s">
        <v>6988</v>
      </c>
      <c r="D618" t="s">
        <v>7179</v>
      </c>
    </row>
    <row r="619" customHeight="1" spans="1:4">
      <c r="A619">
        <v>619</v>
      </c>
      <c r="B619" t="s">
        <v>7169</v>
      </c>
      <c r="C619" t="s">
        <v>7169</v>
      </c>
      <c r="D619" t="s">
        <v>7180</v>
      </c>
    </row>
    <row r="620" customHeight="1" spans="1:4">
      <c r="A620">
        <v>620</v>
      </c>
      <c r="B620" t="s">
        <v>7169</v>
      </c>
      <c r="C620" t="s">
        <v>7181</v>
      </c>
      <c r="D620" t="s">
        <v>7182</v>
      </c>
    </row>
    <row r="621" customHeight="1" spans="1:4">
      <c r="A621">
        <v>621</v>
      </c>
      <c r="B621" t="s">
        <v>7183</v>
      </c>
      <c r="C621" t="s">
        <v>7184</v>
      </c>
      <c r="D621" t="s">
        <v>7185</v>
      </c>
    </row>
    <row r="622" customHeight="1" spans="1:4">
      <c r="A622">
        <v>622</v>
      </c>
      <c r="B622" t="s">
        <v>7183</v>
      </c>
      <c r="C622" t="s">
        <v>6150</v>
      </c>
      <c r="D622" t="s">
        <v>7186</v>
      </c>
    </row>
    <row r="623" customHeight="1" spans="1:4">
      <c r="A623">
        <v>623</v>
      </c>
      <c r="B623" t="s">
        <v>7183</v>
      </c>
      <c r="C623" t="s">
        <v>7187</v>
      </c>
      <c r="D623" t="s">
        <v>7188</v>
      </c>
    </row>
    <row r="624" customHeight="1" spans="1:4">
      <c r="A624">
        <v>624</v>
      </c>
      <c r="B624" t="s">
        <v>7183</v>
      </c>
      <c r="C624" t="s">
        <v>7189</v>
      </c>
      <c r="D624" t="s">
        <v>7190</v>
      </c>
    </row>
    <row r="625" customHeight="1" spans="1:4">
      <c r="A625">
        <v>625</v>
      </c>
      <c r="B625" t="s">
        <v>7183</v>
      </c>
      <c r="C625" t="s">
        <v>7191</v>
      </c>
      <c r="D625" t="s">
        <v>7192</v>
      </c>
    </row>
    <row r="626" customHeight="1" spans="1:4">
      <c r="A626">
        <v>626</v>
      </c>
      <c r="B626" t="s">
        <v>7183</v>
      </c>
      <c r="C626" t="s">
        <v>7193</v>
      </c>
      <c r="D626" t="s">
        <v>7194</v>
      </c>
    </row>
    <row r="627" customHeight="1" spans="1:4">
      <c r="A627">
        <v>627</v>
      </c>
      <c r="B627" t="s">
        <v>7183</v>
      </c>
      <c r="C627" t="s">
        <v>7195</v>
      </c>
      <c r="D627" t="s">
        <v>7196</v>
      </c>
    </row>
    <row r="628" customHeight="1" spans="1:4">
      <c r="A628">
        <v>628</v>
      </c>
      <c r="B628" t="s">
        <v>7183</v>
      </c>
      <c r="C628" t="s">
        <v>7183</v>
      </c>
      <c r="D628" t="s">
        <v>7197</v>
      </c>
    </row>
    <row r="629" customHeight="1" spans="1:4">
      <c r="A629">
        <v>629</v>
      </c>
      <c r="B629" t="s">
        <v>7183</v>
      </c>
      <c r="C629" t="s">
        <v>7198</v>
      </c>
      <c r="D629" t="s">
        <v>7199</v>
      </c>
    </row>
    <row r="630" customHeight="1" spans="1:4">
      <c r="A630">
        <v>630</v>
      </c>
      <c r="B630" t="s">
        <v>7183</v>
      </c>
      <c r="C630" t="s">
        <v>7200</v>
      </c>
      <c r="D630" t="s">
        <v>7201</v>
      </c>
    </row>
    <row r="631" customHeight="1" spans="1:4">
      <c r="A631">
        <v>631</v>
      </c>
      <c r="B631" t="s">
        <v>7202</v>
      </c>
      <c r="C631" t="s">
        <v>6055</v>
      </c>
      <c r="D631" t="s">
        <v>7203</v>
      </c>
    </row>
    <row r="632" customHeight="1" spans="1:4">
      <c r="A632">
        <v>632</v>
      </c>
      <c r="B632" t="s">
        <v>7202</v>
      </c>
      <c r="C632" t="s">
        <v>7204</v>
      </c>
      <c r="D632" t="s">
        <v>7205</v>
      </c>
    </row>
    <row r="633" customHeight="1" spans="1:4">
      <c r="A633">
        <v>633</v>
      </c>
      <c r="B633" t="s">
        <v>7202</v>
      </c>
      <c r="C633" t="s">
        <v>7206</v>
      </c>
      <c r="D633" t="s">
        <v>7207</v>
      </c>
    </row>
    <row r="634" customHeight="1" spans="1:4">
      <c r="A634">
        <v>634</v>
      </c>
      <c r="B634" t="s">
        <v>7202</v>
      </c>
      <c r="C634" t="s">
        <v>7208</v>
      </c>
      <c r="D634" t="s">
        <v>7209</v>
      </c>
    </row>
    <row r="635" customHeight="1" spans="1:4">
      <c r="A635">
        <v>635</v>
      </c>
      <c r="B635" t="s">
        <v>7202</v>
      </c>
      <c r="C635" t="s">
        <v>7210</v>
      </c>
      <c r="D635" t="s">
        <v>7211</v>
      </c>
    </row>
    <row r="636" customHeight="1" spans="1:4">
      <c r="A636">
        <v>636</v>
      </c>
      <c r="B636" t="s">
        <v>7202</v>
      </c>
      <c r="C636" t="s">
        <v>7212</v>
      </c>
      <c r="D636" t="s">
        <v>7213</v>
      </c>
    </row>
    <row r="637" customHeight="1" spans="1:4">
      <c r="A637">
        <v>637</v>
      </c>
      <c r="B637" t="s">
        <v>7202</v>
      </c>
      <c r="C637" t="s">
        <v>7214</v>
      </c>
      <c r="D637" t="s">
        <v>7215</v>
      </c>
    </row>
    <row r="638" customHeight="1" spans="1:4">
      <c r="A638">
        <v>638</v>
      </c>
      <c r="B638" t="s">
        <v>7202</v>
      </c>
      <c r="C638" t="s">
        <v>6812</v>
      </c>
      <c r="D638" t="s">
        <v>7216</v>
      </c>
    </row>
    <row r="639" customHeight="1" spans="1:4">
      <c r="A639">
        <v>639</v>
      </c>
      <c r="B639" t="s">
        <v>7202</v>
      </c>
      <c r="C639" t="s">
        <v>7217</v>
      </c>
      <c r="D639" t="s">
        <v>7218</v>
      </c>
    </row>
    <row r="640" customHeight="1" spans="1:4">
      <c r="A640">
        <v>640</v>
      </c>
      <c r="B640" t="s">
        <v>7202</v>
      </c>
      <c r="C640" t="s">
        <v>7219</v>
      </c>
      <c r="D640" t="s">
        <v>7220</v>
      </c>
    </row>
    <row r="641" customHeight="1" spans="1:4">
      <c r="A641">
        <v>641</v>
      </c>
      <c r="B641" t="s">
        <v>7202</v>
      </c>
      <c r="C641" t="s">
        <v>7136</v>
      </c>
      <c r="D641" t="s">
        <v>7221</v>
      </c>
    </row>
    <row r="642" customHeight="1" spans="1:4">
      <c r="A642">
        <v>642</v>
      </c>
      <c r="B642" t="s">
        <v>7202</v>
      </c>
      <c r="C642" t="s">
        <v>7202</v>
      </c>
      <c r="D642" t="s">
        <v>7222</v>
      </c>
    </row>
    <row r="643" customHeight="1" spans="1:4">
      <c r="A643">
        <v>643</v>
      </c>
      <c r="B643" t="s">
        <v>7202</v>
      </c>
      <c r="C643" t="s">
        <v>7223</v>
      </c>
      <c r="D643" t="s">
        <v>7224</v>
      </c>
    </row>
    <row r="644" customHeight="1" spans="1:4">
      <c r="A644">
        <v>644</v>
      </c>
      <c r="B644" t="s">
        <v>7202</v>
      </c>
      <c r="C644" t="s">
        <v>7225</v>
      </c>
      <c r="D644" t="s">
        <v>7226</v>
      </c>
    </row>
    <row r="645" customHeight="1" spans="1:4">
      <c r="A645">
        <v>645</v>
      </c>
      <c r="B645" t="s">
        <v>7227</v>
      </c>
      <c r="C645" t="s">
        <v>7228</v>
      </c>
      <c r="D645" t="s">
        <v>7229</v>
      </c>
    </row>
    <row r="646" customHeight="1" spans="1:4">
      <c r="A646">
        <v>646</v>
      </c>
      <c r="B646" t="s">
        <v>7227</v>
      </c>
      <c r="C646" t="s">
        <v>7230</v>
      </c>
      <c r="D646" t="s">
        <v>7231</v>
      </c>
    </row>
    <row r="647" customHeight="1" spans="1:4">
      <c r="A647">
        <v>647</v>
      </c>
      <c r="B647" t="s">
        <v>7227</v>
      </c>
      <c r="C647" t="s">
        <v>7232</v>
      </c>
      <c r="D647" t="s">
        <v>7233</v>
      </c>
    </row>
    <row r="648" customHeight="1" spans="1:4">
      <c r="A648">
        <v>648</v>
      </c>
      <c r="B648" t="s">
        <v>7227</v>
      </c>
      <c r="C648" t="s">
        <v>7234</v>
      </c>
      <c r="D648" t="s">
        <v>7235</v>
      </c>
    </row>
    <row r="649" customHeight="1" spans="1:4">
      <c r="A649">
        <v>649</v>
      </c>
      <c r="B649" t="s">
        <v>7227</v>
      </c>
      <c r="C649" t="s">
        <v>7236</v>
      </c>
      <c r="D649" t="s">
        <v>7237</v>
      </c>
    </row>
    <row r="650" customHeight="1" spans="1:4">
      <c r="A650">
        <v>650</v>
      </c>
      <c r="B650" t="s">
        <v>7227</v>
      </c>
      <c r="C650" t="s">
        <v>7238</v>
      </c>
      <c r="D650" t="s">
        <v>7239</v>
      </c>
    </row>
    <row r="651" customHeight="1" spans="1:4">
      <c r="A651">
        <v>651</v>
      </c>
      <c r="B651" t="s">
        <v>7227</v>
      </c>
      <c r="C651" t="s">
        <v>7240</v>
      </c>
      <c r="D651" t="s">
        <v>7241</v>
      </c>
    </row>
    <row r="652" customHeight="1" spans="1:4">
      <c r="A652">
        <v>652</v>
      </c>
      <c r="B652" t="s">
        <v>7227</v>
      </c>
      <c r="C652" t="s">
        <v>6988</v>
      </c>
      <c r="D652" t="s">
        <v>7242</v>
      </c>
    </row>
    <row r="653" customHeight="1" spans="1:4">
      <c r="A653">
        <v>653</v>
      </c>
      <c r="B653" t="s">
        <v>7227</v>
      </c>
      <c r="C653" t="s">
        <v>7243</v>
      </c>
      <c r="D653" t="s">
        <v>7244</v>
      </c>
    </row>
    <row r="654" customHeight="1" spans="1:4">
      <c r="A654">
        <v>654</v>
      </c>
      <c r="B654" t="s">
        <v>7227</v>
      </c>
      <c r="C654" t="s">
        <v>7227</v>
      </c>
      <c r="D654" t="s">
        <v>7245</v>
      </c>
    </row>
    <row r="655" customHeight="1" spans="1:4">
      <c r="A655">
        <v>655</v>
      </c>
      <c r="B655" t="s">
        <v>7227</v>
      </c>
      <c r="C655" t="s">
        <v>7246</v>
      </c>
      <c r="D655" t="s">
        <v>7247</v>
      </c>
    </row>
    <row r="656" customHeight="1" spans="1:4">
      <c r="A656">
        <v>656</v>
      </c>
      <c r="B656" t="s">
        <v>7248</v>
      </c>
      <c r="C656" t="s">
        <v>7249</v>
      </c>
      <c r="D656" t="s">
        <v>7250</v>
      </c>
    </row>
    <row r="657" customHeight="1" spans="1:4">
      <c r="A657">
        <v>657</v>
      </c>
      <c r="B657" t="s">
        <v>7248</v>
      </c>
      <c r="C657" t="s">
        <v>7251</v>
      </c>
      <c r="D657" t="s">
        <v>7252</v>
      </c>
    </row>
    <row r="658" customHeight="1" spans="1:4">
      <c r="A658">
        <v>658</v>
      </c>
      <c r="B658" t="s">
        <v>7248</v>
      </c>
      <c r="C658" t="s">
        <v>6021</v>
      </c>
      <c r="D658" t="s">
        <v>7253</v>
      </c>
    </row>
    <row r="659" customHeight="1" spans="1:4">
      <c r="A659">
        <v>659</v>
      </c>
      <c r="B659" t="s">
        <v>7248</v>
      </c>
      <c r="C659" t="s">
        <v>7254</v>
      </c>
      <c r="D659" t="s">
        <v>7255</v>
      </c>
    </row>
    <row r="660" customHeight="1" spans="1:4">
      <c r="A660">
        <v>660</v>
      </c>
      <c r="B660" t="s">
        <v>7248</v>
      </c>
      <c r="C660" t="s">
        <v>7256</v>
      </c>
      <c r="D660" t="s">
        <v>7257</v>
      </c>
    </row>
    <row r="661" customHeight="1" spans="1:4">
      <c r="A661">
        <v>661</v>
      </c>
      <c r="B661" t="s">
        <v>7248</v>
      </c>
      <c r="C661" t="s">
        <v>7258</v>
      </c>
      <c r="D661" t="s">
        <v>7259</v>
      </c>
    </row>
    <row r="662" customHeight="1" spans="1:4">
      <c r="A662">
        <v>662</v>
      </c>
      <c r="B662" t="s">
        <v>7248</v>
      </c>
      <c r="C662" t="s">
        <v>7260</v>
      </c>
      <c r="D662" t="s">
        <v>7261</v>
      </c>
    </row>
    <row r="663" customHeight="1" spans="1:4">
      <c r="A663">
        <v>663</v>
      </c>
      <c r="B663" t="s">
        <v>7248</v>
      </c>
      <c r="C663" t="s">
        <v>7262</v>
      </c>
      <c r="D663" t="s">
        <v>7263</v>
      </c>
    </row>
    <row r="664" customHeight="1" spans="1:4">
      <c r="A664">
        <v>664</v>
      </c>
      <c r="B664" t="s">
        <v>7248</v>
      </c>
      <c r="C664" t="s">
        <v>7264</v>
      </c>
      <c r="D664" t="s">
        <v>7265</v>
      </c>
    </row>
    <row r="665" customHeight="1" spans="1:4">
      <c r="A665">
        <v>665</v>
      </c>
      <c r="B665" t="s">
        <v>7248</v>
      </c>
      <c r="C665" t="s">
        <v>7266</v>
      </c>
      <c r="D665" t="s">
        <v>7267</v>
      </c>
    </row>
    <row r="666" customHeight="1" spans="1:4">
      <c r="A666">
        <v>666</v>
      </c>
      <c r="B666" t="s">
        <v>7248</v>
      </c>
      <c r="C666" t="s">
        <v>7248</v>
      </c>
      <c r="D666" t="s">
        <v>7268</v>
      </c>
    </row>
    <row r="667" customHeight="1" spans="1:4">
      <c r="A667">
        <v>667</v>
      </c>
      <c r="B667" t="s">
        <v>7248</v>
      </c>
      <c r="C667" t="s">
        <v>7269</v>
      </c>
      <c r="D667" t="s">
        <v>7270</v>
      </c>
    </row>
    <row r="668" customHeight="1" spans="1:4">
      <c r="A668">
        <v>668</v>
      </c>
      <c r="B668" t="s">
        <v>7248</v>
      </c>
      <c r="C668" t="s">
        <v>7271</v>
      </c>
      <c r="D668" t="s">
        <v>7272</v>
      </c>
    </row>
    <row r="669" customHeight="1" spans="1:4">
      <c r="A669">
        <v>669</v>
      </c>
      <c r="B669" t="s">
        <v>7273</v>
      </c>
      <c r="C669" t="s">
        <v>6121</v>
      </c>
      <c r="D669" t="s">
        <v>7274</v>
      </c>
    </row>
    <row r="670" customHeight="1" spans="1:4">
      <c r="A670">
        <v>670</v>
      </c>
      <c r="B670" t="s">
        <v>7273</v>
      </c>
      <c r="C670" t="s">
        <v>6185</v>
      </c>
      <c r="D670" t="s">
        <v>7275</v>
      </c>
    </row>
    <row r="671" customHeight="1" spans="1:4">
      <c r="A671">
        <v>671</v>
      </c>
      <c r="B671" t="s">
        <v>7273</v>
      </c>
      <c r="C671" t="s">
        <v>6031</v>
      </c>
      <c r="D671" t="s">
        <v>7276</v>
      </c>
    </row>
    <row r="672" customHeight="1" spans="1:4">
      <c r="A672">
        <v>672</v>
      </c>
      <c r="B672" t="s">
        <v>7273</v>
      </c>
      <c r="C672" t="s">
        <v>7277</v>
      </c>
      <c r="D672" t="s">
        <v>7278</v>
      </c>
    </row>
    <row r="673" customHeight="1" spans="1:4">
      <c r="A673">
        <v>673</v>
      </c>
      <c r="B673" t="s">
        <v>7273</v>
      </c>
      <c r="C673" t="s">
        <v>6488</v>
      </c>
      <c r="D673" t="s">
        <v>7279</v>
      </c>
    </row>
    <row r="674" customHeight="1" spans="1:4">
      <c r="A674">
        <v>674</v>
      </c>
      <c r="B674" t="s">
        <v>7273</v>
      </c>
      <c r="C674" t="s">
        <v>7280</v>
      </c>
      <c r="D674" t="s">
        <v>7281</v>
      </c>
    </row>
    <row r="675" customHeight="1" spans="1:4">
      <c r="A675">
        <v>675</v>
      </c>
      <c r="B675" t="s">
        <v>7273</v>
      </c>
      <c r="C675" t="s">
        <v>7282</v>
      </c>
      <c r="D675" t="s">
        <v>7283</v>
      </c>
    </row>
    <row r="676" customHeight="1" spans="1:4">
      <c r="A676">
        <v>676</v>
      </c>
      <c r="B676" t="s">
        <v>7273</v>
      </c>
      <c r="C676" t="s">
        <v>7284</v>
      </c>
      <c r="D676" t="s">
        <v>7285</v>
      </c>
    </row>
    <row r="677" customHeight="1" spans="1:4">
      <c r="A677">
        <v>677</v>
      </c>
      <c r="B677" t="s">
        <v>7273</v>
      </c>
      <c r="C677" t="s">
        <v>7273</v>
      </c>
      <c r="D677" t="s">
        <v>7286</v>
      </c>
    </row>
    <row r="678" customHeight="1" spans="1:4">
      <c r="A678">
        <v>678</v>
      </c>
      <c r="B678" t="s">
        <v>7273</v>
      </c>
      <c r="C678" t="s">
        <v>7200</v>
      </c>
      <c r="D678" t="s">
        <v>7287</v>
      </c>
    </row>
    <row r="679" customHeight="1" spans="1:4">
      <c r="A679">
        <v>679</v>
      </c>
      <c r="B679" t="s">
        <v>7288</v>
      </c>
      <c r="C679" t="s">
        <v>7289</v>
      </c>
      <c r="D679" t="s">
        <v>7290</v>
      </c>
    </row>
    <row r="680" customHeight="1" spans="1:4">
      <c r="A680">
        <v>680</v>
      </c>
      <c r="B680" t="s">
        <v>7288</v>
      </c>
      <c r="C680" t="s">
        <v>7291</v>
      </c>
      <c r="D680" t="s">
        <v>7292</v>
      </c>
    </row>
    <row r="681" customHeight="1" spans="1:4">
      <c r="A681">
        <v>681</v>
      </c>
      <c r="B681" t="s">
        <v>7288</v>
      </c>
      <c r="C681" t="s">
        <v>7293</v>
      </c>
      <c r="D681" t="s">
        <v>7294</v>
      </c>
    </row>
    <row r="682" customHeight="1" spans="1:4">
      <c r="A682">
        <v>682</v>
      </c>
      <c r="B682" t="s">
        <v>7288</v>
      </c>
      <c r="C682" t="s">
        <v>7295</v>
      </c>
      <c r="D682" t="s">
        <v>7296</v>
      </c>
    </row>
    <row r="683" customHeight="1" spans="1:4">
      <c r="A683">
        <v>683</v>
      </c>
      <c r="B683" t="s">
        <v>7288</v>
      </c>
      <c r="C683" t="s">
        <v>7297</v>
      </c>
      <c r="D683" t="s">
        <v>7298</v>
      </c>
    </row>
    <row r="684" customHeight="1" spans="1:4">
      <c r="A684">
        <v>684</v>
      </c>
      <c r="B684" t="s">
        <v>7288</v>
      </c>
      <c r="C684" t="s">
        <v>7299</v>
      </c>
      <c r="D684" t="s">
        <v>7300</v>
      </c>
    </row>
    <row r="685" customHeight="1" spans="1:4">
      <c r="A685">
        <v>685</v>
      </c>
      <c r="B685" t="s">
        <v>7288</v>
      </c>
      <c r="C685" t="s">
        <v>7301</v>
      </c>
      <c r="D685" t="s">
        <v>7302</v>
      </c>
    </row>
    <row r="686" customHeight="1" spans="1:4">
      <c r="A686">
        <v>686</v>
      </c>
      <c r="B686" t="s">
        <v>7288</v>
      </c>
      <c r="C686" t="s">
        <v>7303</v>
      </c>
      <c r="D686" t="s">
        <v>7304</v>
      </c>
    </row>
    <row r="687" customHeight="1" spans="1:4">
      <c r="A687">
        <v>687</v>
      </c>
      <c r="B687" t="s">
        <v>7288</v>
      </c>
      <c r="C687" t="s">
        <v>7288</v>
      </c>
      <c r="D687" t="s">
        <v>7305</v>
      </c>
    </row>
    <row r="688" customHeight="1" spans="1:4">
      <c r="A688">
        <v>688</v>
      </c>
      <c r="B688" t="s">
        <v>7288</v>
      </c>
      <c r="C688" t="s">
        <v>7306</v>
      </c>
      <c r="D688" t="s">
        <v>7307</v>
      </c>
    </row>
    <row r="689" customHeight="1" spans="1:4">
      <c r="A689">
        <v>689</v>
      </c>
      <c r="B689" t="s">
        <v>7308</v>
      </c>
      <c r="C689" t="s">
        <v>7309</v>
      </c>
      <c r="D689" t="s">
        <v>7310</v>
      </c>
    </row>
    <row r="690" customHeight="1" spans="1:4">
      <c r="A690">
        <v>690</v>
      </c>
      <c r="B690" t="s">
        <v>7308</v>
      </c>
      <c r="C690" t="s">
        <v>6754</v>
      </c>
      <c r="D690" t="s">
        <v>7311</v>
      </c>
    </row>
    <row r="691" customHeight="1" spans="1:4">
      <c r="A691">
        <v>691</v>
      </c>
      <c r="B691" t="s">
        <v>7308</v>
      </c>
      <c r="C691" t="s">
        <v>7312</v>
      </c>
      <c r="D691" t="s">
        <v>7313</v>
      </c>
    </row>
    <row r="692" customHeight="1" spans="1:4">
      <c r="A692">
        <v>692</v>
      </c>
      <c r="B692" t="s">
        <v>7308</v>
      </c>
      <c r="C692" t="s">
        <v>7314</v>
      </c>
      <c r="D692" t="s">
        <v>7315</v>
      </c>
    </row>
    <row r="693" customHeight="1" spans="1:4">
      <c r="A693">
        <v>693</v>
      </c>
      <c r="B693" t="s">
        <v>7308</v>
      </c>
      <c r="C693" t="s">
        <v>6246</v>
      </c>
      <c r="D693" t="s">
        <v>7316</v>
      </c>
    </row>
    <row r="694" customHeight="1" spans="1:4">
      <c r="A694">
        <v>694</v>
      </c>
      <c r="B694" t="s">
        <v>7308</v>
      </c>
      <c r="C694" t="s">
        <v>7317</v>
      </c>
      <c r="D694" t="s">
        <v>7318</v>
      </c>
    </row>
    <row r="695" customHeight="1" spans="1:4">
      <c r="A695">
        <v>695</v>
      </c>
      <c r="B695" t="s">
        <v>7308</v>
      </c>
      <c r="C695" t="s">
        <v>7291</v>
      </c>
      <c r="D695" t="s">
        <v>7319</v>
      </c>
    </row>
    <row r="696" customHeight="1" spans="1:4">
      <c r="A696">
        <v>696</v>
      </c>
      <c r="B696" t="s">
        <v>7308</v>
      </c>
      <c r="C696" t="s">
        <v>7320</v>
      </c>
      <c r="D696" t="s">
        <v>7321</v>
      </c>
    </row>
    <row r="697" customHeight="1" spans="1:4">
      <c r="A697">
        <v>697</v>
      </c>
      <c r="B697" t="s">
        <v>7308</v>
      </c>
      <c r="C697" t="s">
        <v>7322</v>
      </c>
      <c r="D697" t="s">
        <v>7323</v>
      </c>
    </row>
    <row r="698" customHeight="1" spans="1:4">
      <c r="A698">
        <v>698</v>
      </c>
      <c r="B698" t="s">
        <v>7308</v>
      </c>
      <c r="C698" t="s">
        <v>7324</v>
      </c>
      <c r="D698" t="s">
        <v>7325</v>
      </c>
    </row>
    <row r="699" customHeight="1" spans="1:4">
      <c r="A699">
        <v>699</v>
      </c>
      <c r="B699" t="s">
        <v>7308</v>
      </c>
      <c r="C699" t="s">
        <v>6110</v>
      </c>
      <c r="D699" t="s">
        <v>7326</v>
      </c>
    </row>
    <row r="700" customHeight="1" spans="1:4">
      <c r="A700">
        <v>700</v>
      </c>
      <c r="B700" t="s">
        <v>7308</v>
      </c>
      <c r="C700" t="s">
        <v>7327</v>
      </c>
      <c r="D700" t="s">
        <v>7328</v>
      </c>
    </row>
    <row r="701" customHeight="1" spans="1:4">
      <c r="A701">
        <v>701</v>
      </c>
      <c r="B701" t="s">
        <v>7308</v>
      </c>
      <c r="C701" t="s">
        <v>6863</v>
      </c>
      <c r="D701" t="s">
        <v>7329</v>
      </c>
    </row>
    <row r="702" customHeight="1" spans="1:4">
      <c r="A702">
        <v>702</v>
      </c>
      <c r="B702" t="s">
        <v>7308</v>
      </c>
      <c r="C702" t="s">
        <v>7330</v>
      </c>
      <c r="D702" t="s">
        <v>7331</v>
      </c>
    </row>
    <row r="703" customHeight="1" spans="1:4">
      <c r="A703">
        <v>703</v>
      </c>
      <c r="B703" t="s">
        <v>7308</v>
      </c>
      <c r="C703" t="s">
        <v>7332</v>
      </c>
      <c r="D703" t="s">
        <v>7333</v>
      </c>
    </row>
    <row r="704" customHeight="1" spans="1:4">
      <c r="A704">
        <v>704</v>
      </c>
      <c r="B704" t="s">
        <v>7308</v>
      </c>
      <c r="C704" t="s">
        <v>7334</v>
      </c>
      <c r="D704" t="s">
        <v>7335</v>
      </c>
    </row>
    <row r="705" customHeight="1" spans="1:4">
      <c r="A705">
        <v>705</v>
      </c>
      <c r="B705" t="s">
        <v>7308</v>
      </c>
      <c r="C705" t="s">
        <v>7336</v>
      </c>
      <c r="D705" t="s">
        <v>7337</v>
      </c>
    </row>
    <row r="706" customHeight="1" spans="1:4">
      <c r="A706">
        <v>706</v>
      </c>
      <c r="B706" t="s">
        <v>7308</v>
      </c>
      <c r="C706" t="s">
        <v>7338</v>
      </c>
      <c r="D706" t="s">
        <v>7339</v>
      </c>
    </row>
    <row r="707" customHeight="1" spans="1:4">
      <c r="A707">
        <v>707</v>
      </c>
      <c r="B707" t="s">
        <v>7308</v>
      </c>
      <c r="C707" t="s">
        <v>7308</v>
      </c>
      <c r="D707" t="s">
        <v>7340</v>
      </c>
    </row>
    <row r="708" customHeight="1" spans="1:4">
      <c r="A708">
        <v>708</v>
      </c>
      <c r="B708" t="s">
        <v>7308</v>
      </c>
      <c r="C708" t="s">
        <v>7341</v>
      </c>
      <c r="D708" t="s">
        <v>7342</v>
      </c>
    </row>
  </sheetData>
  <sheetProtection insertRows="0" deleteColumns="0" deleteRows="0" sort="0" autoFilter="0"/>
  <pageMargins left="0.7" right="0.7" top="0.75" bottom="0.75" header="0.3" footer="0.3"/>
  <pageSetup paperSize="1" orientation="portrait"/>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C3"/>
  <sheetViews>
    <sheetView showGridLines="0" workbookViewId="0">
      <selection activeCell="A1" sqref="A1"/>
    </sheetView>
  </sheetViews>
  <sheetFormatPr defaultColWidth="9.14285714285714" defaultRowHeight="11.25" customHeight="1" outlineLevelRow="2" outlineLevelCol="2"/>
  <cols>
    <col min="1" max="1" width="9.14285714285714" style="4"/>
    <col min="2" max="2" width="84.2857142857143" style="4" customWidth="1"/>
    <col min="3" max="3" width="9.14285714285714" style="4"/>
  </cols>
  <sheetData>
    <row r="1" customHeight="1" spans="1:3">
      <c r="A1" s="4" t="s">
        <v>7343</v>
      </c>
      <c r="B1" s="4" t="s">
        <v>7344</v>
      </c>
      <c r="C1" s="4" t="s">
        <v>1372</v>
      </c>
    </row>
    <row r="2" customHeight="1" spans="1:3">
      <c r="A2" s="4">
        <v>4189678</v>
      </c>
      <c r="B2" s="4" t="s">
        <v>7345</v>
      </c>
      <c r="C2" s="4" t="s">
        <v>7346</v>
      </c>
    </row>
    <row r="3" customHeight="1" spans="1:3">
      <c r="A3" s="4">
        <v>4190415</v>
      </c>
      <c r="B3" s="4" t="s">
        <v>7347</v>
      </c>
      <c r="C3" s="4" t="s">
        <v>7346</v>
      </c>
    </row>
  </sheetData>
  <sheetProtection insertRows="0" deleteColumns="0" deleteRows="0" sort="0" autoFilter="0"/>
  <pageMargins left="0.7" right="0.7" top="0.75" bottom="0.75" header="0.3" footer="0.3"/>
  <pageSetup paperSize="1" orientation="portrait"/>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E8"/>
  <sheetViews>
    <sheetView showGridLines="0" workbookViewId="0">
      <selection activeCell="A1" sqref="A1"/>
    </sheetView>
  </sheetViews>
  <sheetFormatPr defaultColWidth="9.14285714285714" defaultRowHeight="15" customHeight="1" outlineLevelRow="7" outlineLevelCol="4"/>
  <cols>
    <col min="1" max="1" width="38.4190476190476" style="15" customWidth="1"/>
    <col min="2" max="5" width="9.14285714285714" style="15"/>
  </cols>
  <sheetData>
    <row r="1" customHeight="1" spans="1:5">
      <c r="A1" s="16" t="s">
        <v>7348</v>
      </c>
      <c r="B1" s="16" t="s">
        <v>7349</v>
      </c>
      <c r="C1" s="16"/>
      <c r="D1" s="16"/>
      <c r="E1" s="16"/>
    </row>
    <row r="2" customHeight="1" spans="1:5">
      <c r="A2" s="16"/>
      <c r="B2" s="16"/>
      <c r="C2" s="16"/>
      <c r="D2" s="16"/>
      <c r="E2" s="16"/>
    </row>
    <row r="3" customHeight="1" spans="1:5">
      <c r="A3" s="16"/>
      <c r="B3" s="16"/>
      <c r="C3" s="16"/>
      <c r="D3" s="16"/>
      <c r="E3" s="16"/>
    </row>
    <row r="4" customHeight="1" spans="1:5">
      <c r="A4" s="16"/>
      <c r="B4" s="16"/>
      <c r="C4" s="16"/>
      <c r="D4" s="16"/>
      <c r="E4" s="16"/>
    </row>
    <row r="5" customHeight="1" spans="1:5">
      <c r="A5" s="16"/>
      <c r="B5" s="16"/>
      <c r="C5" s="16"/>
      <c r="D5" s="16"/>
      <c r="E5" s="16"/>
    </row>
    <row r="6" customHeight="1" spans="1:5">
      <c r="A6" s="16"/>
      <c r="B6" s="16"/>
      <c r="C6" s="16"/>
      <c r="D6" s="16"/>
      <c r="E6" s="16"/>
    </row>
    <row r="7" customHeight="1" spans="1:5">
      <c r="A7" s="16"/>
      <c r="B7" s="16"/>
      <c r="C7" s="16"/>
      <c r="D7" s="16"/>
      <c r="E7" s="16"/>
    </row>
    <row r="8" customHeight="1" spans="1:5">
      <c r="A8" s="16"/>
      <c r="B8" s="16"/>
      <c r="C8" s="16"/>
      <c r="D8" s="16"/>
      <c r="E8" s="16"/>
    </row>
  </sheetData>
  <sheetProtection formatColumns="0" formatRows="0" insertRows="0" deleteColumns="0" deleteRows="0" sort="0" autoFilter="0"/>
  <pageMargins left="0.7" right="0.7" top="0.75" bottom="0.75" header="0.3" footer="0.3"/>
  <pageSetup paperSize="1" orientation="portrait"/>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15"/>
  <sheetViews>
    <sheetView workbookViewId="0">
      <selection activeCell="A1" sqref="A1"/>
    </sheetView>
  </sheetViews>
  <sheetFormatPr defaultColWidth="9" defaultRowHeight="11.25" customHeight="1" outlineLevelCol="1"/>
  <sheetData>
    <row r="1" customHeight="1" spans="1:2">
      <c r="A1" t="s">
        <v>7350</v>
      </c>
      <c r="B1" t="b">
        <v>1</v>
      </c>
    </row>
    <row r="2" customHeight="1" spans="1:2">
      <c r="A2" t="s">
        <v>7351</v>
      </c>
      <c r="B2" t="b">
        <v>0</v>
      </c>
    </row>
    <row r="3" customHeight="1" spans="1:2">
      <c r="A3" t="s">
        <v>7352</v>
      </c>
      <c r="B3" t="b">
        <v>1</v>
      </c>
    </row>
    <row r="4" customHeight="1" spans="1:2">
      <c r="A4" t="s">
        <v>7353</v>
      </c>
      <c r="B4" t="b">
        <v>0</v>
      </c>
    </row>
    <row r="5" customHeight="1" spans="1:2">
      <c r="A5" t="s">
        <v>7354</v>
      </c>
      <c r="B5" t="b">
        <v>0</v>
      </c>
    </row>
    <row r="6" customHeight="1" spans="1:2">
      <c r="A6" t="s">
        <v>7355</v>
      </c>
      <c r="B6" t="b">
        <v>0</v>
      </c>
    </row>
    <row r="7" customHeight="1" spans="1:2">
      <c r="A7" t="s">
        <v>7356</v>
      </c>
      <c r="B7" t="b">
        <v>0</v>
      </c>
    </row>
    <row r="8" customHeight="1" spans="1:2">
      <c r="A8" t="s">
        <v>7357</v>
      </c>
      <c r="B8" t="b">
        <v>0</v>
      </c>
    </row>
    <row r="9" customHeight="1" spans="1:2">
      <c r="A9" t="s">
        <v>7358</v>
      </c>
      <c r="B9" t="b">
        <v>0</v>
      </c>
    </row>
    <row r="10" customHeight="1" spans="1:2">
      <c r="A10" t="s">
        <v>7359</v>
      </c>
      <c r="B10" t="b">
        <v>0</v>
      </c>
    </row>
    <row r="11" customHeight="1" spans="1:2">
      <c r="A11" t="s">
        <v>7360</v>
      </c>
      <c r="B11" t="b">
        <v>0</v>
      </c>
    </row>
    <row r="12" customHeight="1" spans="1:2">
      <c r="A12" t="s">
        <v>7361</v>
      </c>
      <c r="B12" t="b">
        <v>1</v>
      </c>
    </row>
    <row r="13" customHeight="1" spans="1:2">
      <c r="A13" t="s">
        <v>7362</v>
      </c>
      <c r="B13" t="b">
        <v>0</v>
      </c>
    </row>
    <row r="14" customHeight="1" spans="1:2">
      <c r="A14" t="s">
        <v>7363</v>
      </c>
      <c r="B14" t="b">
        <v>0</v>
      </c>
    </row>
    <row r="15" customHeight="1" spans="1:2">
      <c r="A15" t="s">
        <v>7364</v>
      </c>
      <c r="B15" t="b">
        <v>1</v>
      </c>
    </row>
  </sheetData>
  <sheetProtection insertRows="0" deleteColumns="0" deleteRows="0" sort="0" autoFilter="0"/>
  <pageMargins left="0.7" right="0.7" top="0.75" bottom="0.75" header="0.3" footer="0.3"/>
  <pageSetup paperSize="1" orientation="portrait"/>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14285714285714" defaultRowHeight="12.75" customHeight="1"/>
  <cols>
    <col min="1" max="1" width="9.14285714285714" style="13"/>
  </cols>
  <sheetData>
    <row r="1" customHeight="1" spans="1:1">
      <c r="A1" s="14"/>
    </row>
  </sheetData>
  <sheetProtection insertRows="0" deleteColumns="0" deleteRows="0" sort="0" autoFilter="0"/>
  <pageMargins left="0.75" right="0.75" top="1" bottom="1" header="0.5" footer="0.5"/>
  <pageSetup paperSize="1" orientation="portrait"/>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253"/>
  <sheetViews>
    <sheetView showGridLines="0" workbookViewId="0">
      <selection activeCell="A1" sqref="A1"/>
    </sheetView>
  </sheetViews>
  <sheetFormatPr defaultColWidth="9.14285714285714" defaultRowHeight="11.25" customHeight="1" outlineLevelCol="1"/>
  <cols>
    <col min="1" max="1" width="36.2857142857143" customWidth="1"/>
    <col min="2" max="2" width="21.1428571428571" customWidth="1"/>
  </cols>
  <sheetData>
    <row r="1" customHeight="1" spans="1:2">
      <c r="A1" s="11" t="s">
        <v>7365</v>
      </c>
      <c r="B1" s="11" t="s">
        <v>7366</v>
      </c>
    </row>
    <row r="2" customHeight="1" spans="1:2">
      <c r="A2" s="12" t="s">
        <v>7367</v>
      </c>
      <c r="B2" s="12" t="s">
        <v>7368</v>
      </c>
    </row>
    <row r="3" customHeight="1" spans="1:2">
      <c r="A3" s="12" t="s">
        <v>7369</v>
      </c>
      <c r="B3" s="12" t="s">
        <v>7370</v>
      </c>
    </row>
    <row r="4" customHeight="1" spans="1:2">
      <c r="A4" s="12" t="s">
        <v>7371</v>
      </c>
      <c r="B4" s="12" t="s">
        <v>7372</v>
      </c>
    </row>
    <row r="5" customHeight="1" spans="1:2">
      <c r="A5" s="12" t="s">
        <v>7373</v>
      </c>
      <c r="B5" s="12" t="s">
        <v>7374</v>
      </c>
    </row>
    <row r="6" customHeight="1" spans="1:2">
      <c r="A6" s="12" t="s">
        <v>7375</v>
      </c>
      <c r="B6" s="12" t="s">
        <v>7376</v>
      </c>
    </row>
    <row r="7" customHeight="1" spans="1:2">
      <c r="A7" s="12" t="s">
        <v>7377</v>
      </c>
      <c r="B7" s="12" t="s">
        <v>7378</v>
      </c>
    </row>
    <row r="8" customHeight="1" spans="1:2">
      <c r="A8" s="12" t="s">
        <v>7379</v>
      </c>
      <c r="B8" s="12" t="s">
        <v>7380</v>
      </c>
    </row>
    <row r="9" customHeight="1" spans="1:2">
      <c r="A9" s="12" t="s">
        <v>7381</v>
      </c>
      <c r="B9" s="12" t="s">
        <v>7382</v>
      </c>
    </row>
    <row r="10" customHeight="1" spans="1:2">
      <c r="A10" s="12" t="s">
        <v>7383</v>
      </c>
      <c r="B10" s="12" t="s">
        <v>7384</v>
      </c>
    </row>
    <row r="11" customHeight="1" spans="1:2">
      <c r="A11" s="12" t="s">
        <v>7385</v>
      </c>
      <c r="B11" s="12" t="s">
        <v>7386</v>
      </c>
    </row>
    <row r="12" customHeight="1" spans="1:2">
      <c r="A12" s="12" t="s">
        <v>7387</v>
      </c>
      <c r="B12" s="12" t="s">
        <v>7388</v>
      </c>
    </row>
    <row r="13" customHeight="1" spans="1:2">
      <c r="A13" s="12" t="s">
        <v>7389</v>
      </c>
      <c r="B13" s="12" t="s">
        <v>7390</v>
      </c>
    </row>
    <row r="14" customHeight="1" spans="1:2">
      <c r="A14" s="12" t="s">
        <v>7391</v>
      </c>
      <c r="B14" s="12" t="s">
        <v>7392</v>
      </c>
    </row>
    <row r="15" customHeight="1" spans="1:2">
      <c r="A15" s="12" t="s">
        <v>7393</v>
      </c>
      <c r="B15" s="12" t="s">
        <v>7394</v>
      </c>
    </row>
    <row r="16" customHeight="1" spans="1:2">
      <c r="A16" s="12" t="s">
        <v>7395</v>
      </c>
      <c r="B16" s="12" t="s">
        <v>7396</v>
      </c>
    </row>
    <row r="17" customHeight="1" spans="1:2">
      <c r="A17" s="12" t="s">
        <v>7397</v>
      </c>
      <c r="B17" s="12" t="s">
        <v>7398</v>
      </c>
    </row>
    <row r="18" customHeight="1" spans="1:2">
      <c r="A18" s="12" t="s">
        <v>7399</v>
      </c>
      <c r="B18" s="12" t="s">
        <v>7400</v>
      </c>
    </row>
    <row r="19" customHeight="1" spans="1:2">
      <c r="A19" s="12" t="s">
        <v>7401</v>
      </c>
      <c r="B19" s="12" t="s">
        <v>7402</v>
      </c>
    </row>
    <row r="20" customHeight="1" spans="1:2">
      <c r="A20" s="12" t="s">
        <v>7403</v>
      </c>
      <c r="B20" s="12" t="s">
        <v>7404</v>
      </c>
    </row>
    <row r="21" customHeight="1" spans="1:2">
      <c r="A21" s="12" t="s">
        <v>7405</v>
      </c>
      <c r="B21" s="12" t="s">
        <v>7406</v>
      </c>
    </row>
    <row r="22" customHeight="1" spans="1:2">
      <c r="A22" s="12" t="s">
        <v>7407</v>
      </c>
      <c r="B22" s="12" t="s">
        <v>7408</v>
      </c>
    </row>
    <row r="23" customHeight="1" spans="1:2">
      <c r="A23" s="12" t="s">
        <v>7409</v>
      </c>
      <c r="B23" s="12" t="s">
        <v>7410</v>
      </c>
    </row>
    <row r="24" customHeight="1" spans="1:2">
      <c r="A24" s="12" t="s">
        <v>7411</v>
      </c>
      <c r="B24" s="12" t="s">
        <v>7412</v>
      </c>
    </row>
    <row r="25" customHeight="1" spans="1:2">
      <c r="A25" s="12" t="s">
        <v>7413</v>
      </c>
      <c r="B25" s="12" t="s">
        <v>7414</v>
      </c>
    </row>
    <row r="26" customHeight="1" spans="1:2">
      <c r="A26" s="12" t="s">
        <v>7415</v>
      </c>
      <c r="B26" s="12" t="s">
        <v>7416</v>
      </c>
    </row>
    <row r="27" customHeight="1" spans="1:2">
      <c r="A27" s="12" t="s">
        <v>7417</v>
      </c>
      <c r="B27" s="12" t="s">
        <v>7418</v>
      </c>
    </row>
    <row r="28" customHeight="1" spans="1:2">
      <c r="A28" s="12" t="s">
        <v>7419</v>
      </c>
      <c r="B28" s="12" t="s">
        <v>7420</v>
      </c>
    </row>
    <row r="29" customHeight="1" spans="1:2">
      <c r="A29" s="12" t="s">
        <v>7421</v>
      </c>
      <c r="B29" s="12" t="s">
        <v>7422</v>
      </c>
    </row>
    <row r="30" customHeight="1" spans="1:2">
      <c r="A30" s="12" t="s">
        <v>7423</v>
      </c>
      <c r="B30" s="12" t="s">
        <v>7424</v>
      </c>
    </row>
    <row r="31" customHeight="1" spans="1:2">
      <c r="A31" s="12" t="s">
        <v>7425</v>
      </c>
      <c r="B31" s="12" t="s">
        <v>7426</v>
      </c>
    </row>
    <row r="32" customHeight="1" spans="1:2">
      <c r="A32" s="12" t="s">
        <v>7427</v>
      </c>
      <c r="B32" s="12" t="s">
        <v>7428</v>
      </c>
    </row>
    <row r="33" customHeight="1" spans="1:2">
      <c r="A33" s="12" t="s">
        <v>7429</v>
      </c>
      <c r="B33" s="12" t="s">
        <v>7430</v>
      </c>
    </row>
    <row r="34" customHeight="1" spans="1:2">
      <c r="A34" s="12" t="s">
        <v>7431</v>
      </c>
      <c r="B34" s="12" t="s">
        <v>7432</v>
      </c>
    </row>
    <row r="35" customHeight="1" spans="1:2">
      <c r="A35" s="12" t="s">
        <v>7433</v>
      </c>
      <c r="B35" s="12" t="s">
        <v>7434</v>
      </c>
    </row>
    <row r="36" customHeight="1" spans="1:2">
      <c r="A36" s="12" t="s">
        <v>7435</v>
      </c>
      <c r="B36" s="12" t="s">
        <v>7436</v>
      </c>
    </row>
    <row r="37" customHeight="1" spans="1:2">
      <c r="A37" s="12" t="s">
        <v>7437</v>
      </c>
      <c r="B37" s="12" t="s">
        <v>7438</v>
      </c>
    </row>
    <row r="38" customHeight="1" spans="1:2">
      <c r="A38" s="12" t="s">
        <v>7439</v>
      </c>
      <c r="B38" s="12" t="s">
        <v>7440</v>
      </c>
    </row>
    <row r="39" customHeight="1" spans="1:2">
      <c r="A39" s="12" t="s">
        <v>7441</v>
      </c>
      <c r="B39" s="12" t="s">
        <v>7442</v>
      </c>
    </row>
    <row r="40" customHeight="1" spans="1:2">
      <c r="A40" s="12" t="s">
        <v>7443</v>
      </c>
      <c r="B40" s="12" t="s">
        <v>7444</v>
      </c>
    </row>
    <row r="41" customHeight="1" spans="1:2">
      <c r="A41" s="12" t="s">
        <v>7445</v>
      </c>
      <c r="B41" s="12" t="s">
        <v>7446</v>
      </c>
    </row>
    <row r="42" customHeight="1" spans="1:2">
      <c r="A42" s="12" t="s">
        <v>7447</v>
      </c>
      <c r="B42" s="12" t="s">
        <v>7448</v>
      </c>
    </row>
    <row r="43" customHeight="1" spans="1:2">
      <c r="A43" s="12" t="s">
        <v>7449</v>
      </c>
      <c r="B43" s="12" t="s">
        <v>7450</v>
      </c>
    </row>
    <row r="44" customHeight="1" spans="1:2">
      <c r="A44" s="12" t="s">
        <v>7451</v>
      </c>
      <c r="B44" s="12" t="s">
        <v>7452</v>
      </c>
    </row>
    <row r="45" customHeight="1" spans="1:2">
      <c r="A45" s="12" t="s">
        <v>7453</v>
      </c>
      <c r="B45" s="12" t="s">
        <v>7454</v>
      </c>
    </row>
    <row r="46" customHeight="1" spans="1:2">
      <c r="A46" s="12" t="s">
        <v>7455</v>
      </c>
      <c r="B46" s="12" t="s">
        <v>7456</v>
      </c>
    </row>
    <row r="47" customHeight="1" spans="1:2">
      <c r="A47" s="12" t="s">
        <v>7457</v>
      </c>
      <c r="B47" s="12" t="s">
        <v>7458</v>
      </c>
    </row>
    <row r="48" customHeight="1" spans="1:2">
      <c r="A48" s="12" t="s">
        <v>7459</v>
      </c>
      <c r="B48" s="12" t="s">
        <v>7460</v>
      </c>
    </row>
    <row r="49" customHeight="1" spans="1:2">
      <c r="A49" s="12" t="s">
        <v>7461</v>
      </c>
      <c r="B49" s="12" t="s">
        <v>7462</v>
      </c>
    </row>
    <row r="50" customHeight="1" spans="1:2">
      <c r="A50" s="12" t="s">
        <v>7463</v>
      </c>
      <c r="B50" s="12" t="s">
        <v>7464</v>
      </c>
    </row>
    <row r="51" customHeight="1" spans="1:2">
      <c r="A51" s="12" t="s">
        <v>7465</v>
      </c>
      <c r="B51" s="12" t="s">
        <v>7466</v>
      </c>
    </row>
    <row r="52" customHeight="1" spans="1:2">
      <c r="A52" s="12" t="s">
        <v>7467</v>
      </c>
      <c r="B52" s="12" t="s">
        <v>7468</v>
      </c>
    </row>
    <row r="53" customHeight="1" spans="1:2">
      <c r="A53" s="12" t="s">
        <v>7469</v>
      </c>
      <c r="B53" s="12" t="s">
        <v>7470</v>
      </c>
    </row>
    <row r="54" customHeight="1" spans="1:2">
      <c r="A54" s="12" t="s">
        <v>7471</v>
      </c>
      <c r="B54" s="12" t="s">
        <v>7472</v>
      </c>
    </row>
    <row r="55" customHeight="1" spans="1:2">
      <c r="A55" s="12" t="s">
        <v>7473</v>
      </c>
      <c r="B55" s="12" t="s">
        <v>7474</v>
      </c>
    </row>
    <row r="56" customHeight="1" spans="1:2">
      <c r="A56" s="12" t="s">
        <v>7475</v>
      </c>
      <c r="B56" s="12" t="s">
        <v>7476</v>
      </c>
    </row>
    <row r="57" customHeight="1" spans="1:2">
      <c r="A57" s="12" t="s">
        <v>7477</v>
      </c>
      <c r="B57" s="12" t="s">
        <v>7478</v>
      </c>
    </row>
    <row r="58" customHeight="1" spans="1:2">
      <c r="A58" s="12" t="s">
        <v>7479</v>
      </c>
      <c r="B58" s="12" t="s">
        <v>7480</v>
      </c>
    </row>
    <row r="59" customHeight="1" spans="1:2">
      <c r="A59" s="12" t="s">
        <v>7481</v>
      </c>
      <c r="B59" s="12" t="s">
        <v>7482</v>
      </c>
    </row>
    <row r="60" customHeight="1" spans="1:2">
      <c r="A60" s="12" t="s">
        <v>7483</v>
      </c>
      <c r="B60" s="12" t="s">
        <v>7484</v>
      </c>
    </row>
    <row r="61" customHeight="1" spans="1:2">
      <c r="A61" s="12"/>
      <c r="B61" s="12" t="s">
        <v>7485</v>
      </c>
    </row>
    <row r="62" customHeight="1" spans="1:2">
      <c r="A62" s="12"/>
      <c r="B62" s="12" t="s">
        <v>7486</v>
      </c>
    </row>
    <row r="63" customHeight="1" spans="1:2">
      <c r="A63" s="12"/>
      <c r="B63" s="12" t="s">
        <v>7487</v>
      </c>
    </row>
    <row r="64" customHeight="1" spans="1:2">
      <c r="A64" s="12"/>
      <c r="B64" s="12" t="s">
        <v>7488</v>
      </c>
    </row>
    <row r="65" customHeight="1" spans="1:2">
      <c r="A65" s="12"/>
      <c r="B65" s="12" t="s">
        <v>7489</v>
      </c>
    </row>
    <row r="66" customHeight="1" spans="1:2">
      <c r="A66" s="12"/>
      <c r="B66" s="12" t="s">
        <v>7490</v>
      </c>
    </row>
    <row r="67" customHeight="1" spans="1:2">
      <c r="A67" s="12"/>
      <c r="B67" s="12" t="s">
        <v>7491</v>
      </c>
    </row>
    <row r="68" customHeight="1" spans="1:2">
      <c r="A68" s="12"/>
      <c r="B68" s="12" t="s">
        <v>7492</v>
      </c>
    </row>
    <row r="69" customHeight="1" spans="1:2">
      <c r="A69" s="12"/>
      <c r="B69" s="12" t="s">
        <v>7493</v>
      </c>
    </row>
    <row r="70" customHeight="1" spans="1:2">
      <c r="A70" s="12"/>
      <c r="B70" s="12" t="s">
        <v>7494</v>
      </c>
    </row>
    <row r="71" customHeight="1" spans="1:2">
      <c r="A71" s="12"/>
      <c r="B71" s="12"/>
    </row>
    <row r="72" customHeight="1" spans="1:2">
      <c r="A72" s="12"/>
      <c r="B72" s="12"/>
    </row>
    <row r="73" customHeight="1" spans="1:2">
      <c r="A73" s="12"/>
      <c r="B73" s="12"/>
    </row>
    <row r="74" customHeight="1" spans="1:2">
      <c r="A74" s="12"/>
      <c r="B74" s="12"/>
    </row>
    <row r="75" customHeight="1" spans="1:2">
      <c r="A75" s="12"/>
      <c r="B75" s="12"/>
    </row>
    <row r="76" customHeight="1" spans="1:2">
      <c r="A76" s="12"/>
      <c r="B76" s="12"/>
    </row>
    <row r="77" customHeight="1" spans="1:2">
      <c r="A77" s="12"/>
      <c r="B77" s="12"/>
    </row>
    <row r="78" customHeight="1" spans="1:2">
      <c r="A78" s="12"/>
      <c r="B78" s="12"/>
    </row>
    <row r="79" customHeight="1" spans="1:2">
      <c r="A79" s="12"/>
      <c r="B79" s="12"/>
    </row>
    <row r="80" customHeight="1" spans="1:2">
      <c r="A80" s="12"/>
      <c r="B80" s="12"/>
    </row>
    <row r="81" customHeight="1" spans="1:2">
      <c r="A81" s="12"/>
      <c r="B81" s="12"/>
    </row>
    <row r="82" customHeight="1" spans="1:2">
      <c r="A82" s="12"/>
      <c r="B82" s="12"/>
    </row>
    <row r="83" customHeight="1" spans="1:2">
      <c r="A83" s="12"/>
      <c r="B83" s="12"/>
    </row>
    <row r="84" customHeight="1" spans="1:2">
      <c r="A84" s="12"/>
      <c r="B84" s="12"/>
    </row>
    <row r="85" customHeight="1" spans="1:2">
      <c r="A85" s="12"/>
      <c r="B85" s="12"/>
    </row>
    <row r="86" customHeight="1" spans="1:2">
      <c r="A86" s="12"/>
      <c r="B86" s="12"/>
    </row>
    <row r="87" customHeight="1" spans="1:2">
      <c r="A87" s="12"/>
      <c r="B87" s="12"/>
    </row>
    <row r="88" customHeight="1" spans="1:2">
      <c r="A88" s="12"/>
      <c r="B88" s="12"/>
    </row>
    <row r="89" customHeight="1" spans="1:2">
      <c r="A89" s="12"/>
      <c r="B89" s="12"/>
    </row>
    <row r="90" customHeight="1" spans="1:2">
      <c r="A90" s="12"/>
      <c r="B90" s="12"/>
    </row>
    <row r="91" customHeight="1" spans="1:2">
      <c r="A91" s="12"/>
      <c r="B91" s="12"/>
    </row>
    <row r="92" customHeight="1" spans="1:2">
      <c r="A92" s="12"/>
      <c r="B92" s="12"/>
    </row>
    <row r="93" customHeight="1" spans="1:2">
      <c r="A93" s="12"/>
      <c r="B93" s="12"/>
    </row>
    <row r="94" customHeight="1" spans="1:2">
      <c r="A94" s="12"/>
      <c r="B94" s="12"/>
    </row>
    <row r="95" customHeight="1" spans="1:2">
      <c r="A95" s="12"/>
      <c r="B95" s="12"/>
    </row>
    <row r="96" customHeight="1" spans="1:2">
      <c r="A96" s="12"/>
      <c r="B96" s="12"/>
    </row>
    <row r="97" customHeight="1" spans="1:2">
      <c r="A97" s="12"/>
      <c r="B97" s="12"/>
    </row>
    <row r="98" customHeight="1" spans="1:2">
      <c r="A98" s="12"/>
      <c r="B98" s="12"/>
    </row>
    <row r="99" customHeight="1" spans="1:2">
      <c r="A99" s="12"/>
      <c r="B99" s="12"/>
    </row>
    <row r="100" customHeight="1" spans="1:2">
      <c r="A100" s="12"/>
      <c r="B100" s="12"/>
    </row>
    <row r="101" customHeight="1" spans="1:2">
      <c r="A101" s="12"/>
      <c r="B101" s="12"/>
    </row>
    <row r="102" customHeight="1" spans="1:2">
      <c r="A102" s="12"/>
      <c r="B102" s="12"/>
    </row>
    <row r="103" customHeight="1" spans="1:2">
      <c r="A103" s="12"/>
      <c r="B103" s="12"/>
    </row>
    <row r="104" customHeight="1" spans="1:2">
      <c r="A104" s="12"/>
      <c r="B104" s="12"/>
    </row>
    <row r="105" customHeight="1" spans="1:2">
      <c r="A105" s="12"/>
      <c r="B105" s="12"/>
    </row>
    <row r="106" customHeight="1" spans="1:2">
      <c r="A106" s="12"/>
      <c r="B106" s="12"/>
    </row>
    <row r="107" customHeight="1" spans="1:2">
      <c r="A107" s="12"/>
      <c r="B107" s="12"/>
    </row>
    <row r="108" customHeight="1" spans="1:2">
      <c r="A108" s="12"/>
      <c r="B108" s="12"/>
    </row>
    <row r="109" customHeight="1" spans="1:2">
      <c r="A109" s="12"/>
      <c r="B109" s="12"/>
    </row>
    <row r="110" customHeight="1" spans="1:2">
      <c r="A110" s="12"/>
      <c r="B110" s="12"/>
    </row>
    <row r="111" customHeight="1" spans="1:2">
      <c r="A111" s="12"/>
      <c r="B111" s="12"/>
    </row>
    <row r="112" customHeight="1" spans="1:2">
      <c r="A112" s="12"/>
      <c r="B112" s="12"/>
    </row>
    <row r="113" customHeight="1" spans="1:2">
      <c r="A113" s="12"/>
      <c r="B113" s="12"/>
    </row>
    <row r="114" customHeight="1" spans="1:2">
      <c r="A114" s="12"/>
      <c r="B114" s="12"/>
    </row>
    <row r="115" customHeight="1" spans="1:2">
      <c r="A115" s="12"/>
      <c r="B115" s="12"/>
    </row>
    <row r="116" customHeight="1" spans="1:2">
      <c r="A116" s="12"/>
      <c r="B116" s="12"/>
    </row>
    <row r="117" customHeight="1" spans="1:2">
      <c r="A117" s="12"/>
      <c r="B117" s="12"/>
    </row>
    <row r="118" customHeight="1" spans="1:2">
      <c r="A118" s="12"/>
      <c r="B118" s="12"/>
    </row>
    <row r="119" customHeight="1" spans="1:2">
      <c r="A119" s="12"/>
      <c r="B119" s="12"/>
    </row>
    <row r="120" customHeight="1" spans="1:2">
      <c r="A120" s="12"/>
      <c r="B120" s="12"/>
    </row>
    <row r="121" customHeight="1" spans="1:2">
      <c r="A121" s="12"/>
      <c r="B121" s="12"/>
    </row>
    <row r="122" customHeight="1" spans="1:2">
      <c r="A122" s="12"/>
      <c r="B122" s="12"/>
    </row>
    <row r="123" customHeight="1" spans="1:2">
      <c r="A123" s="12"/>
      <c r="B123" s="12"/>
    </row>
    <row r="124" customHeight="1" spans="1:2">
      <c r="A124" s="12"/>
      <c r="B124" s="12"/>
    </row>
    <row r="125" customHeight="1" spans="1:2">
      <c r="A125" s="12"/>
      <c r="B125" s="12"/>
    </row>
    <row r="126" customHeight="1" spans="1:2">
      <c r="A126" s="12"/>
      <c r="B126" s="12"/>
    </row>
    <row r="127" customHeight="1" spans="1:2">
      <c r="A127" s="12"/>
      <c r="B127" s="12"/>
    </row>
    <row r="128" customHeight="1" spans="1:2">
      <c r="A128" s="12"/>
      <c r="B128" s="12"/>
    </row>
    <row r="129" customHeight="1" spans="1:2">
      <c r="A129" s="12"/>
      <c r="B129" s="12"/>
    </row>
    <row r="130" customHeight="1" spans="1:2">
      <c r="A130" s="12"/>
      <c r="B130" s="12"/>
    </row>
    <row r="131" customHeight="1" spans="1:2">
      <c r="A131" s="12"/>
      <c r="B131" s="12"/>
    </row>
    <row r="132" customHeight="1" spans="1:2">
      <c r="A132" s="12"/>
      <c r="B132" s="12"/>
    </row>
    <row r="133" customHeight="1" spans="1:2">
      <c r="A133" s="12"/>
      <c r="B133" s="12"/>
    </row>
    <row r="134" customHeight="1" spans="1:2">
      <c r="A134" s="12"/>
      <c r="B134" s="12"/>
    </row>
    <row r="135" customHeight="1" spans="1:2">
      <c r="A135" s="12"/>
      <c r="B135" s="12"/>
    </row>
    <row r="136" customHeight="1" spans="1:2">
      <c r="A136" s="12"/>
      <c r="B136" s="12"/>
    </row>
    <row r="137" customHeight="1" spans="1:2">
      <c r="A137" s="12"/>
      <c r="B137" s="12"/>
    </row>
    <row r="138" customHeight="1" spans="1:2">
      <c r="A138" s="12"/>
      <c r="B138" s="12"/>
    </row>
    <row r="139" customHeight="1" spans="1:2">
      <c r="A139" s="12"/>
      <c r="B139" s="12"/>
    </row>
    <row r="140" customHeight="1" spans="1:2">
      <c r="A140" s="12"/>
      <c r="B140" s="12"/>
    </row>
    <row r="141" customHeight="1" spans="1:2">
      <c r="A141" s="12"/>
      <c r="B141" s="12"/>
    </row>
    <row r="142" customHeight="1" spans="1:2">
      <c r="A142" s="12"/>
      <c r="B142" s="12"/>
    </row>
    <row r="143" customHeight="1" spans="1:2">
      <c r="A143" s="12"/>
      <c r="B143" s="12"/>
    </row>
    <row r="144" customHeight="1" spans="1:2">
      <c r="A144" s="12"/>
      <c r="B144" s="12"/>
    </row>
    <row r="145" customHeight="1" spans="1:2">
      <c r="A145" s="12"/>
      <c r="B145" s="12"/>
    </row>
    <row r="146" customHeight="1" spans="1:2">
      <c r="A146" s="12"/>
      <c r="B146" s="12"/>
    </row>
    <row r="147" customHeight="1" spans="1:2">
      <c r="A147" s="12"/>
      <c r="B147" s="12"/>
    </row>
    <row r="148" customHeight="1" spans="1:2">
      <c r="A148" s="12"/>
      <c r="B148" s="12"/>
    </row>
    <row r="149" customHeight="1" spans="1:2">
      <c r="A149" s="12"/>
      <c r="B149" s="12"/>
    </row>
    <row r="150" customHeight="1" spans="1:2">
      <c r="A150" s="12"/>
      <c r="B150" s="12"/>
    </row>
    <row r="151" customHeight="1" spans="1:2">
      <c r="A151" s="12"/>
      <c r="B151" s="12"/>
    </row>
    <row r="152" customHeight="1" spans="1:2">
      <c r="A152" s="12"/>
      <c r="B152" s="12"/>
    </row>
    <row r="153" customHeight="1" spans="1:2">
      <c r="A153" s="12"/>
      <c r="B153" s="12"/>
    </row>
    <row r="154" customHeight="1" spans="1:2">
      <c r="A154" s="12"/>
      <c r="B154" s="12"/>
    </row>
    <row r="155" customHeight="1" spans="1:2">
      <c r="A155" s="12"/>
      <c r="B155" s="12"/>
    </row>
    <row r="156" customHeight="1" spans="1:2">
      <c r="A156" s="12"/>
      <c r="B156" s="12"/>
    </row>
    <row r="157" customHeight="1" spans="1:2">
      <c r="A157" s="12"/>
      <c r="B157" s="12"/>
    </row>
    <row r="158" customHeight="1" spans="1:2">
      <c r="A158" s="12"/>
      <c r="B158" s="12"/>
    </row>
    <row r="159" customHeight="1" spans="1:2">
      <c r="A159" s="12"/>
      <c r="B159" s="12"/>
    </row>
    <row r="160" customHeight="1" spans="1:2">
      <c r="A160" s="12"/>
      <c r="B160" s="12"/>
    </row>
    <row r="161" customHeight="1" spans="1:2">
      <c r="A161" s="12"/>
      <c r="B161" s="12"/>
    </row>
    <row r="162" customHeight="1" spans="1:2">
      <c r="A162" s="12"/>
      <c r="B162" s="12"/>
    </row>
    <row r="163" customHeight="1" spans="1:2">
      <c r="A163" s="12"/>
      <c r="B163" s="12"/>
    </row>
    <row r="164" customHeight="1" spans="1:2">
      <c r="A164" s="12"/>
      <c r="B164" s="12"/>
    </row>
    <row r="165" customHeight="1" spans="1:2">
      <c r="A165" s="12"/>
      <c r="B165" s="12"/>
    </row>
    <row r="166" customHeight="1" spans="1:2">
      <c r="A166" s="12"/>
      <c r="B166" s="12"/>
    </row>
    <row r="167" customHeight="1" spans="1:2">
      <c r="A167" s="12"/>
      <c r="B167" s="12"/>
    </row>
    <row r="168" customHeight="1" spans="1:2">
      <c r="A168" s="12"/>
      <c r="B168" s="12"/>
    </row>
    <row r="169" customHeight="1" spans="1:2">
      <c r="A169" s="12"/>
      <c r="B169" s="12"/>
    </row>
    <row r="170" customHeight="1" spans="1:2">
      <c r="A170" s="12"/>
      <c r="B170" s="12"/>
    </row>
    <row r="171" customHeight="1" spans="1:2">
      <c r="A171" s="12"/>
      <c r="B171" s="12"/>
    </row>
    <row r="172" customHeight="1" spans="1:2">
      <c r="A172" s="12"/>
      <c r="B172" s="12"/>
    </row>
    <row r="173" customHeight="1" spans="1:2">
      <c r="A173" s="12"/>
      <c r="B173" s="12"/>
    </row>
    <row r="174" customHeight="1" spans="1:2">
      <c r="A174" s="12"/>
      <c r="B174" s="12"/>
    </row>
    <row r="175" customHeight="1" spans="1:2">
      <c r="A175" s="12"/>
      <c r="B175" s="12"/>
    </row>
    <row r="176" customHeight="1" spans="1:2">
      <c r="A176" s="12"/>
      <c r="B176" s="12"/>
    </row>
    <row r="177" customHeight="1" spans="1:2">
      <c r="A177" s="12"/>
      <c r="B177" s="12"/>
    </row>
    <row r="178" customHeight="1" spans="1:2">
      <c r="A178" s="12"/>
      <c r="B178" s="12"/>
    </row>
    <row r="179" customHeight="1" spans="1:2">
      <c r="A179" s="12"/>
      <c r="B179" s="12"/>
    </row>
    <row r="180" customHeight="1" spans="1:2">
      <c r="A180" s="12"/>
      <c r="B180" s="12"/>
    </row>
    <row r="181" customHeight="1" spans="1:2">
      <c r="A181" s="12"/>
      <c r="B181" s="12"/>
    </row>
    <row r="182" customHeight="1" spans="1:2">
      <c r="A182" s="12"/>
      <c r="B182" s="12"/>
    </row>
    <row r="183" customHeight="1" spans="1:2">
      <c r="A183" s="12"/>
      <c r="B183" s="12"/>
    </row>
    <row r="184" customHeight="1" spans="1:2">
      <c r="A184" s="12"/>
      <c r="B184" s="12"/>
    </row>
    <row r="185" customHeight="1" spans="1:2">
      <c r="A185" s="12"/>
      <c r="B185" s="12"/>
    </row>
    <row r="186" customHeight="1" spans="1:2">
      <c r="A186" s="12"/>
      <c r="B186" s="12"/>
    </row>
    <row r="187" customHeight="1" spans="1:2">
      <c r="A187" s="12"/>
      <c r="B187" s="12"/>
    </row>
    <row r="188" customHeight="1" spans="1:2">
      <c r="A188" s="12"/>
      <c r="B188" s="12"/>
    </row>
    <row r="189" customHeight="1" spans="1:2">
      <c r="A189" s="12"/>
      <c r="B189" s="12"/>
    </row>
    <row r="190" customHeight="1" spans="1:2">
      <c r="A190" s="12"/>
      <c r="B190" s="12"/>
    </row>
    <row r="191" customHeight="1" spans="1:2">
      <c r="A191" s="12"/>
      <c r="B191" s="12"/>
    </row>
    <row r="192" customHeight="1" spans="1:2">
      <c r="A192" s="12"/>
      <c r="B192" s="12"/>
    </row>
    <row r="193" customHeight="1" spans="1:2">
      <c r="A193" s="12"/>
      <c r="B193" s="12"/>
    </row>
    <row r="194" customHeight="1" spans="1:2">
      <c r="A194" s="12"/>
      <c r="B194" s="12"/>
    </row>
    <row r="195" customHeight="1" spans="1:2">
      <c r="A195" s="12"/>
      <c r="B195" s="12"/>
    </row>
    <row r="196" customHeight="1" spans="1:2">
      <c r="A196" s="12"/>
      <c r="B196" s="12"/>
    </row>
    <row r="197" customHeight="1" spans="1:2">
      <c r="A197" s="12"/>
      <c r="B197" s="12"/>
    </row>
    <row r="198" customHeight="1" spans="1:2">
      <c r="A198" s="12"/>
      <c r="B198" s="12"/>
    </row>
    <row r="199" customHeight="1" spans="1:2">
      <c r="A199" s="12"/>
      <c r="B199" s="12"/>
    </row>
    <row r="200" customHeight="1" spans="1:2">
      <c r="A200" s="12"/>
      <c r="B200" s="12"/>
    </row>
    <row r="201" customHeight="1" spans="1:2">
      <c r="A201" s="12"/>
      <c r="B201" s="12"/>
    </row>
    <row r="202" customHeight="1" spans="1:2">
      <c r="A202" s="12"/>
      <c r="B202" s="12"/>
    </row>
    <row r="203" customHeight="1" spans="1:2">
      <c r="A203" s="12"/>
      <c r="B203" s="12"/>
    </row>
    <row r="204" customHeight="1" spans="1:2">
      <c r="A204" s="12"/>
      <c r="B204" s="12"/>
    </row>
    <row r="205" customHeight="1" spans="1:2">
      <c r="A205" s="12"/>
      <c r="B205" s="12"/>
    </row>
    <row r="206" customHeight="1" spans="1:2">
      <c r="A206" s="12"/>
      <c r="B206" s="12"/>
    </row>
    <row r="207" customHeight="1" spans="1:2">
      <c r="A207" s="12"/>
      <c r="B207" s="12"/>
    </row>
    <row r="208" customHeight="1" spans="1:2">
      <c r="A208" s="12"/>
      <c r="B208" s="12"/>
    </row>
    <row r="209" customHeight="1" spans="1:2">
      <c r="A209" s="12"/>
      <c r="B209" s="12"/>
    </row>
    <row r="210" customHeight="1" spans="1:2">
      <c r="A210" s="12"/>
      <c r="B210" s="12"/>
    </row>
    <row r="211" customHeight="1" spans="1:2">
      <c r="A211" s="12"/>
      <c r="B211" s="12"/>
    </row>
    <row r="212" customHeight="1" spans="1:2">
      <c r="A212" s="12"/>
      <c r="B212" s="12"/>
    </row>
    <row r="213" customHeight="1" spans="1:2">
      <c r="A213" s="12"/>
      <c r="B213" s="12"/>
    </row>
    <row r="214" customHeight="1" spans="1:2">
      <c r="A214" s="12"/>
      <c r="B214" s="12"/>
    </row>
    <row r="215" customHeight="1" spans="1:2">
      <c r="A215" s="12"/>
      <c r="B215" s="12"/>
    </row>
    <row r="216" customHeight="1" spans="1:2">
      <c r="A216" s="12"/>
      <c r="B216" s="12"/>
    </row>
    <row r="217" customHeight="1" spans="1:2">
      <c r="A217" s="12"/>
      <c r="B217" s="12"/>
    </row>
    <row r="218" customHeight="1" spans="1:2">
      <c r="A218" s="12"/>
      <c r="B218" s="12"/>
    </row>
    <row r="219" customHeight="1" spans="1:2">
      <c r="A219" s="12"/>
      <c r="B219" s="12"/>
    </row>
    <row r="220" customHeight="1" spans="1:2">
      <c r="A220" s="12"/>
      <c r="B220" s="12"/>
    </row>
    <row r="221" customHeight="1" spans="1:2">
      <c r="A221" s="12"/>
      <c r="B221" s="12"/>
    </row>
    <row r="222" customHeight="1" spans="1:2">
      <c r="A222" s="12"/>
      <c r="B222" s="12"/>
    </row>
    <row r="223" customHeight="1" spans="1:2">
      <c r="A223" s="12"/>
      <c r="B223" s="12"/>
    </row>
    <row r="224" customHeight="1" spans="1:2">
      <c r="A224" s="12"/>
      <c r="B224" s="12"/>
    </row>
    <row r="225" customHeight="1" spans="1:2">
      <c r="A225" s="12"/>
      <c r="B225" s="12"/>
    </row>
    <row r="226" customHeight="1" spans="1:2">
      <c r="A226" s="12"/>
      <c r="B226" s="12"/>
    </row>
    <row r="227" customHeight="1" spans="1:2">
      <c r="A227" s="12"/>
      <c r="B227" s="12"/>
    </row>
    <row r="228" customHeight="1" spans="1:2">
      <c r="A228" s="12"/>
      <c r="B228" s="12"/>
    </row>
    <row r="229" customHeight="1" spans="1:2">
      <c r="A229" s="12"/>
      <c r="B229" s="12"/>
    </row>
    <row r="230" customHeight="1" spans="1:2">
      <c r="A230" s="12"/>
      <c r="B230" s="12"/>
    </row>
    <row r="231" customHeight="1" spans="1:2">
      <c r="A231" s="12"/>
      <c r="B231" s="12"/>
    </row>
    <row r="232" customHeight="1" spans="1:2">
      <c r="A232" s="12"/>
      <c r="B232" s="12"/>
    </row>
    <row r="233" customHeight="1" spans="1:2">
      <c r="A233" s="12"/>
      <c r="B233" s="12"/>
    </row>
    <row r="234" customHeight="1" spans="1:2">
      <c r="A234" s="12"/>
      <c r="B234" s="12"/>
    </row>
    <row r="235" customHeight="1" spans="1:2">
      <c r="A235" s="12"/>
      <c r="B235" s="12"/>
    </row>
    <row r="236" customHeight="1" spans="1:2">
      <c r="A236" s="12"/>
      <c r="B236" s="12"/>
    </row>
    <row r="237" customHeight="1" spans="1:2">
      <c r="A237" s="12"/>
      <c r="B237" s="12"/>
    </row>
    <row r="238" customHeight="1" spans="1:2">
      <c r="A238" s="12"/>
      <c r="B238" s="12"/>
    </row>
    <row r="239" customHeight="1" spans="1:2">
      <c r="A239" s="12"/>
      <c r="B239" s="12"/>
    </row>
    <row r="240" customHeight="1" spans="1:2">
      <c r="A240" s="12"/>
      <c r="B240" s="12"/>
    </row>
    <row r="241" customHeight="1" spans="1:2">
      <c r="A241" s="12"/>
      <c r="B241" s="12"/>
    </row>
    <row r="242" customHeight="1" spans="1:2">
      <c r="A242" s="12"/>
      <c r="B242" s="12"/>
    </row>
    <row r="243" customHeight="1" spans="1:2">
      <c r="A243" s="12"/>
      <c r="B243" s="12"/>
    </row>
    <row r="244" customHeight="1" spans="1:2">
      <c r="A244" s="12"/>
      <c r="B244" s="12"/>
    </row>
    <row r="245" customHeight="1" spans="1:2">
      <c r="A245" s="12"/>
      <c r="B245" s="12"/>
    </row>
    <row r="246" customHeight="1" spans="1:2">
      <c r="A246" s="12"/>
      <c r="B246" s="12"/>
    </row>
    <row r="247" customHeight="1" spans="1:2">
      <c r="A247" s="12"/>
      <c r="B247" s="12"/>
    </row>
    <row r="248" customHeight="1" spans="1:2">
      <c r="A248" s="12"/>
      <c r="B248" s="12"/>
    </row>
    <row r="249" customHeight="1" spans="1:2">
      <c r="A249" s="12"/>
      <c r="B249" s="12"/>
    </row>
    <row r="250" customHeight="1" spans="1:2">
      <c r="A250" s="12"/>
      <c r="B250" s="12"/>
    </row>
    <row r="251" customHeight="1" spans="1:2">
      <c r="A251" s="12"/>
      <c r="B251" s="12"/>
    </row>
    <row r="252" customHeight="1" spans="1:2">
      <c r="A252" s="12"/>
      <c r="B252" s="12"/>
    </row>
    <row r="253" customHeight="1" spans="1:2">
      <c r="A253" s="12"/>
      <c r="B253" s="12"/>
    </row>
  </sheetData>
  <sheetProtection formatColumns="0" formatRows="0" insertRows="0" deleteColumns="0" deleteRows="0" sort="0" autoFilter="0"/>
  <pageMargins left="0.75" right="0.75" top="1" bottom="1" header="0.5" footer="0.5"/>
  <pageSetup paperSize="9" orientation="portrait"/>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D36"/>
  <sheetViews>
    <sheetView showGridLines="0" workbookViewId="0">
      <selection activeCell="A1" sqref="A1"/>
    </sheetView>
  </sheetViews>
  <sheetFormatPr defaultColWidth="9.14285714285714" defaultRowHeight="11.25" customHeight="1" outlineLevelCol="3"/>
  <cols>
    <col min="1" max="1" width="3.71428571428571" customWidth="1"/>
    <col min="2" max="2" width="90.7142857142857" customWidth="1"/>
  </cols>
  <sheetData>
    <row r="1" customHeight="1" spans="2:2">
      <c r="B1" s="1" t="s">
        <v>7495</v>
      </c>
    </row>
    <row r="2" ht="90" customHeight="1" spans="2:2">
      <c r="B2" s="2" t="s">
        <v>7496</v>
      </c>
    </row>
    <row r="3" ht="67.5" customHeight="1" spans="2:2">
      <c r="B3" s="2" t="s">
        <v>7497</v>
      </c>
    </row>
    <row r="4" ht="33.75" customHeight="1" spans="2:2">
      <c r="B4" s="2" t="s">
        <v>7498</v>
      </c>
    </row>
    <row r="5" customHeight="1" spans="2:2">
      <c r="B5" s="2" t="s">
        <v>7499</v>
      </c>
    </row>
    <row r="6" ht="22.5" customHeight="1" spans="2:2">
      <c r="B6" s="2" t="s">
        <v>7500</v>
      </c>
    </row>
    <row r="7" ht="22.5" customHeight="1" spans="2:2">
      <c r="B7" s="2" t="s">
        <v>7501</v>
      </c>
    </row>
    <row r="8" ht="22.5" customHeight="1" spans="2:2">
      <c r="B8" s="2" t="s">
        <v>7502</v>
      </c>
    </row>
    <row r="9" ht="22.5" customHeight="1" spans="2:2">
      <c r="B9" s="2" t="s">
        <v>7503</v>
      </c>
    </row>
    <row r="10" ht="56.25" customHeight="1" spans="2:2">
      <c r="B10" s="2" t="s">
        <v>7504</v>
      </c>
    </row>
    <row r="11" ht="12.75" customHeight="1" spans="2:2">
      <c r="B11" s="3" t="s">
        <v>7505</v>
      </c>
    </row>
    <row r="12" customHeight="1" spans="2:2">
      <c r="B12" s="1" t="s">
        <v>7506</v>
      </c>
    </row>
    <row r="13" ht="22.5" customHeight="1" spans="2:2">
      <c r="B13" s="2" t="s">
        <v>7507</v>
      </c>
    </row>
    <row r="14" ht="67.5" customHeight="1" spans="2:2">
      <c r="B14" s="2" t="s">
        <v>7508</v>
      </c>
    </row>
    <row r="15" ht="22.5" customHeight="1" spans="2:2">
      <c r="B15" s="2" t="s">
        <v>7509</v>
      </c>
    </row>
    <row r="16" customHeight="1" spans="2:4">
      <c r="B16" s="1" t="s">
        <v>7510</v>
      </c>
      <c r="D16" s="4"/>
    </row>
    <row r="17" ht="33.75" customHeight="1" spans="2:2">
      <c r="B17" s="2" t="s">
        <v>7511</v>
      </c>
    </row>
    <row r="18" ht="33.75" customHeight="1" spans="2:2">
      <c r="B18" s="2" t="s">
        <v>7512</v>
      </c>
    </row>
    <row r="19" customHeight="1" spans="2:2">
      <c r="B19" s="2" t="s">
        <v>7513</v>
      </c>
    </row>
    <row r="20" ht="33.75" customHeight="1" spans="2:2">
      <c r="B20" s="2" t="s">
        <v>7514</v>
      </c>
    </row>
    <row r="21" customHeight="1" spans="2:2">
      <c r="B21" s="1" t="s">
        <v>7515</v>
      </c>
    </row>
    <row r="22" customHeight="1" spans="2:2">
      <c r="B22" s="2" t="s">
        <v>7516</v>
      </c>
    </row>
    <row r="24" ht="22.5" customHeight="1" spans="2:2">
      <c r="B24" s="5" t="s">
        <v>7517</v>
      </c>
    </row>
    <row r="26" customHeight="1" spans="2:2">
      <c r="B26" s="1" t="s">
        <v>7518</v>
      </c>
    </row>
    <row r="27" ht="22.5" customHeight="1" spans="2:2">
      <c r="B27" s="6" t="s">
        <v>392</v>
      </c>
    </row>
    <row r="28" ht="56.25" customHeight="1" spans="2:2">
      <c r="B28" s="6" t="s">
        <v>7519</v>
      </c>
    </row>
    <row r="29" customHeight="1" spans="2:2">
      <c r="B29" s="7" t="s">
        <v>7520</v>
      </c>
    </row>
    <row r="30" ht="22.5" customHeight="1" spans="2:2">
      <c r="B30" s="6" t="s">
        <v>7521</v>
      </c>
    </row>
    <row r="32" customHeight="1" spans="2:2">
      <c r="B32" s="8" t="s">
        <v>7522</v>
      </c>
    </row>
    <row r="33" ht="14.25" customHeight="1" spans="1:2">
      <c r="A33" s="9">
        <v>1</v>
      </c>
      <c r="B33" s="10" t="s">
        <v>7523</v>
      </c>
    </row>
    <row r="34" ht="14.25" customHeight="1" spans="1:2">
      <c r="A34" s="9">
        <v>2</v>
      </c>
      <c r="B34" s="10" t="s">
        <v>7524</v>
      </c>
    </row>
    <row r="35" customHeight="1" spans="2:2">
      <c r="B35" s="8" t="s">
        <v>7525</v>
      </c>
    </row>
    <row r="36" customHeight="1" spans="2:2">
      <c r="B36" s="10" t="s">
        <v>7526</v>
      </c>
    </row>
  </sheetData>
  <sheetProtection insertRows="0" deleteColumns="0" deleteRows="0" sort="0" autoFilter="0"/>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V18"/>
  <sheetViews>
    <sheetView showGridLines="0" zoomScale="90" zoomScaleNormal="90" workbookViewId="0">
      <pane xSplit="4" ySplit="13" topLeftCell="E14"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575" hidden="1" customWidth="1"/>
    <col min="2" max="2" width="9.14285714285714" style="43" hidden="1" customWidth="1"/>
    <col min="3" max="3" width="3" style="217" customWidth="1"/>
    <col min="4" max="4" width="5" style="43" customWidth="1"/>
    <col min="5" max="5" width="38" style="43" customWidth="1"/>
    <col min="6" max="7" width="3" style="43" customWidth="1"/>
    <col min="8" max="8" width="38" style="43" customWidth="1"/>
    <col min="9" max="9" width="35" style="43" customWidth="1"/>
    <col min="10" max="10" width="103" style="43" customWidth="1"/>
    <col min="11" max="11" width="3" style="206" customWidth="1"/>
    <col min="12" max="14" width="10" style="44" customWidth="1"/>
    <col min="15" max="15" width="13" style="44" customWidth="1"/>
    <col min="16" max="16" width="15" style="44" customWidth="1"/>
    <col min="17" max="17" width="16" style="44" customWidth="1"/>
    <col min="18" max="21" width="10" style="44" customWidth="1"/>
    <col min="22" max="22" width="10.5714285714286" style="43" hidden="1"/>
  </cols>
  <sheetData>
    <row r="1" ht="22.5" hidden="1" customHeight="1" spans="5:22">
      <c r="E1" s="224"/>
      <c r="F1" s="224"/>
      <c r="G1" s="224"/>
      <c r="H1" s="48" t="s">
        <v>348</v>
      </c>
      <c r="I1" s="48"/>
      <c r="V1" s="43" t="s">
        <v>14</v>
      </c>
    </row>
    <row r="2" s="43" customFormat="1" hidden="1" customHeight="1" spans="3:22">
      <c r="C2" s="211"/>
      <c r="D2" s="1221" t="s">
        <v>107</v>
      </c>
      <c r="E2" s="1170"/>
      <c r="F2" s="1222"/>
      <c r="G2" s="232" t="s">
        <v>107</v>
      </c>
      <c r="H2" s="213"/>
      <c r="I2" s="998"/>
      <c r="L2" s="44"/>
      <c r="M2" s="44"/>
      <c r="N2" s="44"/>
      <c r="O2" s="44" t="s">
        <v>378</v>
      </c>
      <c r="P2" s="44"/>
      <c r="Q2" s="44"/>
      <c r="R2" s="151" t="s">
        <v>377</v>
      </c>
      <c r="S2" s="151" t="s">
        <v>377</v>
      </c>
      <c r="T2" s="44"/>
      <c r="U2" s="44"/>
      <c r="V2" s="43">
        <v>0</v>
      </c>
    </row>
    <row r="3" s="43" customFormat="1" hidden="1" customHeight="1" spans="3:22">
      <c r="C3" s="211"/>
      <c r="D3" s="1223"/>
      <c r="E3" s="1224"/>
      <c r="F3" s="571"/>
      <c r="G3" s="1225"/>
      <c r="H3" s="1225" t="s">
        <v>379</v>
      </c>
      <c r="I3" s="1108"/>
      <c r="L3" s="44"/>
      <c r="M3" s="44"/>
      <c r="N3" s="44"/>
      <c r="O3" s="44"/>
      <c r="P3" s="44"/>
      <c r="Q3" s="44"/>
      <c r="R3" s="151"/>
      <c r="S3" s="151"/>
      <c r="T3" s="44"/>
      <c r="U3" s="44"/>
      <c r="V3" s="43">
        <v>0</v>
      </c>
    </row>
    <row r="4" hidden="1" customHeight="1" spans="22:22">
      <c r="V4" s="43">
        <v>0</v>
      </c>
    </row>
    <row r="5" s="1220" customFormat="1" ht="5.25" customHeight="1" spans="3:22">
      <c r="C5" s="1226"/>
      <c r="D5" s="1227"/>
      <c r="E5" s="1227"/>
      <c r="F5" s="1227"/>
      <c r="G5" s="1227"/>
      <c r="H5" s="1227" t="s">
        <v>352</v>
      </c>
      <c r="I5" s="1227"/>
      <c r="J5" s="1227"/>
      <c r="L5" s="44"/>
      <c r="M5" s="44"/>
      <c r="N5" s="44"/>
      <c r="O5" s="44"/>
      <c r="P5" s="44"/>
      <c r="Q5" s="44"/>
      <c r="R5" s="44"/>
      <c r="S5" s="44"/>
      <c r="T5" s="44"/>
      <c r="U5" s="44"/>
      <c r="V5" s="1220">
        <v>5</v>
      </c>
    </row>
    <row r="6" ht="29.25" customHeight="1" spans="3:22">
      <c r="C6" s="211"/>
      <c r="D6" s="755" t="s">
        <v>380</v>
      </c>
      <c r="E6" s="755"/>
      <c r="F6" s="755"/>
      <c r="G6" s="755"/>
      <c r="H6" s="755"/>
      <c r="I6" s="755"/>
      <c r="J6" s="1211"/>
      <c r="K6" s="581"/>
      <c r="V6" s="43">
        <v>28</v>
      </c>
    </row>
    <row r="7" ht="18" customHeight="1" spans="3:22">
      <c r="C7" s="211"/>
      <c r="D7" s="660" t="str">
        <f>IF(org=0,"Не определено",org)</f>
        <v>АО "Теплокоммунэнерго"</v>
      </c>
      <c r="E7" s="660"/>
      <c r="F7" s="660"/>
      <c r="G7" s="660"/>
      <c r="H7" s="660"/>
      <c r="I7" s="660"/>
      <c r="J7" s="1211"/>
      <c r="K7" s="581"/>
      <c r="V7" s="43">
        <v>17</v>
      </c>
    </row>
    <row r="8" s="208" customFormat="1" ht="5.25" customHeight="1" spans="1:22">
      <c r="A8" s="1196"/>
      <c r="C8" s="1197"/>
      <c r="D8" s="1213"/>
      <c r="E8" s="1213"/>
      <c r="F8" s="1213"/>
      <c r="G8" s="1213"/>
      <c r="H8" s="1213"/>
      <c r="I8" s="1213"/>
      <c r="J8" s="1213"/>
      <c r="L8" s="44"/>
      <c r="M8" s="44"/>
      <c r="N8" s="44"/>
      <c r="O8" s="44"/>
      <c r="P8" s="44"/>
      <c r="Q8" s="44"/>
      <c r="R8" s="44"/>
      <c r="S8" s="44"/>
      <c r="T8" s="44"/>
      <c r="U8" s="44"/>
      <c r="V8" s="208">
        <v>5</v>
      </c>
    </row>
    <row r="9" s="208" customFormat="1" ht="5.25" customHeight="1" spans="1:22">
      <c r="A9" s="1196"/>
      <c r="C9" s="1197"/>
      <c r="D9" s="1213"/>
      <c r="E9" s="1213"/>
      <c r="F9" s="1213"/>
      <c r="G9" s="1213"/>
      <c r="H9" s="1213"/>
      <c r="I9" s="1213"/>
      <c r="J9" s="1213"/>
      <c r="L9" s="44"/>
      <c r="M9" s="44"/>
      <c r="N9" s="44"/>
      <c r="O9" s="44"/>
      <c r="P9" s="44"/>
      <c r="Q9" s="44"/>
      <c r="R9" s="44"/>
      <c r="S9" s="44"/>
      <c r="T9" s="44"/>
      <c r="U9" s="44"/>
      <c r="V9" s="208">
        <v>5</v>
      </c>
    </row>
    <row r="10" ht="14.7" customHeight="1" spans="3:22">
      <c r="C10" s="211"/>
      <c r="D10" s="132" t="s">
        <v>296</v>
      </c>
      <c r="E10" s="1157"/>
      <c r="F10" s="1157"/>
      <c r="G10" s="1157"/>
      <c r="H10" s="1157"/>
      <c r="I10" s="1157"/>
      <c r="J10" s="131" t="s">
        <v>297</v>
      </c>
      <c r="V10" s="43">
        <v>14</v>
      </c>
    </row>
    <row r="11" ht="27.3" customHeight="1" spans="3:22">
      <c r="C11" s="211"/>
      <c r="D11" s="64" t="s">
        <v>89</v>
      </c>
      <c r="E11" s="131" t="s">
        <v>103</v>
      </c>
      <c r="F11" s="903" t="s">
        <v>89</v>
      </c>
      <c r="G11" s="904"/>
      <c r="H11" s="71" t="s">
        <v>381</v>
      </c>
      <c r="I11" s="71" t="s">
        <v>382</v>
      </c>
      <c r="J11" s="131"/>
      <c r="V11" s="43">
        <v>26</v>
      </c>
    </row>
    <row r="12" ht="14.7" customHeight="1" spans="3:22">
      <c r="C12" s="211"/>
      <c r="D12" s="64"/>
      <c r="E12" s="131"/>
      <c r="F12" s="907"/>
      <c r="G12" s="908"/>
      <c r="H12" s="73"/>
      <c r="I12" s="73"/>
      <c r="J12" s="131"/>
      <c r="V12" s="43">
        <v>14</v>
      </c>
    </row>
    <row r="13" s="37" customFormat="1" ht="11.25" hidden="1" customHeight="1" spans="3:22">
      <c r="C13" s="1142"/>
      <c r="D13" s="1228" t="s">
        <v>372</v>
      </c>
      <c r="E13" s="1228"/>
      <c r="F13" s="1228"/>
      <c r="G13" s="1228"/>
      <c r="H13" s="1021"/>
      <c r="I13" s="1021"/>
      <c r="J13" s="6"/>
      <c r="L13" s="44"/>
      <c r="M13" s="44"/>
      <c r="N13" s="44"/>
      <c r="O13" s="44"/>
      <c r="P13" s="44"/>
      <c r="Q13" s="44"/>
      <c r="R13" s="44"/>
      <c r="S13" s="44"/>
      <c r="T13" s="44"/>
      <c r="U13" s="44"/>
      <c r="V13" s="37">
        <v>0</v>
      </c>
    </row>
    <row r="14" ht="14.7" customHeight="1" spans="1:22">
      <c r="A14" s="43"/>
      <c r="C14" s="211"/>
      <c r="D14" s="1221" t="s">
        <v>107</v>
      </c>
      <c r="E14" s="1170"/>
      <c r="F14" s="1222"/>
      <c r="G14" s="232" t="s">
        <v>107</v>
      </c>
      <c r="H14" s="213"/>
      <c r="I14" s="998"/>
      <c r="J14" s="583" t="s">
        <v>383</v>
      </c>
      <c r="K14" s="43"/>
      <c r="R14" s="151" t="s">
        <v>377</v>
      </c>
      <c r="S14" s="151" t="s">
        <v>377</v>
      </c>
      <c r="V14" s="43">
        <v>14</v>
      </c>
    </row>
    <row r="15" ht="14.7" customHeight="1" spans="1:22">
      <c r="A15" s="43"/>
      <c r="C15" s="211"/>
      <c r="D15" s="1223"/>
      <c r="E15" s="1224"/>
      <c r="F15" s="571"/>
      <c r="G15" s="1225"/>
      <c r="H15" s="1225" t="s">
        <v>379</v>
      </c>
      <c r="I15" s="1108"/>
      <c r="J15" s="779"/>
      <c r="K15" s="43"/>
      <c r="R15" s="151"/>
      <c r="S15" s="151"/>
      <c r="V15" s="43">
        <v>14</v>
      </c>
    </row>
    <row r="16" ht="14.7" customHeight="1" spans="1:22">
      <c r="A16" s="43"/>
      <c r="C16" s="211"/>
      <c r="D16" s="571"/>
      <c r="E16" s="1225" t="s">
        <v>119</v>
      </c>
      <c r="F16" s="1108"/>
      <c r="G16" s="1108"/>
      <c r="H16" s="1229"/>
      <c r="I16" s="1229"/>
      <c r="J16" s="584"/>
      <c r="K16" s="43"/>
      <c r="V16" s="43">
        <v>14</v>
      </c>
    </row>
    <row r="17" ht="14.7" customHeight="1" spans="11:22">
      <c r="K17" s="43"/>
      <c r="V17" s="43">
        <v>14</v>
      </c>
    </row>
    <row r="18" ht="22.5" hidden="1" customHeight="1" spans="1:22">
      <c r="A18" s="575" t="s">
        <v>83</v>
      </c>
      <c r="B18" s="43">
        <v>0</v>
      </c>
      <c r="C18" s="217">
        <v>3</v>
      </c>
      <c r="D18" s="43">
        <v>5</v>
      </c>
      <c r="E18" s="43">
        <v>38</v>
      </c>
      <c r="F18" s="43">
        <v>3</v>
      </c>
      <c r="G18" s="43">
        <v>3</v>
      </c>
      <c r="H18" s="43">
        <v>38</v>
      </c>
      <c r="I18" s="43">
        <v>35</v>
      </c>
      <c r="J18" s="43">
        <v>103</v>
      </c>
      <c r="K18" s="206">
        <v>3</v>
      </c>
      <c r="L18" s="44">
        <v>10</v>
      </c>
      <c r="M18" s="44">
        <v>10</v>
      </c>
      <c r="N18" s="44">
        <v>10</v>
      </c>
      <c r="O18" s="44">
        <v>13</v>
      </c>
      <c r="P18" s="44">
        <v>15</v>
      </c>
      <c r="Q18" s="44">
        <v>16</v>
      </c>
      <c r="R18" s="44">
        <v>10</v>
      </c>
      <c r="S18" s="44">
        <v>10</v>
      </c>
      <c r="T18" s="44">
        <v>10</v>
      </c>
      <c r="U18" s="44">
        <v>10</v>
      </c>
      <c r="V18" s="43">
        <v>23</v>
      </c>
    </row>
  </sheetData>
  <sheetProtection formatColumns="0" formatRows="0" insertRows="0" deleteColumns="0" deleteRows="0" sort="0" autoFilter="0"/>
  <mergeCells count="15">
    <mergeCell ref="H1:I1"/>
    <mergeCell ref="D6:I6"/>
    <mergeCell ref="D7:I7"/>
    <mergeCell ref="D10:I10"/>
    <mergeCell ref="D2:D3"/>
    <mergeCell ref="D11:D12"/>
    <mergeCell ref="D14:D15"/>
    <mergeCell ref="E2:E3"/>
    <mergeCell ref="E11:E12"/>
    <mergeCell ref="E14:E15"/>
    <mergeCell ref="H11:H12"/>
    <mergeCell ref="I11:I12"/>
    <mergeCell ref="J10:J12"/>
    <mergeCell ref="J14:J16"/>
    <mergeCell ref="F11:G12"/>
  </mergeCells>
  <dataValidations count="5">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2 E14"/>
    <dataValidation type="textLength" operator="lessThanOrEqual" allowBlank="1" showInputMessage="1" showErrorMessage="1" errorTitle="Ошибка" error="Допускается ввод не более 900 символов!" sqref="H2 H14">
      <formula1>900</formula1>
    </dataValidation>
    <dataValidation type="whole" operator="between" allowBlank="1" showErrorMessage="1" errorTitle="Ошибка" error="Допускается ввод только неотрицательных целых чисел!" sqref="I2 I14">
      <formula1>0</formula1>
      <formula2>9.99999999999999E+23</formula2>
    </dataValidation>
    <dataValidation allowBlank="1" showErrorMessage="1" errorTitle="Ошибка" error="Допускается ввод только неотрицательных чисел!" sqref="E13:G13"/>
    <dataValidation type="decimal" operator="between" allowBlank="1" showErrorMessage="1" errorTitle="Ошибка" error="Допускается ввод только неотрицательных чисел!" sqref="H13:I13">
      <formula1>0</formula1>
      <formula2>9.99999999999999E+23</formula2>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ФАС России</Company>
  <Application>Microsoft Excel</Application>
  <HeadingPairs>
    <vt:vector size="2" baseType="variant">
      <vt:variant>
        <vt:lpstr>工作表</vt:lpstr>
      </vt:variant>
      <vt:variant>
        <vt:i4>89</vt:i4>
      </vt:variant>
    </vt:vector>
  </HeadingPairs>
  <TitlesOfParts>
    <vt:vector size="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shcherbakova.n</cp:lastModifiedBy>
  <dcterms:created xsi:type="dcterms:W3CDTF">2004-05-21T07:18:00Z</dcterms:created>
  <cp:lastPrinted>2013-08-29T08:11:00Z</cp:lastPrinted>
  <dcterms:modified xsi:type="dcterms:W3CDTF">2026-01-20T05:30:32Z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3FB4103DAA2A4340BFB09F5FE49BEE2A_12</vt:lpwstr>
  </property>
  <property fmtid="{D5CDD505-2E9C-101B-9397-08002B2CF9AE}" pid="3" name="KSOProductBuildVer">
    <vt:lpwstr>1049-12.2.0.21931</vt:lpwstr>
  </property>
</Properties>
</file>